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remyjiao/Desktop/GitHub/"/>
    </mc:Choice>
  </mc:AlternateContent>
  <xr:revisionPtr revIDLastSave="0" documentId="13_ncr:1_{C42449A8-D061-F847-A1F2-A67EAF0BF11E}" xr6:coauthVersionLast="47" xr6:coauthVersionMax="47" xr10:uidLastSave="{00000000-0000-0000-0000-000000000000}"/>
  <bookViews>
    <workbookView xWindow="0" yWindow="500" windowWidth="38400" windowHeight="19240" xr2:uid="{48A6DEA3-2AA3-8E4B-9688-69F5A6B3D937}"/>
  </bookViews>
  <sheets>
    <sheet name="DCF" sheetId="2" r:id="rId1"/>
    <sheet name="Financials + KPIs" sheetId="1" r:id="rId2"/>
    <sheet name="WACC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67" i="2" l="1"/>
  <c r="O67" i="2" s="1"/>
  <c r="P67" i="2" s="1"/>
  <c r="Q67" i="2" s="1"/>
  <c r="R67" i="2" s="1"/>
  <c r="S67" i="2" s="1"/>
  <c r="T67" i="2" s="1"/>
  <c r="M67" i="2"/>
  <c r="M50" i="2"/>
  <c r="M49" i="2"/>
  <c r="M48" i="2"/>
  <c r="M41" i="2"/>
  <c r="M40" i="2"/>
  <c r="M39" i="2"/>
  <c r="L65" i="2"/>
  <c r="L67" i="2"/>
  <c r="L66" i="2"/>
  <c r="J14" i="2"/>
  <c r="N14" i="2" s="1"/>
  <c r="L32" i="2"/>
  <c r="M34" i="2"/>
  <c r="M33" i="2"/>
  <c r="N33" i="2" s="1"/>
  <c r="O33" i="2" s="1"/>
  <c r="P33" i="2" s="1"/>
  <c r="Q33" i="2" s="1"/>
  <c r="R33" i="2" s="1"/>
  <c r="S33" i="2" s="1"/>
  <c r="T33" i="2" s="1"/>
  <c r="U33" i="2" s="1"/>
  <c r="M32" i="2"/>
  <c r="N32" i="2" s="1"/>
  <c r="O32" i="2" s="1"/>
  <c r="P32" i="2" s="1"/>
  <c r="Q32" i="2" s="1"/>
  <c r="R32" i="2" s="1"/>
  <c r="S32" i="2" s="1"/>
  <c r="T32" i="2" s="1"/>
  <c r="U32" i="2" s="1"/>
  <c r="L34" i="2"/>
  <c r="D25" i="2"/>
  <c r="L118" i="2" s="1"/>
  <c r="U65" i="2"/>
  <c r="M65" i="2" s="1"/>
  <c r="N65" i="2" s="1"/>
  <c r="O65" i="2" s="1"/>
  <c r="P65" i="2" s="1"/>
  <c r="Q65" i="2" s="1"/>
  <c r="R65" i="2" s="1"/>
  <c r="S65" i="2" s="1"/>
  <c r="T65" i="2" s="1"/>
  <c r="U67" i="2"/>
  <c r="U66" i="2"/>
  <c r="M66" i="2" s="1"/>
  <c r="N66" i="2" s="1"/>
  <c r="O66" i="2" s="1"/>
  <c r="P66" i="2" s="1"/>
  <c r="Q66" i="2" s="1"/>
  <c r="R66" i="2" s="1"/>
  <c r="S66" i="2" s="1"/>
  <c r="T66" i="2" s="1"/>
  <c r="D108" i="2"/>
  <c r="D110" i="2"/>
  <c r="F11" i="4"/>
  <c r="T10" i="2"/>
  <c r="F10" i="4" s="1"/>
  <c r="T9" i="2"/>
  <c r="D107" i="2" s="1"/>
  <c r="G5" i="2" a="1"/>
  <c r="G5" i="2" s="1"/>
  <c r="L48" i="2"/>
  <c r="L50" i="2"/>
  <c r="N50" i="2" s="1"/>
  <c r="O50" i="2" s="1"/>
  <c r="P50" i="2" s="1"/>
  <c r="Q50" i="2" s="1"/>
  <c r="R50" i="2" s="1"/>
  <c r="S50" i="2" s="1"/>
  <c r="T50" i="2" s="1"/>
  <c r="U50" i="2" s="1"/>
  <c r="L49" i="2"/>
  <c r="K84" i="2"/>
  <c r="F84" i="2"/>
  <c r="G84" i="2"/>
  <c r="G145" i="2" s="1"/>
  <c r="H84" i="2"/>
  <c r="H145" i="2" s="1"/>
  <c r="I84" i="2"/>
  <c r="J84" i="2"/>
  <c r="J145" i="2" s="1"/>
  <c r="E84" i="2"/>
  <c r="E145" i="2" s="1"/>
  <c r="F80" i="2"/>
  <c r="G80" i="2"/>
  <c r="G144" i="2" s="1"/>
  <c r="H80" i="2"/>
  <c r="I80" i="2"/>
  <c r="J80" i="2"/>
  <c r="J144" i="2" s="1"/>
  <c r="E80" i="2"/>
  <c r="E144" i="2" s="1"/>
  <c r="F75" i="2"/>
  <c r="G75" i="2"/>
  <c r="G136" i="2" s="1"/>
  <c r="G143" i="2" s="1"/>
  <c r="H75" i="2"/>
  <c r="H136" i="2" s="1"/>
  <c r="H143" i="2" s="1"/>
  <c r="I75" i="2"/>
  <c r="J75" i="2"/>
  <c r="J136" i="2" s="1"/>
  <c r="J143" i="2" s="1"/>
  <c r="E75" i="2"/>
  <c r="F70" i="2"/>
  <c r="F140" i="2" s="1"/>
  <c r="G70" i="2"/>
  <c r="H70" i="2"/>
  <c r="H140" i="2" s="1"/>
  <c r="I70" i="2"/>
  <c r="J70" i="2"/>
  <c r="J140" i="2" s="1"/>
  <c r="E70" i="2"/>
  <c r="E140" i="2" s="1"/>
  <c r="F63" i="2"/>
  <c r="G63" i="2"/>
  <c r="L39" i="2"/>
  <c r="N39" i="2" s="1"/>
  <c r="O39" i="2" s="1"/>
  <c r="P39" i="2" s="1"/>
  <c r="Q39" i="2" s="1"/>
  <c r="R39" i="2" s="1"/>
  <c r="S39" i="2" s="1"/>
  <c r="T39" i="2" s="1"/>
  <c r="U39" i="2" s="1"/>
  <c r="L41" i="2"/>
  <c r="N41" i="2" s="1"/>
  <c r="O41" i="2" s="1"/>
  <c r="P41" i="2" s="1"/>
  <c r="Q41" i="2" s="1"/>
  <c r="R41" i="2" s="1"/>
  <c r="S41" i="2" s="1"/>
  <c r="T41" i="2" s="1"/>
  <c r="U41" i="2" s="1"/>
  <c r="L40" i="2"/>
  <c r="N34" i="2"/>
  <c r="O34" i="2" s="1"/>
  <c r="P34" i="2" s="1"/>
  <c r="Q34" i="2" s="1"/>
  <c r="R34" i="2" s="1"/>
  <c r="S34" i="2" s="1"/>
  <c r="T34" i="2" s="1"/>
  <c r="U34" i="2" s="1"/>
  <c r="F46" i="2"/>
  <c r="G46" i="2"/>
  <c r="H46" i="2"/>
  <c r="I46" i="2"/>
  <c r="J46" i="2"/>
  <c r="E46" i="2"/>
  <c r="G37" i="2"/>
  <c r="F29" i="2"/>
  <c r="G29" i="2"/>
  <c r="H29" i="2"/>
  <c r="I29" i="2"/>
  <c r="J29" i="2"/>
  <c r="E29" i="2"/>
  <c r="X29" i="1"/>
  <c r="Y29" i="1"/>
  <c r="W30" i="1"/>
  <c r="X30" i="1"/>
  <c r="W31" i="1"/>
  <c r="T33" i="1"/>
  <c r="U33" i="1"/>
  <c r="Z33" i="1"/>
  <c r="AA33" i="1"/>
  <c r="AB33" i="1"/>
  <c r="U35" i="1"/>
  <c r="V35" i="1"/>
  <c r="W35" i="1"/>
  <c r="X35" i="1"/>
  <c r="Y35" i="1"/>
  <c r="Z35" i="1"/>
  <c r="AA35" i="1"/>
  <c r="AB35" i="1"/>
  <c r="J26" i="1"/>
  <c r="S26" i="1" s="1"/>
  <c r="S21" i="1"/>
  <c r="U9" i="1"/>
  <c r="V9" i="1"/>
  <c r="W9" i="1"/>
  <c r="X9" i="1"/>
  <c r="Y9" i="1"/>
  <c r="Z9" i="1"/>
  <c r="AA9" i="1"/>
  <c r="AB9" i="1"/>
  <c r="T10" i="1"/>
  <c r="T15" i="1" s="1"/>
  <c r="U10" i="1"/>
  <c r="U15" i="1" s="1"/>
  <c r="V10" i="1"/>
  <c r="V15" i="1" s="1"/>
  <c r="W10" i="1"/>
  <c r="X10" i="1"/>
  <c r="X15" i="1" s="1"/>
  <c r="X16" i="1" s="1"/>
  <c r="Y10" i="1"/>
  <c r="Z10" i="1"/>
  <c r="AA10" i="1"/>
  <c r="AA15" i="1" s="1"/>
  <c r="AB10" i="1"/>
  <c r="AB15" i="1" s="1"/>
  <c r="AA6" i="1"/>
  <c r="AB6" i="1"/>
  <c r="U4" i="1"/>
  <c r="V4" i="1"/>
  <c r="W4" i="1"/>
  <c r="X4" i="1"/>
  <c r="Y4" i="1"/>
  <c r="Z4" i="1"/>
  <c r="AA4" i="1"/>
  <c r="AB4" i="1"/>
  <c r="U5" i="1"/>
  <c r="V5" i="1"/>
  <c r="V6" i="1" s="1"/>
  <c r="W5" i="1"/>
  <c r="W6" i="1" s="1"/>
  <c r="X5" i="1"/>
  <c r="X6" i="1" s="1"/>
  <c r="Y5" i="1"/>
  <c r="Y6" i="1" s="1"/>
  <c r="Z5" i="1"/>
  <c r="AA5" i="1"/>
  <c r="AB5" i="1"/>
  <c r="J21" i="1"/>
  <c r="J3" i="1"/>
  <c r="S3" i="1" s="1"/>
  <c r="T4" i="1" s="1"/>
  <c r="C43" i="1"/>
  <c r="C47" i="1"/>
  <c r="C49" i="1"/>
  <c r="E43" i="1"/>
  <c r="G43" i="1"/>
  <c r="H43" i="1"/>
  <c r="I43" i="1"/>
  <c r="E45" i="1"/>
  <c r="E47" i="1"/>
  <c r="G47" i="1"/>
  <c r="G48" i="1" s="1"/>
  <c r="H47" i="1"/>
  <c r="I47" i="1"/>
  <c r="E49" i="1"/>
  <c r="G49" i="1"/>
  <c r="G50" i="1" s="1"/>
  <c r="H49" i="1"/>
  <c r="I49" i="1"/>
  <c r="D49" i="1"/>
  <c r="D47" i="1"/>
  <c r="D43" i="1"/>
  <c r="E35" i="1"/>
  <c r="H35" i="1"/>
  <c r="I35" i="1"/>
  <c r="D35" i="1"/>
  <c r="C30" i="1"/>
  <c r="D30" i="1"/>
  <c r="E30" i="1"/>
  <c r="G30" i="1"/>
  <c r="H30" i="1"/>
  <c r="C31" i="1"/>
  <c r="D31" i="1"/>
  <c r="E31" i="1"/>
  <c r="G31" i="1"/>
  <c r="H31" i="1"/>
  <c r="E32" i="1"/>
  <c r="I31" i="1"/>
  <c r="I30" i="1"/>
  <c r="C29" i="1"/>
  <c r="D29" i="1"/>
  <c r="E29" i="1"/>
  <c r="G29" i="1"/>
  <c r="H29" i="1"/>
  <c r="I29" i="1"/>
  <c r="H28" i="1"/>
  <c r="I28" i="1"/>
  <c r="G28" i="1"/>
  <c r="H9" i="1"/>
  <c r="I9" i="1"/>
  <c r="G9" i="1"/>
  <c r="H4" i="1"/>
  <c r="I4" i="1"/>
  <c r="G4" i="1"/>
  <c r="F26" i="1"/>
  <c r="F35" i="1" s="1"/>
  <c r="F23" i="1"/>
  <c r="F21" i="1"/>
  <c r="F19" i="1"/>
  <c r="F18" i="1"/>
  <c r="F17" i="1"/>
  <c r="F8" i="1"/>
  <c r="C10" i="1"/>
  <c r="D10" i="1"/>
  <c r="E10" i="1"/>
  <c r="C12" i="1"/>
  <c r="D12" i="1"/>
  <c r="E12" i="1"/>
  <c r="C20" i="1"/>
  <c r="C22" i="1" s="1"/>
  <c r="C24" i="1" s="1"/>
  <c r="C25" i="1" s="1"/>
  <c r="D20" i="1"/>
  <c r="D22" i="1" s="1"/>
  <c r="D24" i="1" s="1"/>
  <c r="D25" i="1" s="1"/>
  <c r="E22" i="1"/>
  <c r="E33" i="1" s="1"/>
  <c r="C16" i="1"/>
  <c r="C45" i="1" s="1"/>
  <c r="D16" i="1"/>
  <c r="D45" i="1" s="1"/>
  <c r="D5" i="1"/>
  <c r="E5" i="1"/>
  <c r="H5" i="1"/>
  <c r="H6" i="1" s="1"/>
  <c r="I5" i="1"/>
  <c r="I6" i="1" s="1"/>
  <c r="F3" i="1"/>
  <c r="F5" i="1" s="1"/>
  <c r="G10" i="1"/>
  <c r="H10" i="1"/>
  <c r="I10" i="1"/>
  <c r="G12" i="1"/>
  <c r="G13" i="1" s="1"/>
  <c r="H12" i="1"/>
  <c r="I12" i="1"/>
  <c r="I13" i="1" s="1"/>
  <c r="G20" i="1"/>
  <c r="G22" i="1" s="1"/>
  <c r="G24" i="1" s="1"/>
  <c r="G25" i="1" s="1"/>
  <c r="H20" i="1"/>
  <c r="H22" i="1" s="1"/>
  <c r="H24" i="1" s="1"/>
  <c r="H25" i="1" s="1"/>
  <c r="I20" i="1"/>
  <c r="I22" i="1" s="1"/>
  <c r="I24" i="1" s="1"/>
  <c r="I25" i="1" s="1"/>
  <c r="G16" i="1"/>
  <c r="G45" i="1" s="1"/>
  <c r="G46" i="1" s="1"/>
  <c r="H16" i="1"/>
  <c r="H45" i="1" s="1"/>
  <c r="H46" i="1" s="1"/>
  <c r="I16" i="1"/>
  <c r="I45" i="1" s="1"/>
  <c r="N38" i="1"/>
  <c r="O38" i="1"/>
  <c r="P38" i="1"/>
  <c r="Q38" i="1"/>
  <c r="R38" i="1"/>
  <c r="M38" i="1"/>
  <c r="N51" i="1"/>
  <c r="O51" i="1"/>
  <c r="P51" i="1"/>
  <c r="Q51" i="1"/>
  <c r="R51" i="1"/>
  <c r="S51" i="1" s="1"/>
  <c r="S39" i="1" s="1"/>
  <c r="K80" i="2" s="1"/>
  <c r="M51" i="1"/>
  <c r="M47" i="1"/>
  <c r="N47" i="1"/>
  <c r="O47" i="1"/>
  <c r="M49" i="1"/>
  <c r="N49" i="1"/>
  <c r="O49" i="1"/>
  <c r="N35" i="1"/>
  <c r="O35" i="1"/>
  <c r="P35" i="1"/>
  <c r="AB20" i="1"/>
  <c r="AB22" i="1" s="1"/>
  <c r="AB24" i="1" s="1"/>
  <c r="AB25" i="1" s="1"/>
  <c r="T20" i="1"/>
  <c r="T22" i="1" s="1"/>
  <c r="T24" i="1" s="1"/>
  <c r="T25" i="1" s="1"/>
  <c r="U20" i="1"/>
  <c r="U22" i="1" s="1"/>
  <c r="U24" i="1" s="1"/>
  <c r="U25" i="1" s="1"/>
  <c r="V20" i="1"/>
  <c r="V22" i="1" s="1"/>
  <c r="V24" i="1" s="1"/>
  <c r="V25" i="1" s="1"/>
  <c r="W20" i="1"/>
  <c r="W22" i="1" s="1"/>
  <c r="W24" i="1" s="1"/>
  <c r="W25" i="1" s="1"/>
  <c r="X20" i="1"/>
  <c r="X22" i="1" s="1"/>
  <c r="X24" i="1" s="1"/>
  <c r="X25" i="1" s="1"/>
  <c r="Y20" i="1"/>
  <c r="Y22" i="1" s="1"/>
  <c r="Y24" i="1" s="1"/>
  <c r="Y25" i="1" s="1"/>
  <c r="Z20" i="1"/>
  <c r="Z22" i="1" s="1"/>
  <c r="Z24" i="1" s="1"/>
  <c r="Z25" i="1" s="1"/>
  <c r="AA20" i="1"/>
  <c r="AA22" i="1" s="1"/>
  <c r="AA24" i="1" s="1"/>
  <c r="AA25" i="1" s="1"/>
  <c r="W15" i="1"/>
  <c r="W16" i="1" s="1"/>
  <c r="Y15" i="1"/>
  <c r="Y16" i="1" s="1"/>
  <c r="Z15" i="1"/>
  <c r="Z16" i="1" s="1"/>
  <c r="M20" i="1"/>
  <c r="M37" i="1" s="1"/>
  <c r="N20" i="1"/>
  <c r="N22" i="1" s="1"/>
  <c r="O20" i="1"/>
  <c r="O22" i="1" s="1"/>
  <c r="N13" i="1"/>
  <c r="O13" i="1"/>
  <c r="P13" i="1"/>
  <c r="N4" i="1"/>
  <c r="O4" i="1"/>
  <c r="P4" i="1"/>
  <c r="N5" i="1"/>
  <c r="O5" i="1"/>
  <c r="P5" i="1"/>
  <c r="M10" i="1"/>
  <c r="M15" i="1" s="1"/>
  <c r="M16" i="1" s="1"/>
  <c r="M45" i="1" s="1"/>
  <c r="N10" i="1"/>
  <c r="N15" i="1" s="1"/>
  <c r="N43" i="1" s="1"/>
  <c r="O10" i="1"/>
  <c r="O15" i="1" s="1"/>
  <c r="O43" i="1" s="1"/>
  <c r="N9" i="1"/>
  <c r="O9" i="1"/>
  <c r="P9" i="1"/>
  <c r="L131" i="2"/>
  <c r="M131" i="2" s="1"/>
  <c r="N131" i="2" s="1"/>
  <c r="O131" i="2" s="1"/>
  <c r="P131" i="2" s="1"/>
  <c r="Q131" i="2" s="1"/>
  <c r="R131" i="2" s="1"/>
  <c r="S131" i="2" s="1"/>
  <c r="T131" i="2" s="1"/>
  <c r="U131" i="2" s="1"/>
  <c r="J131" i="2"/>
  <c r="I131" i="2" s="1"/>
  <c r="H131" i="2" s="1"/>
  <c r="G131" i="2" s="1"/>
  <c r="F131" i="2" s="1"/>
  <c r="E131" i="2" s="1"/>
  <c r="L130" i="2"/>
  <c r="M130" i="2" s="1"/>
  <c r="N130" i="2" s="1"/>
  <c r="O130" i="2" s="1"/>
  <c r="P130" i="2" s="1"/>
  <c r="Q130" i="2" s="1"/>
  <c r="R130" i="2" s="1"/>
  <c r="S130" i="2" s="1"/>
  <c r="T130" i="2" s="1"/>
  <c r="U130" i="2" s="1"/>
  <c r="F130" i="2"/>
  <c r="G130" i="2" s="1"/>
  <c r="H130" i="2" s="1"/>
  <c r="I130" i="2" s="1"/>
  <c r="J130" i="2" s="1"/>
  <c r="L59" i="2"/>
  <c r="M59" i="2" s="1"/>
  <c r="N59" i="2" s="1"/>
  <c r="O59" i="2" s="1"/>
  <c r="P59" i="2" s="1"/>
  <c r="Q59" i="2" s="1"/>
  <c r="R59" i="2" s="1"/>
  <c r="S59" i="2" s="1"/>
  <c r="T59" i="2" s="1"/>
  <c r="U59" i="2" s="1"/>
  <c r="J59" i="2"/>
  <c r="I59" i="2" s="1"/>
  <c r="H59" i="2" s="1"/>
  <c r="G59" i="2" s="1"/>
  <c r="F59" i="2" s="1"/>
  <c r="E59" i="2" s="1"/>
  <c r="L58" i="2"/>
  <c r="M58" i="2" s="1"/>
  <c r="N58" i="2" s="1"/>
  <c r="O58" i="2" s="1"/>
  <c r="P58" i="2" s="1"/>
  <c r="Q58" i="2" s="1"/>
  <c r="R58" i="2" s="1"/>
  <c r="S58" i="2" s="1"/>
  <c r="T58" i="2" s="1"/>
  <c r="U58" i="2" s="1"/>
  <c r="F58" i="2"/>
  <c r="G58" i="2" s="1"/>
  <c r="H58" i="2" s="1"/>
  <c r="I58" i="2" s="1"/>
  <c r="J58" i="2" s="1"/>
  <c r="Q49" i="1"/>
  <c r="R49" i="1"/>
  <c r="P49" i="1"/>
  <c r="Q47" i="1"/>
  <c r="R47" i="1"/>
  <c r="P47" i="1"/>
  <c r="R35" i="1"/>
  <c r="Q35" i="1"/>
  <c r="F17" i="4"/>
  <c r="N123" i="2"/>
  <c r="O123" i="2" s="1"/>
  <c r="P123" i="2" s="1"/>
  <c r="D113" i="2"/>
  <c r="L93" i="2"/>
  <c r="M93" i="2" s="1"/>
  <c r="N93" i="2" s="1"/>
  <c r="O93" i="2" s="1"/>
  <c r="P93" i="2" s="1"/>
  <c r="Q93" i="2" s="1"/>
  <c r="R93" i="2" s="1"/>
  <c r="S93" i="2" s="1"/>
  <c r="T93" i="2" s="1"/>
  <c r="L92" i="2"/>
  <c r="M92" i="2" s="1"/>
  <c r="N92" i="2" s="1"/>
  <c r="O92" i="2" s="1"/>
  <c r="P92" i="2" s="1"/>
  <c r="Q92" i="2" s="1"/>
  <c r="R92" i="2" s="1"/>
  <c r="S92" i="2" s="1"/>
  <c r="T92" i="2" s="1"/>
  <c r="L71" i="2"/>
  <c r="L141" i="2" s="1"/>
  <c r="L28" i="2"/>
  <c r="M28" i="2" s="1"/>
  <c r="N28" i="2" s="1"/>
  <c r="O28" i="2" s="1"/>
  <c r="P28" i="2" s="1"/>
  <c r="Q28" i="2" s="1"/>
  <c r="R28" i="2" s="1"/>
  <c r="S28" i="2" s="1"/>
  <c r="T28" i="2" s="1"/>
  <c r="U28" i="2" s="1"/>
  <c r="J28" i="2"/>
  <c r="I28" i="2" s="1"/>
  <c r="H28" i="2" s="1"/>
  <c r="G28" i="2" s="1"/>
  <c r="F28" i="2" s="1"/>
  <c r="E28" i="2" s="1"/>
  <c r="L27" i="2"/>
  <c r="M27" i="2" s="1"/>
  <c r="N27" i="2" s="1"/>
  <c r="O27" i="2" s="1"/>
  <c r="P27" i="2" s="1"/>
  <c r="Q27" i="2" s="1"/>
  <c r="R27" i="2" s="1"/>
  <c r="S27" i="2" s="1"/>
  <c r="T27" i="2" s="1"/>
  <c r="U27" i="2" s="1"/>
  <c r="F27" i="2"/>
  <c r="G27" i="2" s="1"/>
  <c r="H27" i="2" s="1"/>
  <c r="I27" i="2" s="1"/>
  <c r="J27" i="2" s="1"/>
  <c r="P19" i="2"/>
  <c r="H19" i="2"/>
  <c r="F123" i="2" s="1"/>
  <c r="E123" i="2" s="1"/>
  <c r="D123" i="2" s="1"/>
  <c r="J15" i="2"/>
  <c r="N15" i="2" s="1"/>
  <c r="N10" i="2"/>
  <c r="N49" i="2" l="1"/>
  <c r="N48" i="2"/>
  <c r="O48" i="2" s="1"/>
  <c r="P48" i="2" s="1"/>
  <c r="Q48" i="2" s="1"/>
  <c r="R48" i="2" s="1"/>
  <c r="S48" i="2" s="1"/>
  <c r="T48" i="2" s="1"/>
  <c r="U48" i="2" s="1"/>
  <c r="N40" i="2"/>
  <c r="O40" i="2" s="1"/>
  <c r="P40" i="2" s="1"/>
  <c r="Q40" i="2" s="1"/>
  <c r="R40" i="2" s="1"/>
  <c r="S40" i="2" s="1"/>
  <c r="T40" i="2" s="1"/>
  <c r="U40" i="2" s="1"/>
  <c r="T35" i="1"/>
  <c r="S35" i="1"/>
  <c r="V16" i="1"/>
  <c r="V28" i="1"/>
  <c r="V29" i="1"/>
  <c r="V30" i="1"/>
  <c r="V31" i="1"/>
  <c r="V32" i="1"/>
  <c r="U16" i="1"/>
  <c r="U29" i="1"/>
  <c r="U30" i="1"/>
  <c r="U31" i="1"/>
  <c r="U32" i="1"/>
  <c r="U28" i="1"/>
  <c r="AB16" i="1"/>
  <c r="AB29" i="1"/>
  <c r="AB30" i="1"/>
  <c r="AB31" i="1"/>
  <c r="AB32" i="1"/>
  <c r="AB28" i="1"/>
  <c r="AB34" i="1"/>
  <c r="T16" i="1"/>
  <c r="T30" i="1"/>
  <c r="T31" i="1"/>
  <c r="T32" i="1"/>
  <c r="T29" i="1"/>
  <c r="T34" i="1"/>
  <c r="AA16" i="1"/>
  <c r="AA28" i="1"/>
  <c r="AA30" i="1"/>
  <c r="AA31" i="1"/>
  <c r="AA32" i="1"/>
  <c r="AA29" i="1"/>
  <c r="AA34" i="1"/>
  <c r="Z28" i="1"/>
  <c r="Y28" i="1"/>
  <c r="H82" i="2"/>
  <c r="G44" i="1"/>
  <c r="W34" i="1"/>
  <c r="Z31" i="1"/>
  <c r="I48" i="1"/>
  <c r="S5" i="1"/>
  <c r="V34" i="1"/>
  <c r="W33" i="1"/>
  <c r="X32" i="1"/>
  <c r="Y31" i="1"/>
  <c r="Z30" i="1"/>
  <c r="E63" i="2"/>
  <c r="E73" i="2" s="1"/>
  <c r="E142" i="2" s="1"/>
  <c r="Z6" i="1"/>
  <c r="X28" i="1"/>
  <c r="Z34" i="1"/>
  <c r="W29" i="1"/>
  <c r="H50" i="1"/>
  <c r="W28" i="1"/>
  <c r="Y34" i="1"/>
  <c r="I46" i="1"/>
  <c r="S4" i="1"/>
  <c r="X34" i="1"/>
  <c r="Y33" i="1"/>
  <c r="Z32" i="1"/>
  <c r="F37" i="2"/>
  <c r="F44" i="2" s="1"/>
  <c r="T5" i="1"/>
  <c r="T6" i="1" s="1"/>
  <c r="X33" i="1"/>
  <c r="Y32" i="1"/>
  <c r="U34" i="1"/>
  <c r="V33" i="1"/>
  <c r="W32" i="1"/>
  <c r="X31" i="1"/>
  <c r="Y30" i="1"/>
  <c r="Z29" i="1"/>
  <c r="E37" i="2"/>
  <c r="E44" i="2" s="1"/>
  <c r="U31" i="2"/>
  <c r="D24" i="2"/>
  <c r="D118" i="2" s="1"/>
  <c r="O49" i="2"/>
  <c r="P49" i="2" s="1"/>
  <c r="Q49" i="2" s="1"/>
  <c r="R49" i="2" s="1"/>
  <c r="S49" i="2" s="1"/>
  <c r="T49" i="2" s="1"/>
  <c r="U49" i="2" s="1"/>
  <c r="U47" i="2" s="1"/>
  <c r="N47" i="2"/>
  <c r="F82" i="2"/>
  <c r="D109" i="2"/>
  <c r="F78" i="2"/>
  <c r="F9" i="4"/>
  <c r="F13" i="4" s="1"/>
  <c r="F19" i="4" s="1"/>
  <c r="I78" i="2"/>
  <c r="I82" i="2"/>
  <c r="J78" i="2"/>
  <c r="E82" i="2"/>
  <c r="E78" i="2"/>
  <c r="J82" i="2"/>
  <c r="G82" i="2"/>
  <c r="H78" i="2"/>
  <c r="G78" i="2"/>
  <c r="J30" i="2"/>
  <c r="H31" i="2"/>
  <c r="M31" i="2"/>
  <c r="L31" i="2"/>
  <c r="L38" i="2"/>
  <c r="I30" i="2"/>
  <c r="F31" i="2"/>
  <c r="J31" i="2"/>
  <c r="I31" i="2"/>
  <c r="G44" i="2"/>
  <c r="G31" i="2"/>
  <c r="G55" i="2"/>
  <c r="G47" i="2"/>
  <c r="M71" i="2"/>
  <c r="I47" i="2"/>
  <c r="J77" i="2"/>
  <c r="J137" i="2" s="1"/>
  <c r="G30" i="2"/>
  <c r="F73" i="2"/>
  <c r="F88" i="2" s="1"/>
  <c r="F71" i="2"/>
  <c r="F141" i="2" s="1"/>
  <c r="F20" i="4"/>
  <c r="F30" i="2"/>
  <c r="H30" i="2"/>
  <c r="G77" i="2"/>
  <c r="G137" i="2" s="1"/>
  <c r="F10" i="1"/>
  <c r="E24" i="1"/>
  <c r="E25" i="1" s="1"/>
  <c r="G32" i="1"/>
  <c r="H48" i="1"/>
  <c r="H13" i="1"/>
  <c r="I50" i="1"/>
  <c r="M41" i="1"/>
  <c r="I44" i="1"/>
  <c r="H44" i="1"/>
  <c r="I33" i="1"/>
  <c r="H34" i="1"/>
  <c r="F47" i="1"/>
  <c r="F20" i="1"/>
  <c r="F22" i="1" s="1"/>
  <c r="F24" i="1" s="1"/>
  <c r="H33" i="1"/>
  <c r="G34" i="1"/>
  <c r="G35" i="1"/>
  <c r="J4" i="1"/>
  <c r="D32" i="1"/>
  <c r="G33" i="1"/>
  <c r="J5" i="1"/>
  <c r="J6" i="1" s="1"/>
  <c r="I34" i="1"/>
  <c r="G5" i="1"/>
  <c r="G6" i="1" s="1"/>
  <c r="C32" i="1"/>
  <c r="F49" i="1"/>
  <c r="J49" i="1" s="1"/>
  <c r="J19" i="1" s="1"/>
  <c r="S19" i="1" s="1"/>
  <c r="D34" i="1"/>
  <c r="J8" i="1"/>
  <c r="I32" i="1"/>
  <c r="D33" i="1"/>
  <c r="C34" i="1"/>
  <c r="H32" i="1"/>
  <c r="C33" i="1"/>
  <c r="N52" i="1"/>
  <c r="R52" i="1"/>
  <c r="Q52" i="1"/>
  <c r="P52" i="1"/>
  <c r="O52" i="1"/>
  <c r="O37" i="1"/>
  <c r="O41" i="1" s="1"/>
  <c r="N37" i="1"/>
  <c r="N41" i="1" s="1"/>
  <c r="P50" i="1"/>
  <c r="N50" i="1"/>
  <c r="R48" i="1"/>
  <c r="R50" i="1"/>
  <c r="O48" i="1"/>
  <c r="O44" i="1"/>
  <c r="P48" i="1"/>
  <c r="M43" i="1"/>
  <c r="N44" i="1" s="1"/>
  <c r="Q48" i="1"/>
  <c r="O50" i="1"/>
  <c r="Q50" i="1"/>
  <c r="N48" i="1"/>
  <c r="M32" i="1"/>
  <c r="O6" i="1"/>
  <c r="M29" i="1"/>
  <c r="M22" i="1"/>
  <c r="M33" i="1" s="1"/>
  <c r="O24" i="1"/>
  <c r="O33" i="1"/>
  <c r="N33" i="1"/>
  <c r="N24" i="1"/>
  <c r="O29" i="1"/>
  <c r="O16" i="1"/>
  <c r="O45" i="1" s="1"/>
  <c r="O30" i="1"/>
  <c r="O28" i="1"/>
  <c r="O31" i="1"/>
  <c r="N29" i="1"/>
  <c r="N32" i="1"/>
  <c r="N30" i="1"/>
  <c r="N28" i="1"/>
  <c r="N31" i="1"/>
  <c r="N16" i="1"/>
  <c r="N45" i="1" s="1"/>
  <c r="N46" i="1" s="1"/>
  <c r="M31" i="1"/>
  <c r="P6" i="1"/>
  <c r="O32" i="1"/>
  <c r="M30" i="1"/>
  <c r="I77" i="2"/>
  <c r="I137" i="2" s="1"/>
  <c r="H144" i="2"/>
  <c r="I136" i="2"/>
  <c r="I143" i="2" s="1"/>
  <c r="G138" i="2"/>
  <c r="I140" i="2"/>
  <c r="I144" i="2"/>
  <c r="G73" i="2"/>
  <c r="F145" i="2"/>
  <c r="F134" i="2"/>
  <c r="F136" i="2"/>
  <c r="F143" i="2" s="1"/>
  <c r="F77" i="2"/>
  <c r="F137" i="2" s="1"/>
  <c r="G140" i="2"/>
  <c r="G71" i="2"/>
  <c r="G141" i="2" s="1"/>
  <c r="F47" i="2"/>
  <c r="H47" i="2"/>
  <c r="I145" i="2"/>
  <c r="F138" i="2"/>
  <c r="E136" i="2"/>
  <c r="E143" i="2" s="1"/>
  <c r="G123" i="2"/>
  <c r="H123" i="2" s="1"/>
  <c r="F144" i="2"/>
  <c r="G134" i="2"/>
  <c r="E77" i="2"/>
  <c r="E137" i="2" s="1"/>
  <c r="H77" i="2"/>
  <c r="H137" i="2" s="1"/>
  <c r="M123" i="2"/>
  <c r="L123" i="2" s="1"/>
  <c r="F55" i="2" l="1"/>
  <c r="F53" i="2" s="1"/>
  <c r="G60" i="2"/>
  <c r="G53" i="2"/>
  <c r="E71" i="2"/>
  <c r="E141" i="2" s="1"/>
  <c r="G38" i="2"/>
  <c r="E55" i="2"/>
  <c r="E134" i="2"/>
  <c r="E138" i="2"/>
  <c r="F38" i="2"/>
  <c r="S38" i="1"/>
  <c r="K75" i="2"/>
  <c r="S49" i="1"/>
  <c r="S50" i="1" s="1"/>
  <c r="E34" i="1"/>
  <c r="K33" i="2"/>
  <c r="U6" i="1"/>
  <c r="J10" i="1"/>
  <c r="S8" i="1"/>
  <c r="E88" i="2"/>
  <c r="E147" i="2"/>
  <c r="F142" i="2"/>
  <c r="F147" i="2" s="1"/>
  <c r="M141" i="2"/>
  <c r="N71" i="2"/>
  <c r="G85" i="2"/>
  <c r="G64" i="2"/>
  <c r="G139" i="2" s="1"/>
  <c r="F33" i="1"/>
  <c r="J33" i="1" s="1"/>
  <c r="F25" i="1"/>
  <c r="M24" i="1"/>
  <c r="M25" i="1" s="1"/>
  <c r="O46" i="1"/>
  <c r="N34" i="1"/>
  <c r="N25" i="1"/>
  <c r="O34" i="1"/>
  <c r="O25" i="1"/>
  <c r="F60" i="2"/>
  <c r="F89" i="2" s="1"/>
  <c r="O47" i="2"/>
  <c r="G56" i="2"/>
  <c r="G61" i="2" s="1"/>
  <c r="G133" i="2" s="1"/>
  <c r="G132" i="2"/>
  <c r="G135" i="2" s="1"/>
  <c r="G76" i="2"/>
  <c r="G81" i="2"/>
  <c r="G142" i="2"/>
  <c r="G147" i="2" s="1"/>
  <c r="G88" i="2"/>
  <c r="G89" i="2" s="1"/>
  <c r="N31" i="2"/>
  <c r="E60" i="2" l="1"/>
  <c r="E85" i="2" s="1"/>
  <c r="E53" i="2"/>
  <c r="E89" i="2"/>
  <c r="E132" i="2"/>
  <c r="E135" i="2"/>
  <c r="E81" i="2"/>
  <c r="F56" i="2"/>
  <c r="F61" i="2" s="1"/>
  <c r="F133" i="2" s="1"/>
  <c r="E64" i="2"/>
  <c r="E139" i="2" s="1"/>
  <c r="E76" i="2"/>
  <c r="K34" i="2"/>
  <c r="K32" i="2"/>
  <c r="K31" i="2" s="1"/>
  <c r="K29" i="2" s="1"/>
  <c r="S9" i="1"/>
  <c r="K40" i="2" s="1"/>
  <c r="T9" i="1"/>
  <c r="S10" i="1"/>
  <c r="N141" i="2"/>
  <c r="O71" i="2"/>
  <c r="M34" i="1"/>
  <c r="P47" i="2"/>
  <c r="M47" i="2"/>
  <c r="L47" i="2"/>
  <c r="O31" i="2"/>
  <c r="F132" i="2"/>
  <c r="F135" i="2" s="1"/>
  <c r="F64" i="2"/>
  <c r="F139" i="2" s="1"/>
  <c r="F81" i="2"/>
  <c r="F76" i="2"/>
  <c r="F86" i="2"/>
  <c r="F85" i="2"/>
  <c r="G86" i="2"/>
  <c r="J47" i="2"/>
  <c r="K78" i="2" l="1"/>
  <c r="K30" i="2"/>
  <c r="K82" i="2"/>
  <c r="L29" i="2"/>
  <c r="M29" i="2" s="1"/>
  <c r="N29" i="2" s="1"/>
  <c r="O29" i="2" s="1"/>
  <c r="K39" i="2"/>
  <c r="K38" i="2"/>
  <c r="K41" i="2"/>
  <c r="O141" i="2"/>
  <c r="P71" i="2"/>
  <c r="P31" i="2"/>
  <c r="Q47" i="2"/>
  <c r="R47" i="2"/>
  <c r="P29" i="2" l="1"/>
  <c r="Q71" i="2"/>
  <c r="P141" i="2"/>
  <c r="Q31" i="2"/>
  <c r="Q29" i="2" l="1"/>
  <c r="U64" i="2"/>
  <c r="U139" i="2" s="1"/>
  <c r="R71" i="2"/>
  <c r="Q141" i="2"/>
  <c r="S47" i="2"/>
  <c r="T47" i="2"/>
  <c r="K144" i="2"/>
  <c r="R31" i="2"/>
  <c r="R29" i="2" l="1"/>
  <c r="R141" i="2"/>
  <c r="S71" i="2"/>
  <c r="K145" i="2"/>
  <c r="K136" i="2"/>
  <c r="K143" i="2" s="1"/>
  <c r="K77" i="2"/>
  <c r="K137" i="2" s="1"/>
  <c r="S31" i="2"/>
  <c r="S29" i="2" l="1"/>
  <c r="T71" i="2"/>
  <c r="S141" i="2"/>
  <c r="T31" i="2"/>
  <c r="T29" i="2" l="1"/>
  <c r="U29" i="2" s="1"/>
  <c r="T141" i="2"/>
  <c r="U71" i="2"/>
  <c r="U141" i="2" s="1"/>
  <c r="T2" i="1" l="1"/>
  <c r="U2" i="1" s="1"/>
  <c r="V2" i="1" s="1"/>
  <c r="W2" i="1" s="1"/>
  <c r="X2" i="1" s="1"/>
  <c r="Y2" i="1" s="1"/>
  <c r="Z2" i="1" s="1"/>
  <c r="AA2" i="1" s="1"/>
  <c r="AB2" i="1" s="1"/>
  <c r="Q10" i="1"/>
  <c r="R10" i="1"/>
  <c r="P10" i="1"/>
  <c r="R9" i="1"/>
  <c r="Q9" i="1"/>
  <c r="R13" i="1"/>
  <c r="Q13" i="1"/>
  <c r="Q4" i="1"/>
  <c r="R4" i="1"/>
  <c r="R5" i="1"/>
  <c r="S6" i="1" s="1"/>
  <c r="Q5" i="1"/>
  <c r="Q6" i="1" s="1"/>
  <c r="P15" i="1" l="1"/>
  <c r="H37" i="2"/>
  <c r="R15" i="1"/>
  <c r="J37" i="2"/>
  <c r="Q15" i="1"/>
  <c r="Q43" i="1" s="1"/>
  <c r="I37" i="2"/>
  <c r="R43" i="1"/>
  <c r="F15" i="1"/>
  <c r="P28" i="1"/>
  <c r="P43" i="1"/>
  <c r="P44" i="1" s="1"/>
  <c r="R6" i="1"/>
  <c r="R44" i="1" l="1"/>
  <c r="J55" i="2"/>
  <c r="J53" i="2" s="1"/>
  <c r="J44" i="2"/>
  <c r="J38" i="2"/>
  <c r="K37" i="2"/>
  <c r="H55" i="2"/>
  <c r="H53" i="2" s="1"/>
  <c r="H44" i="2"/>
  <c r="H38" i="2"/>
  <c r="I55" i="2"/>
  <c r="I53" i="2" s="1"/>
  <c r="I44" i="2"/>
  <c r="I38" i="2"/>
  <c r="F12" i="1"/>
  <c r="J12" i="1" s="1"/>
  <c r="J15" i="1" s="1"/>
  <c r="S15" i="1" s="1"/>
  <c r="F43" i="1"/>
  <c r="F29" i="1"/>
  <c r="F16" i="1"/>
  <c r="F45" i="1" s="1"/>
  <c r="J45" i="1" s="1"/>
  <c r="J16" i="1" s="1"/>
  <c r="F31" i="1"/>
  <c r="J31" i="1" s="1"/>
  <c r="F30" i="1"/>
  <c r="J30" i="1" s="1"/>
  <c r="F34" i="1"/>
  <c r="F32" i="1"/>
  <c r="Q44" i="1"/>
  <c r="Q31" i="1"/>
  <c r="R31" i="1"/>
  <c r="Q30" i="1"/>
  <c r="R30" i="1"/>
  <c r="P31" i="1"/>
  <c r="P30" i="1"/>
  <c r="Q29" i="1"/>
  <c r="R29" i="1"/>
  <c r="P29" i="1"/>
  <c r="R28" i="1"/>
  <c r="Q28" i="1"/>
  <c r="P20" i="1"/>
  <c r="H63" i="2" s="1"/>
  <c r="Q20" i="1"/>
  <c r="I63" i="2" s="1"/>
  <c r="R20" i="1"/>
  <c r="J63" i="2" s="1"/>
  <c r="P16" i="1"/>
  <c r="P45" i="1" s="1"/>
  <c r="P46" i="1" s="1"/>
  <c r="Q16" i="1"/>
  <c r="Q45" i="1" s="1"/>
  <c r="R16" i="1"/>
  <c r="R45" i="1" s="1"/>
  <c r="Q2" i="1"/>
  <c r="P2" i="1" s="1"/>
  <c r="O2" i="1" s="1"/>
  <c r="N2" i="1" s="1"/>
  <c r="M2" i="1" s="1"/>
  <c r="H56" i="2" l="1"/>
  <c r="H61" i="2" s="1"/>
  <c r="H133" i="2" s="1"/>
  <c r="H60" i="2"/>
  <c r="H64" i="2" s="1"/>
  <c r="H139" i="2" s="1"/>
  <c r="L37" i="2"/>
  <c r="K44" i="2"/>
  <c r="H138" i="2"/>
  <c r="H71" i="2"/>
  <c r="H141" i="2" s="1"/>
  <c r="H134" i="2"/>
  <c r="H73" i="2"/>
  <c r="S28" i="1"/>
  <c r="S12" i="1"/>
  <c r="S13" i="1" s="1"/>
  <c r="K49" i="2" s="1"/>
  <c r="S43" i="1"/>
  <c r="S44" i="1" s="1"/>
  <c r="T28" i="1"/>
  <c r="S31" i="1"/>
  <c r="J138" i="2"/>
  <c r="J71" i="2"/>
  <c r="J141" i="2" s="1"/>
  <c r="J73" i="2"/>
  <c r="J134" i="2"/>
  <c r="J56" i="2"/>
  <c r="J61" i="2" s="1"/>
  <c r="J133" i="2" s="1"/>
  <c r="J60" i="2"/>
  <c r="I73" i="2"/>
  <c r="I71" i="2"/>
  <c r="I141" i="2" s="1"/>
  <c r="I138" i="2"/>
  <c r="I134" i="2"/>
  <c r="I60" i="2"/>
  <c r="I56" i="2"/>
  <c r="I61" i="2" s="1"/>
  <c r="I133" i="2" s="1"/>
  <c r="J43" i="1"/>
  <c r="J44" i="1" s="1"/>
  <c r="J18" i="1"/>
  <c r="J28" i="1"/>
  <c r="R22" i="1"/>
  <c r="R24" i="1" s="1"/>
  <c r="R34" i="1" s="1"/>
  <c r="R37" i="1"/>
  <c r="R41" i="1" s="1"/>
  <c r="Q22" i="1"/>
  <c r="Q24" i="1" s="1"/>
  <c r="Q34" i="1" s="1"/>
  <c r="Q37" i="1"/>
  <c r="Q41" i="1" s="1"/>
  <c r="P22" i="1"/>
  <c r="P24" i="1" s="1"/>
  <c r="P34" i="1" s="1"/>
  <c r="P37" i="1"/>
  <c r="P41" i="1" s="1"/>
  <c r="Q46" i="1"/>
  <c r="R46" i="1"/>
  <c r="Q32" i="1"/>
  <c r="R32" i="1"/>
  <c r="P32" i="1"/>
  <c r="I88" i="2" l="1"/>
  <c r="I89" i="2" s="1"/>
  <c r="I142" i="2"/>
  <c r="I147" i="2" s="1"/>
  <c r="J81" i="2"/>
  <c r="J76" i="2"/>
  <c r="J86" i="2"/>
  <c r="J132" i="2"/>
  <c r="J135" i="2" s="1"/>
  <c r="J85" i="2"/>
  <c r="I86" i="2"/>
  <c r="I85" i="2"/>
  <c r="I76" i="2"/>
  <c r="I81" i="2"/>
  <c r="I132" i="2"/>
  <c r="I135" i="2" s="1"/>
  <c r="J64" i="2"/>
  <c r="J139" i="2" s="1"/>
  <c r="I64" i="2"/>
  <c r="I139" i="2" s="1"/>
  <c r="K50" i="2"/>
  <c r="K48" i="2"/>
  <c r="K47" i="2"/>
  <c r="K46" i="2" s="1"/>
  <c r="J142" i="2"/>
  <c r="J147" i="2" s="1"/>
  <c r="J88" i="2"/>
  <c r="J89" i="2" s="1"/>
  <c r="H81" i="2"/>
  <c r="H76" i="2"/>
  <c r="H132" i="2"/>
  <c r="H135" i="2" s="1"/>
  <c r="H85" i="2"/>
  <c r="H86" i="2"/>
  <c r="H142" i="2"/>
  <c r="H147" i="2" s="1"/>
  <c r="H88" i="2"/>
  <c r="H89" i="2" s="1"/>
  <c r="J47" i="1"/>
  <c r="J48" i="1" s="1"/>
  <c r="S18" i="1"/>
  <c r="R33" i="1"/>
  <c r="P33" i="1"/>
  <c r="Q33" i="1"/>
  <c r="Q25" i="1"/>
  <c r="R25" i="1"/>
  <c r="P25" i="1"/>
  <c r="J17" i="1"/>
  <c r="J29" i="1" l="1"/>
  <c r="S17" i="1"/>
  <c r="S47" i="1"/>
  <c r="S48" i="1" s="1"/>
  <c r="S30" i="1"/>
  <c r="L46" i="2"/>
  <c r="M46" i="2" s="1"/>
  <c r="N46" i="2" s="1"/>
  <c r="O46" i="2" s="1"/>
  <c r="P46" i="2" s="1"/>
  <c r="Q46" i="2" s="1"/>
  <c r="R46" i="2" s="1"/>
  <c r="S46" i="2" s="1"/>
  <c r="T46" i="2" s="1"/>
  <c r="U46" i="2" s="1"/>
  <c r="K55" i="2"/>
  <c r="J20" i="1"/>
  <c r="J22" i="1" s="1"/>
  <c r="J23" i="1" s="1"/>
  <c r="J32" i="1"/>
  <c r="K53" i="2" l="1"/>
  <c r="J24" i="1"/>
  <c r="S23" i="1"/>
  <c r="K60" i="2"/>
  <c r="K56" i="2"/>
  <c r="K61" i="2" s="1"/>
  <c r="K133" i="2" s="1"/>
  <c r="S29" i="1"/>
  <c r="S20" i="1"/>
  <c r="S16" i="1"/>
  <c r="S45" i="1" s="1"/>
  <c r="S46" i="1" s="1"/>
  <c r="J25" i="1"/>
  <c r="J34" i="1"/>
  <c r="R30" i="2"/>
  <c r="N30" i="2"/>
  <c r="L44" i="2"/>
  <c r="U30" i="2"/>
  <c r="T30" i="2"/>
  <c r="Q30" i="2"/>
  <c r="P30" i="2"/>
  <c r="O30" i="2"/>
  <c r="S30" i="2"/>
  <c r="M30" i="2"/>
  <c r="L55" i="2"/>
  <c r="L53" i="2" s="1"/>
  <c r="L30" i="2"/>
  <c r="S22" i="1" l="1"/>
  <c r="S24" i="1" s="1"/>
  <c r="S32" i="1"/>
  <c r="K66" i="2" s="1"/>
  <c r="S37" i="1"/>
  <c r="S41" i="1" s="1"/>
  <c r="K76" i="2"/>
  <c r="K85" i="2"/>
  <c r="K81" i="2"/>
  <c r="K132" i="2"/>
  <c r="K86" i="2"/>
  <c r="S33" i="1"/>
  <c r="K71" i="2" s="1"/>
  <c r="L56" i="2"/>
  <c r="L61" i="2" s="1"/>
  <c r="L133" i="2" s="1"/>
  <c r="L60" i="2"/>
  <c r="L85" i="2" l="1"/>
  <c r="K65" i="2"/>
  <c r="K67" i="2"/>
  <c r="L81" i="2"/>
  <c r="L80" i="2" s="1"/>
  <c r="L76" i="2"/>
  <c r="K141" i="2"/>
  <c r="F12" i="4"/>
  <c r="F14" i="4" s="1"/>
  <c r="F22" i="4" s="1"/>
  <c r="L18" i="2" s="1"/>
  <c r="S25" i="1"/>
  <c r="S34" i="1"/>
  <c r="L132" i="2"/>
  <c r="M81" i="2" l="1"/>
  <c r="N81" i="2" s="1"/>
  <c r="O81" i="2" s="1"/>
  <c r="P81" i="2" s="1"/>
  <c r="K64" i="2"/>
  <c r="M76" i="2"/>
  <c r="L75" i="2"/>
  <c r="L78" i="2" s="1"/>
  <c r="H18" i="2"/>
  <c r="P18" i="2"/>
  <c r="M85" i="2"/>
  <c r="L84" i="2"/>
  <c r="L144" i="2"/>
  <c r="L82" i="2"/>
  <c r="L136" i="2" l="1"/>
  <c r="L143" i="2" s="1"/>
  <c r="L64" i="2"/>
  <c r="L145" i="2"/>
  <c r="L86" i="2"/>
  <c r="Q81" i="2"/>
  <c r="R81" i="2" s="1"/>
  <c r="L77" i="2"/>
  <c r="L137" i="2" s="1"/>
  <c r="N85" i="2"/>
  <c r="O85" i="2" s="1"/>
  <c r="P85" i="2" s="1"/>
  <c r="K139" i="2"/>
  <c r="K63" i="2"/>
  <c r="D23" i="2"/>
  <c r="C126" i="2"/>
  <c r="K126" i="2"/>
  <c r="N76" i="2"/>
  <c r="O76" i="2" s="1"/>
  <c r="Q85" i="2" l="1"/>
  <c r="R85" i="2" s="1"/>
  <c r="L119" i="2"/>
  <c r="K99" i="2"/>
  <c r="D119" i="2"/>
  <c r="C125" i="2"/>
  <c r="C124" i="2" s="1"/>
  <c r="C127" i="2"/>
  <c r="C128" i="2" s="1"/>
  <c r="L139" i="2"/>
  <c r="L63" i="2"/>
  <c r="M64" i="2"/>
  <c r="M139" i="2" s="1"/>
  <c r="K127" i="2"/>
  <c r="K128" i="2" s="1"/>
  <c r="K125" i="2"/>
  <c r="K124" i="2" s="1"/>
  <c r="K138" i="2"/>
  <c r="K134" i="2"/>
  <c r="K135" i="2" s="1"/>
  <c r="K70" i="2"/>
  <c r="K140" i="2" s="1"/>
  <c r="S81" i="2"/>
  <c r="T81" i="2" s="1"/>
  <c r="P76" i="2"/>
  <c r="Q76" i="2" s="1"/>
  <c r="R76" i="2" s="1"/>
  <c r="S76" i="2" s="1"/>
  <c r="T76" i="2" s="1"/>
  <c r="S85" i="2" l="1"/>
  <c r="T85" i="2" s="1"/>
  <c r="U85" i="2" s="1"/>
  <c r="K73" i="2"/>
  <c r="K88" i="2" s="1"/>
  <c r="K89" i="2" s="1"/>
  <c r="N64" i="2"/>
  <c r="N139" i="2" s="1"/>
  <c r="U81" i="2"/>
  <c r="T20" i="2"/>
  <c r="T99" i="2" s="1"/>
  <c r="L99" i="2" s="1"/>
  <c r="M99" i="2" s="1"/>
  <c r="N99" i="2" s="1"/>
  <c r="O99" i="2" s="1"/>
  <c r="P99" i="2" s="1"/>
  <c r="Q99" i="2" s="1"/>
  <c r="R99" i="2" s="1"/>
  <c r="S99" i="2" s="1"/>
  <c r="K100" i="2"/>
  <c r="L138" i="2"/>
  <c r="L70" i="2"/>
  <c r="L140" i="2" s="1"/>
  <c r="L134" i="2"/>
  <c r="L135" i="2" s="1"/>
  <c r="U76" i="2"/>
  <c r="K142" i="2" l="1"/>
  <c r="K147" i="2" s="1"/>
  <c r="L73" i="2"/>
  <c r="L142" i="2" s="1"/>
  <c r="L147" i="2" s="1"/>
  <c r="L100" i="2"/>
  <c r="M100" i="2" s="1"/>
  <c r="N100" i="2" s="1"/>
  <c r="O100" i="2" s="1"/>
  <c r="P100" i="2" s="1"/>
  <c r="Q100" i="2" s="1"/>
  <c r="R100" i="2" s="1"/>
  <c r="S100" i="2" s="1"/>
  <c r="T100" i="2" s="1"/>
  <c r="O64" i="2"/>
  <c r="O139" i="2" s="1"/>
  <c r="M38" i="2"/>
  <c r="M37" i="2" s="1"/>
  <c r="M44" i="2" s="1"/>
  <c r="L88" i="2" l="1"/>
  <c r="L89" i="2" s="1"/>
  <c r="P64" i="2"/>
  <c r="P139" i="2" s="1"/>
  <c r="M55" i="2"/>
  <c r="M53" i="2" s="1"/>
  <c r="K94" i="2" l="1"/>
  <c r="K102" i="2" s="1"/>
  <c r="Q64" i="2"/>
  <c r="Q139" i="2" s="1"/>
  <c r="M60" i="2"/>
  <c r="M56" i="2"/>
  <c r="M61" i="2" s="1"/>
  <c r="M133" i="2" s="1"/>
  <c r="R64" i="2" l="1"/>
  <c r="R139" i="2" s="1"/>
  <c r="M63" i="2"/>
  <c r="M84" i="2"/>
  <c r="M75" i="2"/>
  <c r="M78" i="2" s="1"/>
  <c r="M132" i="2"/>
  <c r="M80" i="2"/>
  <c r="T64" i="2" l="1"/>
  <c r="T139" i="2" s="1"/>
  <c r="S64" i="2"/>
  <c r="S139" i="2" s="1"/>
  <c r="M144" i="2"/>
  <c r="M82" i="2"/>
  <c r="M134" i="2"/>
  <c r="M135" i="2" s="1"/>
  <c r="M77" i="2"/>
  <c r="M137" i="2" s="1"/>
  <c r="M136" i="2"/>
  <c r="M143" i="2" s="1"/>
  <c r="M145" i="2"/>
  <c r="M86" i="2"/>
  <c r="M70" i="2"/>
  <c r="M140" i="2" s="1"/>
  <c r="M138" i="2"/>
  <c r="M73" i="2" l="1"/>
  <c r="M142" i="2" s="1"/>
  <c r="M147" i="2" s="1"/>
  <c r="M88" i="2" l="1"/>
  <c r="L94" i="2" s="1"/>
  <c r="M89" i="2" l="1"/>
  <c r="L95" i="2"/>
  <c r="L102" i="2"/>
  <c r="O38" i="2"/>
  <c r="U38" i="2"/>
  <c r="T38" i="2"/>
  <c r="S38" i="2"/>
  <c r="R38" i="2"/>
  <c r="Q38" i="2"/>
  <c r="P38" i="2"/>
  <c r="N38" i="2"/>
  <c r="N37" i="2" s="1"/>
  <c r="N55" i="2" s="1"/>
  <c r="N53" i="2" s="1"/>
  <c r="N60" i="2" l="1"/>
  <c r="N56" i="2"/>
  <c r="N61" i="2" s="1"/>
  <c r="N133" i="2" s="1"/>
  <c r="N44" i="2"/>
  <c r="O37" i="2"/>
  <c r="O44" i="2" l="1"/>
  <c r="O55" i="2"/>
  <c r="O53" i="2" s="1"/>
  <c r="P37" i="2"/>
  <c r="N132" i="2"/>
  <c r="N63" i="2"/>
  <c r="N75" i="2"/>
  <c r="N78" i="2" s="1"/>
  <c r="N80" i="2"/>
  <c r="N84" i="2"/>
  <c r="N144" i="2" l="1"/>
  <c r="N82" i="2"/>
  <c r="N86" i="2"/>
  <c r="N145" i="2"/>
  <c r="O60" i="2"/>
  <c r="O56" i="2"/>
  <c r="O61" i="2" s="1"/>
  <c r="O133" i="2" s="1"/>
  <c r="N136" i="2"/>
  <c r="N143" i="2" s="1"/>
  <c r="N134" i="2"/>
  <c r="N135" i="2" s="1"/>
  <c r="N77" i="2"/>
  <c r="N137" i="2" s="1"/>
  <c r="N138" i="2"/>
  <c r="N70" i="2"/>
  <c r="N140" i="2" s="1"/>
  <c r="P55" i="2"/>
  <c r="P53" i="2" s="1"/>
  <c r="Q37" i="2"/>
  <c r="P44" i="2"/>
  <c r="N73" i="2" l="1"/>
  <c r="N142" i="2" s="1"/>
  <c r="N147" i="2" s="1"/>
  <c r="P60" i="2"/>
  <c r="P56" i="2"/>
  <c r="P61" i="2" s="1"/>
  <c r="P133" i="2" s="1"/>
  <c r="R37" i="2"/>
  <c r="Q44" i="2"/>
  <c r="Q55" i="2"/>
  <c r="Q53" i="2" s="1"/>
  <c r="O84" i="2"/>
  <c r="O80" i="2"/>
  <c r="O75" i="2"/>
  <c r="O78" i="2" s="1"/>
  <c r="O63" i="2"/>
  <c r="O132" i="2"/>
  <c r="O144" i="2" l="1"/>
  <c r="O82" i="2"/>
  <c r="N88" i="2"/>
  <c r="M94" i="2" s="1"/>
  <c r="O134" i="2"/>
  <c r="O135" i="2" s="1"/>
  <c r="O136" i="2"/>
  <c r="O143" i="2" s="1"/>
  <c r="O77" i="2"/>
  <c r="O137" i="2" s="1"/>
  <c r="O86" i="2"/>
  <c r="O145" i="2"/>
  <c r="Q56" i="2"/>
  <c r="Q61" i="2" s="1"/>
  <c r="Q133" i="2" s="1"/>
  <c r="Q60" i="2"/>
  <c r="R55" i="2"/>
  <c r="R53" i="2" s="1"/>
  <c r="R44" i="2"/>
  <c r="S37" i="2"/>
  <c r="O70" i="2"/>
  <c r="O140" i="2" s="1"/>
  <c r="O138" i="2"/>
  <c r="P80" i="2"/>
  <c r="P132" i="2"/>
  <c r="P63" i="2"/>
  <c r="P84" i="2"/>
  <c r="P75" i="2"/>
  <c r="P78" i="2" s="1"/>
  <c r="P144" i="2" l="1"/>
  <c r="P82" i="2"/>
  <c r="N89" i="2"/>
  <c r="O73" i="2"/>
  <c r="O88" i="2" s="1"/>
  <c r="P136" i="2"/>
  <c r="P143" i="2" s="1"/>
  <c r="P77" i="2"/>
  <c r="P137" i="2" s="1"/>
  <c r="P134" i="2"/>
  <c r="P135" i="2" s="1"/>
  <c r="P138" i="2"/>
  <c r="P70" i="2"/>
  <c r="P140" i="2" s="1"/>
  <c r="S55" i="2"/>
  <c r="S53" i="2" s="1"/>
  <c r="S44" i="2"/>
  <c r="T37" i="2"/>
  <c r="R60" i="2"/>
  <c r="R56" i="2"/>
  <c r="R61" i="2" s="1"/>
  <c r="R133" i="2" s="1"/>
  <c r="Q80" i="2"/>
  <c r="Q63" i="2"/>
  <c r="Q132" i="2"/>
  <c r="Q75" i="2"/>
  <c r="Q78" i="2" s="1"/>
  <c r="Q84" i="2"/>
  <c r="P145" i="2"/>
  <c r="P86" i="2"/>
  <c r="M102" i="2"/>
  <c r="M95" i="2"/>
  <c r="Q144" i="2" l="1"/>
  <c r="Q82" i="2"/>
  <c r="O142" i="2"/>
  <c r="O147" i="2" s="1"/>
  <c r="P73" i="2"/>
  <c r="Q138" i="2"/>
  <c r="Q70" i="2"/>
  <c r="Q140" i="2" s="1"/>
  <c r="R63" i="2"/>
  <c r="R80" i="2"/>
  <c r="R132" i="2"/>
  <c r="R75" i="2"/>
  <c r="R78" i="2" s="1"/>
  <c r="R84" i="2"/>
  <c r="O89" i="2"/>
  <c r="N94" i="2"/>
  <c r="S56" i="2"/>
  <c r="S61" i="2" s="1"/>
  <c r="S133" i="2" s="1"/>
  <c r="S60" i="2"/>
  <c r="Q86" i="2"/>
  <c r="Q145" i="2"/>
  <c r="Q136" i="2"/>
  <c r="Q143" i="2" s="1"/>
  <c r="Q134" i="2"/>
  <c r="Q135" i="2" s="1"/>
  <c r="Q77" i="2"/>
  <c r="Q137" i="2" s="1"/>
  <c r="T44" i="2"/>
  <c r="U37" i="2"/>
  <c r="T55" i="2"/>
  <c r="T53" i="2" s="1"/>
  <c r="R144" i="2" l="1"/>
  <c r="R82" i="2"/>
  <c r="R70" i="2"/>
  <c r="R140" i="2" s="1"/>
  <c r="R138" i="2"/>
  <c r="R136" i="2"/>
  <c r="R143" i="2" s="1"/>
  <c r="R77" i="2"/>
  <c r="R137" i="2" s="1"/>
  <c r="R134" i="2"/>
  <c r="R135" i="2" s="1"/>
  <c r="S84" i="2"/>
  <c r="S75" i="2"/>
  <c r="S78" i="2" s="1"/>
  <c r="S132" i="2"/>
  <c r="S80" i="2"/>
  <c r="S63" i="2"/>
  <c r="U44" i="2"/>
  <c r="U55" i="2"/>
  <c r="U53" i="2" s="1"/>
  <c r="N95" i="2"/>
  <c r="N102" i="2"/>
  <c r="Q73" i="2"/>
  <c r="T60" i="2"/>
  <c r="T56" i="2"/>
  <c r="T61" i="2" s="1"/>
  <c r="T133" i="2" s="1"/>
  <c r="R86" i="2"/>
  <c r="R145" i="2"/>
  <c r="P142" i="2"/>
  <c r="P147" i="2" s="1"/>
  <c r="P88" i="2"/>
  <c r="S144" i="2" l="1"/>
  <c r="S82" i="2"/>
  <c r="R73" i="2"/>
  <c r="R142" i="2" s="1"/>
  <c r="R147" i="2" s="1"/>
  <c r="S136" i="2"/>
  <c r="S143" i="2" s="1"/>
  <c r="S77" i="2"/>
  <c r="S137" i="2" s="1"/>
  <c r="S134" i="2"/>
  <c r="S135" i="2" s="1"/>
  <c r="P89" i="2"/>
  <c r="O94" i="2"/>
  <c r="U60" i="2"/>
  <c r="U56" i="2"/>
  <c r="U61" i="2" s="1"/>
  <c r="U133" i="2" s="1"/>
  <c r="Q88" i="2"/>
  <c r="P94" i="2" s="1"/>
  <c r="Q142" i="2"/>
  <c r="Q147" i="2" s="1"/>
  <c r="S86" i="2"/>
  <c r="S145" i="2"/>
  <c r="S138" i="2"/>
  <c r="S70" i="2"/>
  <c r="S140" i="2" s="1"/>
  <c r="T132" i="2"/>
  <c r="T75" i="2"/>
  <c r="T78" i="2" s="1"/>
  <c r="T84" i="2"/>
  <c r="T80" i="2"/>
  <c r="T63" i="2"/>
  <c r="T97" i="2" l="1"/>
  <c r="T144" i="2"/>
  <c r="T82" i="2"/>
  <c r="R88" i="2"/>
  <c r="R89" i="2" s="1"/>
  <c r="S73" i="2"/>
  <c r="S142" i="2" s="1"/>
  <c r="S147" i="2" s="1"/>
  <c r="T138" i="2"/>
  <c r="T70" i="2"/>
  <c r="T140" i="2" s="1"/>
  <c r="O95" i="2"/>
  <c r="O102" i="2"/>
  <c r="P95" i="2"/>
  <c r="P102" i="2"/>
  <c r="U63" i="2"/>
  <c r="U75" i="2"/>
  <c r="U78" i="2" s="1"/>
  <c r="U132" i="2"/>
  <c r="U80" i="2"/>
  <c r="U84" i="2"/>
  <c r="T145" i="2"/>
  <c r="T86" i="2"/>
  <c r="T136" i="2"/>
  <c r="T143" i="2" s="1"/>
  <c r="T77" i="2"/>
  <c r="T137" i="2" s="1"/>
  <c r="T134" i="2"/>
  <c r="T135" i="2" s="1"/>
  <c r="Q89" i="2"/>
  <c r="U144" i="2" l="1"/>
  <c r="U82" i="2"/>
  <c r="Q94" i="2"/>
  <c r="Q102" i="2" s="1"/>
  <c r="S88" i="2"/>
  <c r="R94" i="2" s="1"/>
  <c r="U136" i="2"/>
  <c r="U143" i="2" s="1"/>
  <c r="U77" i="2"/>
  <c r="U137" i="2" s="1"/>
  <c r="U134" i="2"/>
  <c r="U135" i="2" s="1"/>
  <c r="T73" i="2"/>
  <c r="U86" i="2"/>
  <c r="U145" i="2"/>
  <c r="U138" i="2"/>
  <c r="U70" i="2"/>
  <c r="U140" i="2" s="1"/>
  <c r="Q95" i="2" l="1"/>
  <c r="R95" i="2"/>
  <c r="S89" i="2"/>
  <c r="R102" i="2"/>
  <c r="U73" i="2"/>
  <c r="T142" i="2"/>
  <c r="T147" i="2" s="1"/>
  <c r="T88" i="2"/>
  <c r="T89" i="2" l="1"/>
  <c r="S94" i="2"/>
  <c r="U88" i="2"/>
  <c r="U89" i="2" s="1"/>
  <c r="U142" i="2"/>
  <c r="U147" i="2" s="1"/>
  <c r="S102" i="2" l="1"/>
  <c r="S95" i="2"/>
  <c r="T94" i="2"/>
  <c r="T96" i="2" s="1"/>
  <c r="T98" i="2" l="1"/>
  <c r="T103" i="2" s="1"/>
  <c r="T102" i="2"/>
  <c r="T95" i="2"/>
  <c r="D105" i="2" l="1"/>
  <c r="D111" i="2" s="1"/>
  <c r="D114" i="2" s="1"/>
  <c r="G4" i="2" s="1"/>
  <c r="S4" i="2" s="1"/>
  <c r="K123" i="2" l="1"/>
  <c r="C123" i="2"/>
  <c r="O5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2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<sst xmlns="http://schemas.openxmlformats.org/spreadsheetml/2006/main" count="251" uniqueCount="144">
  <si>
    <t>Net sales</t>
  </si>
  <si>
    <t>COS</t>
  </si>
  <si>
    <t>Gross margin</t>
  </si>
  <si>
    <t>SG&amp;A</t>
  </si>
  <si>
    <t>D&amp;A</t>
  </si>
  <si>
    <t>OpInc</t>
  </si>
  <si>
    <t>Interest, net</t>
  </si>
  <si>
    <t>Pre-tax</t>
  </si>
  <si>
    <t>Taxes</t>
  </si>
  <si>
    <t>Net Earnings</t>
  </si>
  <si>
    <t>Net sales YoY</t>
  </si>
  <si>
    <t>SG&amp;A as % of sales</t>
  </si>
  <si>
    <t>D&amp;A as % of sales</t>
  </si>
  <si>
    <t xml:space="preserve">  D&amp;A per store</t>
  </si>
  <si>
    <t xml:space="preserve">  SG&amp;A per store</t>
  </si>
  <si>
    <t xml:space="preserve">  COS per store</t>
  </si>
  <si>
    <t>Shares</t>
  </si>
  <si>
    <t>EPS</t>
  </si>
  <si>
    <t>EBIT margin</t>
  </si>
  <si>
    <t>Net margin</t>
  </si>
  <si>
    <t>Shares YoY</t>
  </si>
  <si>
    <t>Average ticket size</t>
  </si>
  <si>
    <t>Transaction volume</t>
  </si>
  <si>
    <t># of stores</t>
  </si>
  <si>
    <t xml:space="preserve">  Net adds</t>
  </si>
  <si>
    <t xml:space="preserve">  YoY %</t>
  </si>
  <si>
    <t>Transaction volume (millions)</t>
  </si>
  <si>
    <t xml:space="preserve">  Average volume per store</t>
  </si>
  <si>
    <t>Ticker</t>
  </si>
  <si>
    <t>Implied Share Price</t>
  </si>
  <si>
    <t>Base Case</t>
  </si>
  <si>
    <t>Conservative Case</t>
  </si>
  <si>
    <t>Date</t>
  </si>
  <si>
    <t>Current Share Price</t>
  </si>
  <si>
    <t>Optimistic Case</t>
  </si>
  <si>
    <t>Implied Upside (Downside)</t>
  </si>
  <si>
    <t>x</t>
  </si>
  <si>
    <t>Assumptions</t>
  </si>
  <si>
    <t>1 = Conservative Case, 2 = Base / Street Case, 3 = Optimistic Case, 4 = Manual</t>
  </si>
  <si>
    <t>Revenue Build Switches</t>
  </si>
  <si>
    <t>Base / Street Case</t>
  </si>
  <si>
    <t>Financials</t>
  </si>
  <si>
    <t>Cash &amp; Securities</t>
  </si>
  <si>
    <t>Non-operating Assets</t>
  </si>
  <si>
    <t>Minority Interest</t>
  </si>
  <si>
    <t>Pre-tax Cost of Debt</t>
  </si>
  <si>
    <t>Outstanding Diluted Shares</t>
  </si>
  <si>
    <t>EBIT</t>
  </si>
  <si>
    <t>Market Numbers</t>
  </si>
  <si>
    <t>Riskfree Rate</t>
  </si>
  <si>
    <t>Mature Market ERP</t>
  </si>
  <si>
    <t>Beta</t>
  </si>
  <si>
    <t>Terminal Cost of Capital</t>
  </si>
  <si>
    <t>WACC</t>
  </si>
  <si>
    <t>TGR</t>
  </si>
  <si>
    <t>EV/EBITDA</t>
  </si>
  <si>
    <t>Valuation Assumptions</t>
  </si>
  <si>
    <t>Manual</t>
  </si>
  <si>
    <t>Ending</t>
  </si>
  <si>
    <t xml:space="preserve">  % growth</t>
  </si>
  <si>
    <t>Optimstic Case</t>
  </si>
  <si>
    <t>Total Revenue</t>
  </si>
  <si>
    <t>Revenue</t>
  </si>
  <si>
    <t>EBIT (Operating Income)</t>
  </si>
  <si>
    <t xml:space="preserve">  % of sales</t>
  </si>
  <si>
    <t xml:space="preserve">  % of EBIT</t>
  </si>
  <si>
    <t>EBIAT</t>
  </si>
  <si>
    <t xml:space="preserve">  % of CapEx</t>
  </si>
  <si>
    <t>CapEx</t>
  </si>
  <si>
    <t>dNWC</t>
  </si>
  <si>
    <t xml:space="preserve">  % of  change in sales</t>
  </si>
  <si>
    <t xml:space="preserve">Unlevered FCF </t>
  </si>
  <si>
    <t>Projection Period (12/31 YE)</t>
  </si>
  <si>
    <t>Adjusted Unlevered FCF</t>
  </si>
  <si>
    <t>Perpertunity Growth TV</t>
  </si>
  <si>
    <t>EV/EBITDA TV</t>
  </si>
  <si>
    <t>Average TV</t>
  </si>
  <si>
    <t>Discount Factor</t>
  </si>
  <si>
    <t>PV of FCF</t>
  </si>
  <si>
    <t>PV of TV</t>
  </si>
  <si>
    <t>Enterprise Value</t>
  </si>
  <si>
    <t>(+) Cash</t>
  </si>
  <si>
    <t>(+) Non-operating Assets</t>
  </si>
  <si>
    <t>(-) Debt</t>
  </si>
  <si>
    <t>(-) Minority Interest</t>
  </si>
  <si>
    <t xml:space="preserve"> </t>
  </si>
  <si>
    <t>Equity Value</t>
  </si>
  <si>
    <t>Outstanding Diluted Share</t>
  </si>
  <si>
    <t>Sensitivity Analysis</t>
  </si>
  <si>
    <t>TGR Step-up</t>
  </si>
  <si>
    <t>EV/EBITDA Multiple</t>
  </si>
  <si>
    <t>EV/EBITDA Step-up</t>
  </si>
  <si>
    <t>WACC Step-up</t>
  </si>
  <si>
    <t xml:space="preserve">WACC </t>
  </si>
  <si>
    <t>Summary Financials (6/30 FYE)</t>
  </si>
  <si>
    <t>EBITDA</t>
  </si>
  <si>
    <t xml:space="preserve">EBIT </t>
  </si>
  <si>
    <t xml:space="preserve">  (+) D&amp;A</t>
  </si>
  <si>
    <t xml:space="preserve">  (-) CapEx</t>
  </si>
  <si>
    <t xml:space="preserve">  (-) dNWC</t>
  </si>
  <si>
    <t>FCF</t>
  </si>
  <si>
    <t>Q121A</t>
  </si>
  <si>
    <t>Q221A</t>
  </si>
  <si>
    <t>Q321A</t>
  </si>
  <si>
    <t>Q421A</t>
  </si>
  <si>
    <t>Q122A</t>
  </si>
  <si>
    <t>Q222A</t>
  </si>
  <si>
    <t>Q322A</t>
  </si>
  <si>
    <t>WACC = % of equity x cost of equity + % of debt x cost of debt x (1 - tax rate)</t>
  </si>
  <si>
    <t>Cost of equity = Risk Free Rate + Beta x Market Risk Premium</t>
  </si>
  <si>
    <t>WACC Calculation</t>
  </si>
  <si>
    <t>Tax Rate</t>
  </si>
  <si>
    <t>D/(D+E)</t>
  </si>
  <si>
    <t>After Tax Cost of Debt</t>
  </si>
  <si>
    <t>10 yr Treasury Yield</t>
  </si>
  <si>
    <t>Equity Risk Premium</t>
  </si>
  <si>
    <t>E/(D+E)</t>
  </si>
  <si>
    <t>Cost of Equity</t>
  </si>
  <si>
    <t>$s in millions</t>
  </si>
  <si>
    <t xml:space="preserve">  Sales per store</t>
  </si>
  <si>
    <t xml:space="preserve">  CapEx per store</t>
  </si>
  <si>
    <t>Unlevered FCF</t>
  </si>
  <si>
    <t>Q422E</t>
  </si>
  <si>
    <t>Lowe's DCF</t>
  </si>
  <si>
    <t>LOW</t>
  </si>
  <si>
    <t>Revenue Build (1/31 FYE)</t>
  </si>
  <si>
    <t>DCF (1/31 FYE)</t>
  </si>
  <si>
    <t>Average volume per store</t>
  </si>
  <si>
    <t>Net adds</t>
  </si>
  <si>
    <t>Avg. ticket size</t>
  </si>
  <si>
    <t xml:space="preserve">  per store</t>
  </si>
  <si>
    <t>Avg. ticket size - 2023</t>
  </si>
  <si>
    <t>Interest Bearing Debt</t>
  </si>
  <si>
    <t>Average sales per store</t>
  </si>
  <si>
    <t>EBIT - 2023</t>
  </si>
  <si>
    <t>EBIT - 2032</t>
  </si>
  <si>
    <t>Volume - 2023</t>
  </si>
  <si>
    <t xml:space="preserve">Volume  </t>
  </si>
  <si>
    <t>Avg. ticket size - 2024</t>
  </si>
  <si>
    <t>Price Target: $329.73</t>
  </si>
  <si>
    <t>Implied Upside: 57.93%</t>
  </si>
  <si>
    <t>IRR: 12.36%</t>
  </si>
  <si>
    <t>IRR</t>
  </si>
  <si>
    <t>Total transaction 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</si>
</sst>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General\A"/>
    <numFmt numFmtId="165" formatCode="#,##0.0_);\(#,##0.0\)"/>
    <numFmt numFmtId="166" formatCode="&quot;$&quot;#,##0.00"/>
    <numFmt numFmtId="167" formatCode="General\E"/>
    <numFmt numFmtId="168" formatCode="_([$$-409]* #,##0.00_);_([$$-409]* \(#,##0.00\);_([$$-409]* &quot;-&quot;??_);_(@_)"/>
    <numFmt numFmtId="169" formatCode="0.0%"/>
    <numFmt numFmtId="170" formatCode="0.0\x"/>
    <numFmt numFmtId="171" formatCode="#,##0.0"/>
    <numFmt numFmtId="172" formatCode="0.0"/>
  </numFmts>
  <fonts count="2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9"/>
      <name val="Geneva"/>
      <family val="2"/>
    </font>
    <font>
      <sz val="12"/>
      <name val="Calibri"/>
      <family val="2"/>
      <scheme val="minor"/>
    </font>
    <font>
      <b/>
      <sz val="20"/>
      <name val="Calibri"/>
      <family val="2"/>
      <scheme val="minor"/>
    </font>
    <font>
      <b/>
      <sz val="16"/>
      <name val="Calibri"/>
      <family val="2"/>
      <scheme val="minor"/>
    </font>
    <font>
      <sz val="16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0"/>
      <name val="Calibri (Body)"/>
    </font>
    <font>
      <b/>
      <u/>
      <sz val="12"/>
      <name val="Calibri"/>
      <family val="2"/>
      <scheme val="minor"/>
    </font>
    <font>
      <sz val="12"/>
      <color theme="9"/>
      <name val="Calibri"/>
      <family val="2"/>
      <scheme val="minor"/>
    </font>
    <font>
      <i/>
      <sz val="12"/>
      <name val="Calibri"/>
      <family val="2"/>
      <scheme val="minor"/>
    </font>
    <font>
      <sz val="12"/>
      <color rgb="FF7030A0"/>
      <name val="Calibri"/>
      <family val="2"/>
      <scheme val="minor"/>
    </font>
    <font>
      <i/>
      <sz val="12"/>
      <color theme="9"/>
      <name val="Calibri"/>
      <family val="2"/>
      <scheme val="minor"/>
    </font>
    <font>
      <i/>
      <sz val="12"/>
      <color rgb="FF7030A0"/>
      <name val="Calibri"/>
      <family val="2"/>
      <scheme val="minor"/>
    </font>
    <font>
      <i/>
      <sz val="12"/>
      <color rgb="FFFF0000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9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" fillId="3" borderId="1" applyNumberFormat="0" applyAlignment="0" applyProtection="0"/>
    <xf numFmtId="0" fontId="9" fillId="0" borderId="0"/>
    <xf numFmtId="9" fontId="9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</cellStyleXfs>
  <cellXfs count="192">
    <xf numFmtId="0" fontId="0" fillId="0" borderId="0" xfId="0"/>
    <xf numFmtId="164" fontId="0" fillId="0" borderId="0" xfId="0" applyNumberFormat="1"/>
    <xf numFmtId="37" fontId="0" fillId="0" borderId="0" xfId="0" applyNumberFormat="1"/>
    <xf numFmtId="0" fontId="6" fillId="0" borderId="0" xfId="0" applyFont="1"/>
    <xf numFmtId="37" fontId="6" fillId="0" borderId="0" xfId="0" applyNumberFormat="1" applyFont="1"/>
    <xf numFmtId="165" fontId="0" fillId="0" borderId="0" xfId="0" applyNumberFormat="1"/>
    <xf numFmtId="39" fontId="0" fillId="0" borderId="0" xfId="0" applyNumberFormat="1"/>
    <xf numFmtId="9" fontId="0" fillId="0" borderId="0" xfId="3" applyFont="1"/>
    <xf numFmtId="9" fontId="6" fillId="0" borderId="0" xfId="3" applyFont="1"/>
    <xf numFmtId="9" fontId="1" fillId="0" borderId="0" xfId="3" applyFont="1"/>
    <xf numFmtId="166" fontId="0" fillId="0" borderId="0" xfId="1" applyNumberFormat="1" applyFont="1"/>
    <xf numFmtId="166" fontId="0" fillId="0" borderId="0" xfId="0" applyNumberFormat="1"/>
    <xf numFmtId="0" fontId="8" fillId="0" borderId="0" xfId="0" applyFont="1"/>
    <xf numFmtId="37" fontId="8" fillId="0" borderId="0" xfId="0" applyNumberFormat="1" applyFont="1"/>
    <xf numFmtId="9" fontId="8" fillId="0" borderId="0" xfId="3" applyFont="1"/>
    <xf numFmtId="167" fontId="0" fillId="0" borderId="0" xfId="0" applyNumberFormat="1"/>
    <xf numFmtId="0" fontId="10" fillId="0" borderId="2" xfId="5" applyFont="1" applyBorder="1"/>
    <xf numFmtId="0" fontId="11" fillId="0" borderId="2" xfId="5" applyFont="1" applyBorder="1"/>
    <xf numFmtId="0" fontId="12" fillId="0" borderId="2" xfId="5" applyFont="1" applyBorder="1"/>
    <xf numFmtId="0" fontId="13" fillId="0" borderId="2" xfId="5" applyFont="1" applyBorder="1"/>
    <xf numFmtId="0" fontId="10" fillId="0" borderId="0" xfId="5" applyFont="1"/>
    <xf numFmtId="0" fontId="3" fillId="3" borderId="1" xfId="4" applyAlignment="1" applyProtection="1">
      <alignment horizontal="center"/>
    </xf>
    <xf numFmtId="44" fontId="3" fillId="3" borderId="1" xfId="2" applyFont="1" applyFill="1" applyBorder="1" applyProtection="1"/>
    <xf numFmtId="44" fontId="3" fillId="3" borderId="1" xfId="4" applyNumberFormat="1" applyProtection="1"/>
    <xf numFmtId="14" fontId="3" fillId="3" borderId="1" xfId="4" applyNumberFormat="1" applyAlignment="1" applyProtection="1">
      <alignment horizontal="center"/>
    </xf>
    <xf numFmtId="168" fontId="3" fillId="3" borderId="1" xfId="4" applyNumberFormat="1" applyProtection="1"/>
    <xf numFmtId="10" fontId="3" fillId="3" borderId="1" xfId="6" applyNumberFormat="1" applyFont="1" applyFill="1" applyBorder="1" applyAlignment="1" applyProtection="1">
      <alignment horizontal="center"/>
    </xf>
    <xf numFmtId="0" fontId="4" fillId="4" borderId="0" xfId="5" applyFont="1" applyFill="1"/>
    <xf numFmtId="0" fontId="14" fillId="4" borderId="0" xfId="5" applyFont="1" applyFill="1"/>
    <xf numFmtId="0" fontId="15" fillId="4" borderId="0" xfId="5" applyFont="1" applyFill="1"/>
    <xf numFmtId="0" fontId="10" fillId="4" borderId="0" xfId="5" applyFont="1" applyFill="1"/>
    <xf numFmtId="0" fontId="16" fillId="0" borderId="0" xfId="5" applyFont="1"/>
    <xf numFmtId="0" fontId="9" fillId="0" borderId="0" xfId="5"/>
    <xf numFmtId="0" fontId="3" fillId="3" borderId="1" xfId="4" applyAlignment="1" applyProtection="1">
      <alignment horizontal="center"/>
      <protection locked="0"/>
    </xf>
    <xf numFmtId="9" fontId="3" fillId="3" borderId="1" xfId="6" applyFont="1" applyFill="1" applyBorder="1" applyAlignment="1" applyProtection="1">
      <alignment horizontal="center"/>
    </xf>
    <xf numFmtId="37" fontId="3" fillId="3" borderId="1" xfId="6" applyNumberFormat="1" applyFont="1" applyFill="1" applyBorder="1" applyAlignment="1" applyProtection="1">
      <alignment horizontal="center"/>
      <protection locked="0"/>
    </xf>
    <xf numFmtId="169" fontId="3" fillId="3" borderId="1" xfId="6" applyNumberFormat="1" applyFont="1" applyFill="1" applyBorder="1" applyAlignment="1" applyProtection="1">
      <alignment horizontal="center"/>
    </xf>
    <xf numFmtId="0" fontId="10" fillId="0" borderId="0" xfId="5" applyFont="1" applyAlignment="1">
      <alignment horizontal="center"/>
    </xf>
    <xf numFmtId="169" fontId="3" fillId="3" borderId="1" xfId="6" applyNumberFormat="1" applyFont="1" applyFill="1" applyBorder="1" applyAlignment="1" applyProtection="1">
      <alignment horizontal="center"/>
      <protection locked="0"/>
    </xf>
    <xf numFmtId="9" fontId="3" fillId="3" borderId="1" xfId="6" applyFont="1" applyFill="1" applyBorder="1" applyAlignment="1" applyProtection="1">
      <alignment horizontal="center"/>
      <protection locked="0"/>
    </xf>
    <xf numFmtId="0" fontId="3" fillId="3" borderId="1" xfId="6" applyNumberFormat="1" applyFont="1" applyFill="1" applyBorder="1" applyAlignment="1" applyProtection="1">
      <alignment horizontal="center"/>
      <protection locked="0"/>
    </xf>
    <xf numFmtId="169" fontId="17" fillId="3" borderId="1" xfId="4" applyNumberFormat="1" applyFont="1" applyAlignment="1" applyProtection="1">
      <alignment horizontal="center"/>
    </xf>
    <xf numFmtId="169" fontId="3" fillId="3" borderId="1" xfId="4" applyNumberFormat="1" applyAlignment="1" applyProtection="1">
      <alignment horizontal="center"/>
    </xf>
    <xf numFmtId="170" fontId="3" fillId="3" borderId="1" xfId="4" applyNumberFormat="1" applyAlignment="1" applyProtection="1">
      <alignment horizontal="center"/>
    </xf>
    <xf numFmtId="170" fontId="10" fillId="0" borderId="0" xfId="5" applyNumberFormat="1" applyFont="1"/>
    <xf numFmtId="169" fontId="3" fillId="3" borderId="1" xfId="4" applyNumberFormat="1" applyAlignment="1" applyProtection="1">
      <alignment horizontal="center"/>
      <protection locked="0"/>
    </xf>
    <xf numFmtId="170" fontId="3" fillId="3" borderId="1" xfId="4" applyNumberFormat="1" applyAlignment="1" applyProtection="1">
      <alignment horizontal="center"/>
      <protection locked="0"/>
    </xf>
    <xf numFmtId="164" fontId="4" fillId="4" borderId="0" xfId="5" applyNumberFormat="1" applyFont="1" applyFill="1"/>
    <xf numFmtId="167" fontId="4" fillId="4" borderId="0" xfId="5" applyNumberFormat="1" applyFont="1" applyFill="1"/>
    <xf numFmtId="17" fontId="4" fillId="4" borderId="0" xfId="5" applyNumberFormat="1" applyFont="1" applyFill="1"/>
    <xf numFmtId="37" fontId="17" fillId="0" borderId="0" xfId="5" applyNumberFormat="1" applyFont="1"/>
    <xf numFmtId="37" fontId="17" fillId="0" borderId="3" xfId="5" applyNumberFormat="1" applyFont="1" applyBorder="1"/>
    <xf numFmtId="37" fontId="10" fillId="0" borderId="0" xfId="5" applyNumberFormat="1" applyFont="1"/>
    <xf numFmtId="0" fontId="18" fillId="0" borderId="0" xfId="5" applyFont="1"/>
    <xf numFmtId="9" fontId="18" fillId="0" borderId="0" xfId="6" applyFont="1" applyProtection="1"/>
    <xf numFmtId="9" fontId="18" fillId="0" borderId="3" xfId="6" applyFont="1" applyBorder="1" applyProtection="1"/>
    <xf numFmtId="0" fontId="10" fillId="0" borderId="3" xfId="5" applyFont="1" applyBorder="1"/>
    <xf numFmtId="9" fontId="19" fillId="3" borderId="4" xfId="4" applyNumberFormat="1" applyFont="1" applyBorder="1" applyProtection="1"/>
    <xf numFmtId="9" fontId="19" fillId="3" borderId="1" xfId="4" applyNumberFormat="1" applyFont="1" applyProtection="1"/>
    <xf numFmtId="9" fontId="3" fillId="3" borderId="1" xfId="4" applyNumberFormat="1" applyProtection="1"/>
    <xf numFmtId="9" fontId="17" fillId="3" borderId="4" xfId="4" applyNumberFormat="1" applyFont="1" applyBorder="1" applyProtection="1"/>
    <xf numFmtId="9" fontId="3" fillId="3" borderId="4" xfId="4" applyNumberFormat="1" applyBorder="1" applyProtection="1">
      <protection locked="0"/>
    </xf>
    <xf numFmtId="9" fontId="3" fillId="3" borderId="1" xfId="4" applyNumberFormat="1" applyProtection="1">
      <protection locked="0"/>
    </xf>
    <xf numFmtId="37" fontId="1" fillId="0" borderId="0" xfId="5" applyNumberFormat="1" applyFont="1"/>
    <xf numFmtId="0" fontId="0" fillId="0" borderId="3" xfId="0" applyBorder="1"/>
    <xf numFmtId="0" fontId="16" fillId="0" borderId="5" xfId="5" applyFont="1" applyBorder="1"/>
    <xf numFmtId="0" fontId="10" fillId="0" borderId="5" xfId="5" applyFont="1" applyBorder="1"/>
    <xf numFmtId="37" fontId="10" fillId="0" borderId="5" xfId="5" applyNumberFormat="1" applyFont="1" applyBorder="1"/>
    <xf numFmtId="37" fontId="10" fillId="0" borderId="6" xfId="5" applyNumberFormat="1" applyFont="1" applyBorder="1"/>
    <xf numFmtId="37" fontId="19" fillId="0" borderId="0" xfId="5" applyNumberFormat="1" applyFont="1"/>
    <xf numFmtId="37" fontId="19" fillId="0" borderId="3" xfId="5" applyNumberFormat="1" applyFont="1" applyBorder="1"/>
    <xf numFmtId="0" fontId="8" fillId="0" borderId="0" xfId="5" applyFont="1"/>
    <xf numFmtId="9" fontId="8" fillId="0" borderId="0" xfId="5" applyNumberFormat="1" applyFont="1"/>
    <xf numFmtId="9" fontId="8" fillId="0" borderId="3" xfId="5" applyNumberFormat="1" applyFont="1" applyBorder="1"/>
    <xf numFmtId="0" fontId="1" fillId="0" borderId="0" xfId="5" applyFont="1"/>
    <xf numFmtId="0" fontId="1" fillId="0" borderId="3" xfId="5" applyFont="1" applyBorder="1"/>
    <xf numFmtId="9" fontId="8" fillId="0" borderId="0" xfId="6" applyFont="1" applyProtection="1"/>
    <xf numFmtId="9" fontId="8" fillId="0" borderId="3" xfId="6" applyFont="1" applyBorder="1" applyProtection="1"/>
    <xf numFmtId="9" fontId="20" fillId="0" borderId="0" xfId="6" applyFont="1" applyProtection="1"/>
    <xf numFmtId="9" fontId="21" fillId="0" borderId="0" xfId="5" applyNumberFormat="1" applyFont="1"/>
    <xf numFmtId="0" fontId="10" fillId="0" borderId="7" xfId="5" applyFont="1" applyBorder="1"/>
    <xf numFmtId="37" fontId="1" fillId="0" borderId="7" xfId="5" applyNumberFormat="1" applyFont="1" applyBorder="1"/>
    <xf numFmtId="37" fontId="1" fillId="0" borderId="8" xfId="5" applyNumberFormat="1" applyFont="1" applyBorder="1"/>
    <xf numFmtId="0" fontId="1" fillId="0" borderId="6" xfId="5" applyFont="1" applyBorder="1"/>
    <xf numFmtId="9" fontId="22" fillId="0" borderId="0" xfId="6" applyFont="1" applyProtection="1"/>
    <xf numFmtId="37" fontId="1" fillId="0" borderId="3" xfId="5" applyNumberFormat="1" applyFont="1" applyBorder="1"/>
    <xf numFmtId="37" fontId="8" fillId="0" borderId="0" xfId="5" applyNumberFormat="1" applyFont="1"/>
    <xf numFmtId="9" fontId="1" fillId="0" borderId="0" xfId="6" applyFont="1" applyProtection="1"/>
    <xf numFmtId="9" fontId="1" fillId="0" borderId="3" xfId="6" applyFont="1" applyBorder="1" applyProtection="1"/>
    <xf numFmtId="37" fontId="1" fillId="0" borderId="5" xfId="6" applyNumberFormat="1" applyFont="1" applyBorder="1" applyProtection="1"/>
    <xf numFmtId="37" fontId="1" fillId="0" borderId="6" xfId="6" applyNumberFormat="1" applyFont="1" applyBorder="1" applyProtection="1"/>
    <xf numFmtId="9" fontId="8" fillId="0" borderId="0" xfId="6" applyFont="1" applyBorder="1" applyProtection="1"/>
    <xf numFmtId="9" fontId="10" fillId="0" borderId="0" xfId="6" applyFont="1" applyBorder="1" applyProtection="1"/>
    <xf numFmtId="9" fontId="10" fillId="0" borderId="3" xfId="6" applyFont="1" applyBorder="1" applyProtection="1"/>
    <xf numFmtId="37" fontId="10" fillId="0" borderId="0" xfId="6" applyNumberFormat="1" applyFont="1" applyBorder="1" applyProtection="1"/>
    <xf numFmtId="9" fontId="2" fillId="2" borderId="0" xfId="6" applyFont="1" applyFill="1" applyProtection="1"/>
    <xf numFmtId="37" fontId="4" fillId="4" borderId="0" xfId="5" applyNumberFormat="1" applyFont="1" applyFill="1"/>
    <xf numFmtId="0" fontId="6" fillId="0" borderId="0" xfId="5" applyFont="1"/>
    <xf numFmtId="9" fontId="10" fillId="0" borderId="0" xfId="6" applyFont="1" applyProtection="1"/>
    <xf numFmtId="37" fontId="10" fillId="0" borderId="0" xfId="6" applyNumberFormat="1" applyFont="1" applyProtection="1"/>
    <xf numFmtId="0" fontId="18" fillId="0" borderId="3" xfId="5" applyFont="1" applyBorder="1"/>
    <xf numFmtId="37" fontId="10" fillId="0" borderId="9" xfId="5" applyNumberFormat="1" applyFont="1" applyBorder="1"/>
    <xf numFmtId="0" fontId="10" fillId="0" borderId="9" xfId="5" applyFont="1" applyBorder="1"/>
    <xf numFmtId="0" fontId="10" fillId="0" borderId="10" xfId="5" applyFont="1" applyBorder="1"/>
    <xf numFmtId="169" fontId="19" fillId="0" borderId="0" xfId="6" applyNumberFormat="1" applyFont="1" applyProtection="1"/>
    <xf numFmtId="169" fontId="1" fillId="0" borderId="0" xfId="6" applyNumberFormat="1" applyFont="1" applyProtection="1"/>
    <xf numFmtId="2" fontId="10" fillId="0" borderId="0" xfId="5" applyNumberFormat="1" applyFont="1"/>
    <xf numFmtId="0" fontId="10" fillId="0" borderId="8" xfId="5" applyFont="1" applyBorder="1"/>
    <xf numFmtId="37" fontId="10" fillId="0" borderId="7" xfId="5" applyNumberFormat="1" applyFont="1" applyBorder="1"/>
    <xf numFmtId="0" fontId="14" fillId="0" borderId="5" xfId="5" applyFont="1" applyBorder="1"/>
    <xf numFmtId="3" fontId="19" fillId="0" borderId="0" xfId="5" applyNumberFormat="1" applyFont="1"/>
    <xf numFmtId="3" fontId="1" fillId="0" borderId="5" xfId="5" applyNumberFormat="1" applyFont="1" applyBorder="1"/>
    <xf numFmtId="3" fontId="1" fillId="0" borderId="9" xfId="5" applyNumberFormat="1" applyFont="1" applyBorder="1"/>
    <xf numFmtId="0" fontId="14" fillId="0" borderId="0" xfId="5" applyFont="1"/>
    <xf numFmtId="4" fontId="10" fillId="0" borderId="0" xfId="5" applyNumberFormat="1" applyFont="1"/>
    <xf numFmtId="0" fontId="7" fillId="4" borderId="0" xfId="5" applyFont="1" applyFill="1"/>
    <xf numFmtId="37" fontId="7" fillId="4" borderId="0" xfId="5" applyNumberFormat="1" applyFont="1" applyFill="1"/>
    <xf numFmtId="169" fontId="19" fillId="3" borderId="1" xfId="4" applyNumberFormat="1" applyFont="1" applyAlignment="1" applyProtection="1">
      <alignment horizontal="center"/>
    </xf>
    <xf numFmtId="170" fontId="19" fillId="3" borderId="1" xfId="4" applyNumberFormat="1" applyFont="1" applyAlignment="1" applyProtection="1">
      <alignment horizontal="center"/>
    </xf>
    <xf numFmtId="170" fontId="3" fillId="3" borderId="1" xfId="6" applyNumberFormat="1" applyFont="1" applyFill="1" applyBorder="1" applyAlignment="1" applyProtection="1">
      <alignment horizontal="center"/>
      <protection locked="0"/>
    </xf>
    <xf numFmtId="169" fontId="10" fillId="5" borderId="0" xfId="5" applyNumberFormat="1" applyFont="1" applyFill="1"/>
    <xf numFmtId="169" fontId="10" fillId="5" borderId="0" xfId="6" applyNumberFormat="1" applyFont="1" applyFill="1" applyProtection="1"/>
    <xf numFmtId="170" fontId="10" fillId="5" borderId="0" xfId="5" applyNumberFormat="1" applyFont="1" applyFill="1"/>
    <xf numFmtId="169" fontId="10" fillId="5" borderId="0" xfId="6" applyNumberFormat="1" applyFont="1" applyFill="1" applyAlignment="1" applyProtection="1"/>
    <xf numFmtId="2" fontId="10" fillId="5" borderId="0" xfId="5" applyNumberFormat="1" applyFont="1" applyFill="1"/>
    <xf numFmtId="2" fontId="7" fillId="4" borderId="0" xfId="5" applyNumberFormat="1" applyFont="1" applyFill="1"/>
    <xf numFmtId="37" fontId="10" fillId="0" borderId="3" xfId="5" applyNumberFormat="1" applyFont="1" applyBorder="1"/>
    <xf numFmtId="9" fontId="18" fillId="0" borderId="0" xfId="5" applyNumberFormat="1" applyFont="1"/>
    <xf numFmtId="9" fontId="18" fillId="0" borderId="3" xfId="5" applyNumberFormat="1" applyFont="1" applyBorder="1"/>
    <xf numFmtId="37" fontId="10" fillId="0" borderId="10" xfId="5" applyNumberFormat="1" applyFont="1" applyBorder="1"/>
    <xf numFmtId="0" fontId="0" fillId="0" borderId="0" xfId="0" applyAlignment="1">
      <alignment horizontal="right"/>
    </xf>
    <xf numFmtId="37" fontId="5" fillId="0" borderId="0" xfId="0" applyNumberFormat="1" applyFont="1"/>
    <xf numFmtId="9" fontId="5" fillId="0" borderId="0" xfId="3" applyFont="1"/>
    <xf numFmtId="3" fontId="0" fillId="0" borderId="0" xfId="0" applyNumberFormat="1"/>
    <xf numFmtId="0" fontId="1" fillId="0" borderId="2" xfId="7" applyBorder="1"/>
    <xf numFmtId="0" fontId="24" fillId="0" borderId="2" xfId="7" applyFont="1" applyBorder="1"/>
    <xf numFmtId="0" fontId="1" fillId="0" borderId="0" xfId="7"/>
    <xf numFmtId="3" fontId="1" fillId="0" borderId="0" xfId="7" applyNumberFormat="1"/>
    <xf numFmtId="38" fontId="1" fillId="0" borderId="0" xfId="7" applyNumberFormat="1"/>
    <xf numFmtId="10" fontId="1" fillId="0" borderId="0" xfId="8" applyNumberFormat="1" applyFont="1"/>
    <xf numFmtId="0" fontId="1" fillId="0" borderId="9" xfId="7" applyBorder="1"/>
    <xf numFmtId="10" fontId="1" fillId="0" borderId="9" xfId="8" applyNumberFormat="1" applyFont="1" applyBorder="1"/>
    <xf numFmtId="0" fontId="6" fillId="0" borderId="7" xfId="7" applyFont="1" applyBorder="1"/>
    <xf numFmtId="0" fontId="1" fillId="0" borderId="7" xfId="7" applyBorder="1"/>
    <xf numFmtId="10" fontId="1" fillId="0" borderId="7" xfId="7" applyNumberFormat="1" applyBorder="1"/>
    <xf numFmtId="10" fontId="1" fillId="0" borderId="0" xfId="7" applyNumberFormat="1"/>
    <xf numFmtId="0" fontId="6" fillId="0" borderId="0" xfId="7" applyFont="1"/>
    <xf numFmtId="0" fontId="6" fillId="0" borderId="7" xfId="7" applyFont="1" applyBorder="1" applyAlignment="1">
      <alignment vertical="center"/>
    </xf>
    <xf numFmtId="0" fontId="1" fillId="0" borderId="7" xfId="7" applyBorder="1" applyAlignment="1">
      <alignment vertical="center"/>
    </xf>
    <xf numFmtId="10" fontId="6" fillId="0" borderId="7" xfId="7" applyNumberFormat="1" applyFont="1" applyBorder="1" applyAlignment="1">
      <alignment vertical="center"/>
    </xf>
    <xf numFmtId="14" fontId="0" fillId="0" borderId="0" xfId="0" applyNumberFormat="1"/>
    <xf numFmtId="3" fontId="6" fillId="0" borderId="0" xfId="0" applyNumberFormat="1" applyFont="1"/>
    <xf numFmtId="165" fontId="8" fillId="0" borderId="0" xfId="0" applyNumberFormat="1" applyFont="1"/>
    <xf numFmtId="171" fontId="0" fillId="0" borderId="0" xfId="0" applyNumberFormat="1"/>
    <xf numFmtId="172" fontId="0" fillId="0" borderId="0" xfId="0" applyNumberFormat="1"/>
    <xf numFmtId="164" fontId="0" fillId="0" borderId="0" xfId="0" applyNumberFormat="1" applyAlignment="1">
      <alignment horizontal="right"/>
    </xf>
    <xf numFmtId="37" fontId="26" fillId="0" borderId="0" xfId="0" applyNumberFormat="1" applyFont="1"/>
    <xf numFmtId="37" fontId="27" fillId="0" borderId="0" xfId="0" applyNumberFormat="1" applyFont="1"/>
    <xf numFmtId="9" fontId="22" fillId="0" borderId="0" xfId="3" applyFont="1"/>
    <xf numFmtId="165" fontId="5" fillId="0" borderId="0" xfId="0" applyNumberFormat="1" applyFont="1"/>
    <xf numFmtId="37" fontId="1" fillId="0" borderId="0" xfId="3" applyNumberFormat="1" applyFont="1"/>
    <xf numFmtId="39" fontId="17" fillId="0" borderId="0" xfId="5" applyNumberFormat="1" applyFont="1"/>
    <xf numFmtId="37" fontId="18" fillId="0" borderId="0" xfId="6" applyNumberFormat="1" applyFont="1" applyProtection="1"/>
    <xf numFmtId="37" fontId="19" fillId="3" borderId="4" xfId="4" applyNumberFormat="1" applyFont="1" applyBorder="1" applyProtection="1"/>
    <xf numFmtId="37" fontId="3" fillId="3" borderId="1" xfId="4" applyNumberFormat="1" applyProtection="1"/>
    <xf numFmtId="37" fontId="17" fillId="3" borderId="4" xfId="4" applyNumberFormat="1" applyFont="1" applyBorder="1" applyProtection="1"/>
    <xf numFmtId="37" fontId="3" fillId="3" borderId="4" xfId="4" applyNumberFormat="1" applyBorder="1" applyProtection="1">
      <protection locked="0"/>
    </xf>
    <xf numFmtId="37" fontId="3" fillId="3" borderId="1" xfId="4" applyNumberFormat="1" applyProtection="1">
      <protection locked="0"/>
    </xf>
    <xf numFmtId="39" fontId="1" fillId="0" borderId="0" xfId="5" applyNumberFormat="1" applyFont="1"/>
    <xf numFmtId="39" fontId="10" fillId="0" borderId="0" xfId="5" applyNumberFormat="1" applyFont="1"/>
    <xf numFmtId="1" fontId="3" fillId="3" borderId="1" xfId="6" applyNumberFormat="1" applyFont="1" applyFill="1" applyBorder="1" applyAlignment="1" applyProtection="1">
      <alignment horizontal="center"/>
    </xf>
    <xf numFmtId="166" fontId="17" fillId="0" borderId="0" xfId="5" applyNumberFormat="1" applyFont="1"/>
    <xf numFmtId="166" fontId="1" fillId="0" borderId="0" xfId="5" applyNumberFormat="1" applyFont="1"/>
    <xf numFmtId="166" fontId="10" fillId="0" borderId="0" xfId="5" applyNumberFormat="1" applyFont="1"/>
    <xf numFmtId="37" fontId="18" fillId="0" borderId="3" xfId="6" applyNumberFormat="1" applyFont="1" applyBorder="1" applyProtection="1"/>
    <xf numFmtId="39" fontId="17" fillId="0" borderId="3" xfId="5" applyNumberFormat="1" applyFont="1" applyBorder="1"/>
    <xf numFmtId="37" fontId="6" fillId="0" borderId="3" xfId="0" applyNumberFormat="1" applyFont="1" applyBorder="1"/>
    <xf numFmtId="166" fontId="17" fillId="0" borderId="3" xfId="5" applyNumberFormat="1" applyFont="1" applyBorder="1"/>
    <xf numFmtId="9" fontId="22" fillId="0" borderId="0" xfId="6" applyFont="1" applyBorder="1" applyProtection="1"/>
    <xf numFmtId="2" fontId="8" fillId="0" borderId="0" xfId="6" applyNumberFormat="1" applyFont="1" applyProtection="1"/>
    <xf numFmtId="2" fontId="8" fillId="0" borderId="3" xfId="6" applyNumberFormat="1" applyFont="1" applyBorder="1" applyProtection="1"/>
    <xf numFmtId="4" fontId="7" fillId="0" borderId="0" xfId="5" applyNumberFormat="1" applyFont="1"/>
    <xf numFmtId="37" fontId="5" fillId="3" borderId="1" xfId="4" applyNumberFormat="1" applyFont="1" applyProtection="1"/>
    <xf numFmtId="0" fontId="23" fillId="4" borderId="0" xfId="5" applyFont="1" applyFill="1" applyAlignment="1">
      <alignment horizontal="center" vertical="center"/>
    </xf>
    <xf numFmtId="0" fontId="4" fillId="4" borderId="0" xfId="7" applyFont="1" applyFill="1" applyAlignment="1">
      <alignment horizontal="center" vertical="center"/>
    </xf>
    <xf numFmtId="0" fontId="7" fillId="4" borderId="0" xfId="7" applyFont="1" applyFill="1" applyAlignment="1">
      <alignment horizontal="center" vertical="center"/>
    </xf>
    <xf numFmtId="9" fontId="0" fillId="0" borderId="0" xfId="0" applyNumberFormat="1"/>
    <xf numFmtId="1" fontId="0" fillId="0" borderId="0" xfId="0" applyNumberFormat="1"/>
    <xf numFmtId="0" fontId="14" fillId="0" borderId="0" xfId="5" applyFont="1" applyFill="1"/>
    <xf numFmtId="1" fontId="6" fillId="0" borderId="0" xfId="0" applyNumberFormat="1" applyFont="1"/>
    <xf numFmtId="1" fontId="6" fillId="0" borderId="3" xfId="0" applyNumberFormat="1" applyFont="1" applyBorder="1"/>
    <xf numFmtId="0" fontId="0" fillId="0" borderId="10" xfId="0" applyBorder="1"/>
  </cellXfs>
  <cellStyles count="9">
    <cellStyle name="Comma" xfId="1" builtinId="3"/>
    <cellStyle name="Currency" xfId="2" builtinId="4"/>
    <cellStyle name="Input" xfId="4" builtinId="20"/>
    <cellStyle name="Normal" xfId="0" builtinId="0"/>
    <cellStyle name="Normal 2" xfId="5" xr:uid="{7B9D07BE-3596-BA43-B814-A4D0B092CC8B}"/>
    <cellStyle name="Normal 2 2" xfId="7" xr:uid="{8D40232F-1718-1844-BAAA-DDBD61B4227A}"/>
    <cellStyle name="Percent" xfId="3" builtinId="5"/>
    <cellStyle name="Percent 2" xfId="6" xr:uid="{F2E2526D-BD08-4B4C-BA5D-AFF1CAE493E1}"/>
    <cellStyle name="Percent 2 2" xfId="8" xr:uid="{4EB617FD-4A39-314C-8883-0EAE2D2738F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13" Type="http://schemas.microsoft.com/office/2017/06/relationships/rdRichValueTypes" Target="richData/rdRichValueTypes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12" Type="http://schemas.microsoft.com/office/2017/06/relationships/rdSupportingPropertyBag" Target="richData/rdsupportingpropertybag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microsoft.com/office/2017/06/relationships/rdSupportingPropertyBagStructure" Target="richData/rdsupportingpropertybagstructure.xml"/><Relationship Id="rId5" Type="http://schemas.openxmlformats.org/officeDocument/2006/relationships/styles" Target="styles.xml"/><Relationship Id="rId10" Type="http://schemas.microsoft.com/office/2017/06/relationships/richStyles" Target="richData/richStyles.xml"/><Relationship Id="rId4" Type="http://schemas.openxmlformats.org/officeDocument/2006/relationships/theme" Target="theme/theme1.xml"/><Relationship Id="rId9" Type="http://schemas.microsoft.com/office/2017/06/relationships/rdRichValueStructure" Target="richData/rdrichvaluestructure.xml"/><Relationship Id="rId14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0</xdr:row>
      <xdr:rowOff>101600</xdr:rowOff>
    </xdr:from>
    <xdr:to>
      <xdr:col>9</xdr:col>
      <xdr:colOff>12700</xdr:colOff>
      <xdr:row>59</xdr:row>
      <xdr:rowOff>190500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4D961BA-882A-0472-A5C7-65F7B59A3089}"/>
            </a:ext>
          </a:extLst>
        </xdr:cNvPr>
        <xdr:cNvCxnSpPr/>
      </xdr:nvCxnSpPr>
      <xdr:spPr>
        <a:xfrm>
          <a:off x="8813800" y="101600"/>
          <a:ext cx="12700" cy="1207770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25400</xdr:colOff>
      <xdr:row>0</xdr:row>
      <xdr:rowOff>0</xdr:rowOff>
    </xdr:from>
    <xdr:to>
      <xdr:col>18</xdr:col>
      <xdr:colOff>38100</xdr:colOff>
      <xdr:row>59</xdr:row>
      <xdr:rowOff>88900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1F8CB5B6-2D54-5B4E-8182-C379C368471E}"/>
            </a:ext>
          </a:extLst>
        </xdr:cNvPr>
        <xdr:cNvCxnSpPr/>
      </xdr:nvCxnSpPr>
      <xdr:spPr>
        <a:xfrm>
          <a:off x="16268700" y="0"/>
          <a:ext cx="12700" cy="1207770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  <types>
    <type name="_linkedentity">
      <keyFlags>
        <key name="%cvi">
          <flag name="ShowInCardView" value="0"/>
          <flag name="ShowInDotNotation" value="0"/>
          <flag name="ShowInAutoComplete" value="0"/>
          <flag name="ExcludeFromCalcComparison" value="1"/>
        </key>
      </keyFlags>
    </type>
    <type name="_linkedentitycore">
      <keyFlags>
        <key name="%EntityServiceId">
          <flag name="ShowInCardView" value="0"/>
          <flag name="ShowInDotNotation" value="0"/>
          <flag name="ShowInAutoComplete" value="0"/>
        </key>
        <key name="%EntitySubDomainId">
          <flag name="ShowInCardView" value="0"/>
          <flag name="ShowInDotNotation" value="0"/>
          <flag name="ShowInAutoComplete" value="0"/>
        </key>
        <key name="%EntityCulture">
          <flag name="ShowInCardView" value="0"/>
          <flag name="ShowInDotNotation" value="0"/>
          <flag name="ShowInAutoComplete" value="0"/>
        </key>
        <key name="%EntityId">
          <flag name="ShowInCardView" value="0"/>
          <flag name="ShowInDotNotation" value="0"/>
          <flag name="ShowInAutoComplete" value="0"/>
        </key>
        <key name="%IsRefreshable">
          <flag name="ShowInCardView" value="0"/>
          <flag name="ShowInAutoComplete" value="0"/>
          <flag name="ExcludeFromCalcComparison" value="1"/>
        </key>
        <key name="%ProviderInfo">
          <flag name="ShowInCardView" value="0"/>
          <flag name="ShowInDotNotation" value="0"/>
          <flag name="ShowInAutoComplete" value="0"/>
        </key>
        <key name="%DataProviderExternalLinkLogo">
          <flag name="ShowInCardView" value="0"/>
          <flag name="ShowInDotNotation" value="0"/>
          <flag name="ShowInAutoComplete" value="0"/>
        </key>
        <key name="%DataProviderExternalLink">
          <flag name="ShowInCardView" value="0"/>
          <flag name="ShowInDotNotation" value="0"/>
          <flag name="ShowInAutoComplete" value="0"/>
        </key>
        <key name="%OutdatedReason">
          <flag name="ShowInCardView" value="0"/>
          <flag name="ShowInDotNotation" value="0"/>
          <flag name="ShowInAutoComplete" value="0"/>
          <flag name="ExcludeFromCalcComparison" value="1"/>
        </key>
      </keyFlags>
    </type>
  </types>
</rvTypesInfo>
</file>

<file path=xl/richData/rdrichvalue.xml><?xml version="1.0" encoding="utf-8"?>
<rvData xmlns="http://schemas.microsoft.com/office/spreadsheetml/2017/richdata" count="3">
  <rv s="0">
    <v>https://www.bing.com/financeapi/forcetrigger?t=a1x2ur&amp;q=XNYS%3aLOW&amp;form=skydnc</v>
    <v>Learn more on Bing</v>
  </rv>
  <rv s="1">
    <v>0</v>
    <v>LOWE'S COMPANIES, INC. (XNYS:LOW)</v>
    <v>2</v>
    <v>3</v>
    <v>Finance</v>
    <v>4</v>
    <v>en-US</v>
    <v>a1x2ur</v>
    <v>268435456</v>
    <v>1</v>
    <v>Powered by Refinitiv</v>
    <v>238.37</v>
    <v>170.12</v>
    <v>1.0894999999999999</v>
    <v>0.14000000000000001</v>
    <v>6.7100000000000005E-4</v>
    <v>0</v>
    <v>0</v>
    <v>USD</v>
    <v>Lowe's Companies, Inc. is a home improvement company. The Company operates home improvement and hardware stores. It offers a range of products in departments, including appliances; bathroom; building supplies; cleaning and pet supplies; doors and windows; electrical; flooring and rugs; hardware; heating and cooling; home decor and furniture; kitchen; lawn and garden; lighting and ceiling fans; molding and millwork; outdoor living and patio; paint; plumbing; smart home, security, wireless fidelity (Wi-Fi); sports and fitness; storage and organization; tools; accessible home; animal and pet care; automotive, and holiday decorations. The Company offers installation and services for the bathroom; doors and windows; exterior home; flooring; heating and cooling; home accessibility; interior home, and kitchen. It offers products and services through its contact centers, in-store, online, or through its mobile application. It operates over 1,700 home improvement stores in the United States.</v>
    <v>200000</v>
    <v>New York Stock Exchange</v>
    <v>XNYS</v>
    <v>XNYS</v>
    <v>1000 Lowes Blvd, MOORESVILLE, NC, 28117-8520 US</v>
    <v>208.93</v>
    <v>Specialty Retailers</v>
    <v>Stock</v>
    <v>44967.995337638284</v>
    <v>0</v>
    <v>206.33</v>
    <v>126249800000</v>
    <v>LOWE'S COMPANIES, INC.</v>
    <v>LOWE'S COMPANIES, INC.</v>
    <v>207.46</v>
    <v>20.472000000000001</v>
    <v>208.64</v>
    <v>208.78</v>
    <v>208.78</v>
    <v>604702600</v>
    <v>LOW</v>
    <v>LOWE'S COMPANIES, INC. (XNYS:LOW)</v>
    <v>1836457</v>
    <v>2974825</v>
    <v>1952</v>
  </rv>
  <rv s="2">
    <v>1</v>
  </rv>
</rvData>
</file>

<file path=xl/richData/rdrichvaluestructure.xml><?xml version="1.0" encoding="utf-8"?>
<rvStructures xmlns="http://schemas.microsoft.com/office/spreadsheetml/2017/richdata" count="3">
  <s t="_hyperlink">
    <k n="Address" t="s"/>
    <k n="Text" t="s"/>
  </s>
  <s t="_linkedentitycore">
    <k n="_Display" t="spb"/>
    <k n="_DisplayString" t="s"/>
    <k n="_Flags" t="spb"/>
    <k n="_Format" t="spb"/>
    <k n="_Icon" t="s"/>
    <k n="_SubLabel" t="spb"/>
    <k n="%EntityCulture" t="s"/>
    <k n="%EntityId" t="s"/>
    <k n="%EntityServiceId"/>
    <k n="%IsRefreshable" t="b"/>
    <k n="%ProviderInfo" t="s"/>
    <k n="52 week high"/>
    <k n="52 week low"/>
    <k n="Beta"/>
    <k n="Change"/>
    <k n="Change (%)"/>
    <k n="Change (Extended hours)"/>
    <k n="Change % (Extended hours)"/>
    <k n="Currency" t="s"/>
    <k n="Description" t="s"/>
    <k n="Employees"/>
    <k n="Exchange" t="s"/>
    <k n="Exchange abbreviation" t="s"/>
    <k n="ExchangeID" t="s"/>
    <k n="Headquarters" t="s"/>
    <k n="High"/>
    <k n="Industry" t="s"/>
    <k n="Instrument type" t="s"/>
    <k n="Last trade time"/>
    <k n="LearnMoreOnLink" t="r"/>
    <k n="Low"/>
    <k n="Market cap"/>
    <k n="Name" t="s"/>
    <k n="Official name" t="s"/>
    <k n="Open"/>
    <k n="P/E"/>
    <k n="Previous close"/>
    <k n="Price"/>
    <k n="Price (Extended hours)"/>
    <k n="Shares outstanding"/>
    <k n="Ticker symbol" t="s"/>
    <k n="UniqueName" t="s"/>
    <k n="Volume"/>
    <k n="Volume average"/>
    <k n="Year incorporated"/>
  </s>
  <s t="_linkedentity">
    <k n="%cvi" t="r"/>
  </s>
</rvStructures>
</file>

<file path=xl/richData/rdsupportingpropertybag.xml><?xml version="1.0" encoding="utf-8"?>
<supportingPropertyBags xmlns="http://schemas.microsoft.com/office/spreadsheetml/2017/richdata2">
  <spbArrays count="1">
    <a count="45">
      <v t="s">%EntityServiceId</v>
      <v t="s">_Format</v>
      <v t="s">%IsRefreshable</v>
      <v t="s">%EntityCulture</v>
      <v t="s">%EntityId</v>
      <v t="s">_Icon</v>
      <v t="s">_Display</v>
      <v t="s">Name</v>
      <v t="s">_SubLabel</v>
      <v t="s">Price</v>
      <v t="s">Price (Extended hours)</v>
      <v t="s">Exchange</v>
      <v t="s">Official name</v>
      <v t="s">Last trade time</v>
      <v t="s">Ticker symbol</v>
      <v t="s">Exchange abbreviation</v>
      <v t="s">Change</v>
      <v t="s">Change (Extended hours)</v>
      <v t="s">Change (%)</v>
      <v t="s">Change % (Extended hours)</v>
      <v t="s">Currency</v>
      <v t="s">Previous close</v>
      <v t="s">Open</v>
      <v t="s">High</v>
      <v t="s">Low</v>
      <v t="s">52 week high</v>
      <v t="s">52 week low</v>
      <v t="s">Volume</v>
      <v t="s">Volume average</v>
      <v t="s">Market cap</v>
      <v t="s">Beta</v>
      <v t="s">P/E</v>
      <v t="s">Shares outstanding</v>
      <v t="s">Description</v>
      <v t="s">Employees</v>
      <v t="s">Headquarters</v>
      <v t="s">Industry</v>
      <v t="s">Instrument type</v>
      <v t="s">Year incorporated</v>
      <v t="s">_Flags</v>
      <v t="s">UniqueName</v>
      <v t="s">_DisplayString</v>
      <v t="s">LearnMoreOnLink</v>
      <v t="s">ExchangeID</v>
      <v t="s">%ProviderInfo</v>
    </a>
  </spbArrays>
  <spbData count="5">
    <spb s="0">
      <v>0</v>
      <v>Name</v>
      <v>LearnMoreOnLink</v>
    </spb>
    <spb s="1">
      <v>0</v>
      <v>0</v>
      <v>0</v>
    </spb>
    <spb s="2">
      <v>1</v>
      <v>1</v>
      <v>1</v>
      <v>1</v>
    </spb>
    <spb s="3">
      <v>1</v>
      <v>2</v>
      <v>2</v>
      <v>1</v>
      <v>3</v>
      <v>1</v>
      <v>1</v>
      <v>1</v>
      <v>4</v>
      <v>4</v>
      <v>5</v>
      <v>6</v>
      <v>1</v>
      <v>1</v>
      <v>1</v>
      <v>4</v>
      <v>7</v>
      <v>8</v>
      <v>9</v>
      <v>4</v>
      <v>1</v>
      <v>1</v>
      <v>5</v>
    </spb>
    <spb s="4">
      <v>at close</v>
      <v>from previous close</v>
      <v>from previous close</v>
      <v>Source: Nasdaq Last Sale</v>
      <v>GMT</v>
      <v>Real-Time Nasdaq Last Sale</v>
      <v>from close</v>
      <v>from close</v>
    </spb>
  </spbData>
</supportingPropertyBags>
</file>

<file path=xl/richData/rdsupportingpropertybagstructure.xml><?xml version="1.0" encoding="utf-8"?>
<spbStructures xmlns="http://schemas.microsoft.com/office/spreadsheetml/2017/richdata2" count="5">
  <s>
    <k n="^Order" t="spba"/>
    <k n="TitleProperty" t="s"/>
    <k n="SubTitleProperty" t="s"/>
  </s>
  <s>
    <k n="ShowInCardView" t="b"/>
    <k n="ShowInDotNotation" t="b"/>
    <k n="ShowInAutoComplete" t="b"/>
  </s>
  <s>
    <k n="ExchangeID" t="spb"/>
    <k n="UniqueName" t="spb"/>
    <k n="`%ProviderInfo" t="spb"/>
    <k n="LearnMoreOnLink" t="spb"/>
  </s>
  <s>
    <k n="Low" t="i"/>
    <k n="P/E" t="i"/>
    <k n="Beta" t="i"/>
    <k n="High" t="i"/>
    <k n="Name" t="i"/>
    <k n="Open" t="i"/>
    <k n="Price" t="i"/>
    <k n="Change" t="i"/>
    <k n="Volume" t="i"/>
    <k n="Employees" t="i"/>
    <k n="Change (%)" t="i"/>
    <k n="Market cap" t="i"/>
    <k n="52 week low" t="i"/>
    <k n="52 week high" t="i"/>
    <k n="Previous close" t="i"/>
    <k n="Volume average" t="i"/>
    <k n="Last trade time" t="i"/>
    <k n="Year incorporated" t="i"/>
    <k n="`%EntityServiceId" t="i"/>
    <k n="Shares outstanding" t="i"/>
    <k n="Price (Extended hours)" t="i"/>
    <k n="Change (Extended hours)" t="i"/>
    <k n="Change % (Extended hours)" t="i"/>
  </s>
  <s>
    <k n="Price" t="s"/>
    <k n="Change" t="s"/>
    <k n="Change (%)" t="s"/>
    <k n="ExchangeID" t="s"/>
    <k n="Last trade time" t="s"/>
    <k n="Price (Extended hours)" t="s"/>
    <k n="Change (Extended hours)" t="s"/>
    <k n="Change % (Extended hours)" t="s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7">
    <x:dxf>
      <x:numFmt numFmtId="0" formatCode="General"/>
    </x:dxf>
    <x:dxf>
      <x:numFmt numFmtId="4" formatCode="#,##0.00"/>
    </x:dxf>
    <x:dxf>
      <x:numFmt numFmtId="3" formatCode="#,##0"/>
    </x:dxf>
    <x:dxf>
      <x:numFmt numFmtId="14" formatCode="0.00%"/>
    </x:dxf>
    <x:dxf>
      <x:numFmt numFmtId="27" formatCode="m/d/yy\ h:mm"/>
    </x:dxf>
    <x:dxf>
      <x:numFmt numFmtId="1" formatCode="0"/>
    </x:dxf>
    <x:dxf>
      <x:numFmt numFmtId="2" formatCode="0.00"/>
    </x:dxf>
  </dxfs>
  <richProperties>
    <rPr n="NumberFormat" t="s"/>
    <rPr n="IsTitleField" t="b"/>
  </richProperties>
  <richStyles>
    <rSty dxfid="0">
      <rpv i="0">_([$$-en-US]* #,##0.00_);_([$$-en-US]* (#,##0.00);_([$$-en-US]* "-"??_);_(@_)</rpv>
    </rSty>
    <rSty dxfid="1">
      <rpv i="0">#,##0.00</rpv>
    </rSty>
    <rSty>
      <rpv i="1">1</rpv>
    </rSty>
    <rSty dxfid="2">
      <rpv i="0">#,##0</rpv>
    </rSty>
    <rSty dxfid="3"/>
    <rSty dxfid="0">
      <rpv i="0">_([$$-en-US]* #,##0_);_([$$-en-US]* (#,##0);_([$$-en-US]* "-"_);_(@_)</rpv>
    </rSty>
    <rSty dxfid="4"/>
    <rSty dxfid="5">
      <rpv i="0">0</rpv>
    </rSty>
    <rSty dxfid="6">
      <rpv i="0">0.00</rpv>
    </rSty>
  </richStyles>
</rich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738EE-8971-CF4A-ADEA-FE85E053C0FD}">
  <dimension ref="A2:AA148"/>
  <sheetViews>
    <sheetView showGridLines="0" tabSelected="1" topLeftCell="A14" zoomScaleNormal="100" workbookViewId="0">
      <selection activeCell="D12" sqref="D12"/>
    </sheetView>
  </sheetViews>
  <sheetFormatPr baseColWidth="10" defaultColWidth="11.83203125" defaultRowHeight="16" customHeight="1" x14ac:dyDescent="0.2"/>
  <cols>
    <col min="1" max="1" width="4.83203125" style="20" customWidth="1"/>
    <col min="2" max="16384" width="11.83203125" style="20"/>
  </cols>
  <sheetData>
    <row r="2" spans="1:27" s="16" customFormat="1" ht="31" customHeight="1" thickBot="1" x14ac:dyDescent="0.35">
      <c r="B2" s="17" t="s">
        <v>123</v>
      </c>
      <c r="E2" s="18" t="s">
        <v>139</v>
      </c>
      <c r="F2" s="19"/>
      <c r="G2" s="19"/>
      <c r="H2" s="18" t="s">
        <v>141</v>
      </c>
      <c r="J2" s="18" t="s">
        <v>140</v>
      </c>
    </row>
    <row r="4" spans="1:27" ht="16" customHeight="1" x14ac:dyDescent="0.2">
      <c r="B4" s="20" t="s">
        <v>28</v>
      </c>
      <c r="C4" s="21" t="s">
        <v>124</v>
      </c>
      <c r="E4" s="20" t="s">
        <v>29</v>
      </c>
      <c r="G4" s="22">
        <f ca="1">D114</f>
        <v>329.73066892006688</v>
      </c>
      <c r="I4" s="20" t="s">
        <v>30</v>
      </c>
      <c r="K4" s="22">
        <v>315.6566413222792</v>
      </c>
      <c r="M4" s="20" t="s">
        <v>31</v>
      </c>
      <c r="O4" s="23">
        <v>219.05157850752701</v>
      </c>
      <c r="Q4" s="20" t="s">
        <v>142</v>
      </c>
      <c r="S4" s="26">
        <f ca="1">((G4*(1+((1/T100)^(1/10)-1))^10)/G5)^(1/10)-1</f>
        <v>0.12360407508511639</v>
      </c>
    </row>
    <row r="5" spans="1:27" ht="16" customHeight="1" x14ac:dyDescent="0.2">
      <c r="B5" s="20" t="s">
        <v>32</v>
      </c>
      <c r="C5" s="24">
        <v>44969</v>
      </c>
      <c r="E5" s="20" t="s">
        <v>33</v>
      </c>
      <c r="G5" s="25" cm="1">
        <f t="array" ref="G5">_FV('Financials + KPIs'!B1,"price")</f>
        <v>208.78</v>
      </c>
      <c r="I5" s="20" t="s">
        <v>34</v>
      </c>
      <c r="K5" s="22">
        <v>412.27566112451888</v>
      </c>
      <c r="M5" s="20" t="s">
        <v>35</v>
      </c>
      <c r="O5" s="26">
        <f ca="1">G4/G5-1</f>
        <v>0.57932114627869957</v>
      </c>
    </row>
    <row r="7" spans="1:27" ht="16" customHeight="1" x14ac:dyDescent="0.2">
      <c r="A7" s="20" t="s">
        <v>36</v>
      </c>
      <c r="B7" s="27" t="s">
        <v>37</v>
      </c>
      <c r="C7" s="28"/>
      <c r="D7" s="28"/>
      <c r="E7" s="29" t="s">
        <v>38</v>
      </c>
      <c r="F7" s="28"/>
      <c r="G7" s="28"/>
      <c r="H7" s="28"/>
      <c r="I7" s="28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/>
      <c r="W7"/>
      <c r="X7"/>
      <c r="Y7"/>
      <c r="Z7"/>
      <c r="AA7"/>
    </row>
    <row r="8" spans="1:27" ht="16" customHeight="1" x14ac:dyDescent="0.2">
      <c r="B8" s="31" t="s">
        <v>39</v>
      </c>
      <c r="F8" s="31" t="s">
        <v>31</v>
      </c>
      <c r="J8" s="31" t="s">
        <v>40</v>
      </c>
      <c r="N8" s="31" t="s">
        <v>34</v>
      </c>
      <c r="R8" s="31" t="s">
        <v>41</v>
      </c>
      <c r="S8" s="32"/>
      <c r="T8" s="32"/>
    </row>
    <row r="9" spans="1:27" ht="16" customHeight="1" x14ac:dyDescent="0.2">
      <c r="B9" s="20" t="s">
        <v>128</v>
      </c>
      <c r="D9" s="33">
        <v>1</v>
      </c>
      <c r="F9" s="20" t="s">
        <v>128</v>
      </c>
      <c r="H9" s="170">
        <v>-2</v>
      </c>
      <c r="J9" s="20" t="s">
        <v>128</v>
      </c>
      <c r="L9" s="170">
        <v>0</v>
      </c>
      <c r="N9" s="20" t="s">
        <v>128</v>
      </c>
      <c r="P9" s="170">
        <v>2</v>
      </c>
      <c r="R9" s="20" t="s">
        <v>42</v>
      </c>
      <c r="S9" s="32"/>
      <c r="T9" s="35">
        <f>3192+464</f>
        <v>3656</v>
      </c>
    </row>
    <row r="10" spans="1:27" ht="16" customHeight="1" x14ac:dyDescent="0.2">
      <c r="B10" s="20" t="s">
        <v>22</v>
      </c>
      <c r="D10" s="33">
        <v>2</v>
      </c>
      <c r="F10" s="20" t="s">
        <v>136</v>
      </c>
      <c r="H10" s="34">
        <v>0.03</v>
      </c>
      <c r="J10" s="20" t="s">
        <v>136</v>
      </c>
      <c r="L10" s="34">
        <v>0.05</v>
      </c>
      <c r="N10" s="20" t="str">
        <f>J10</f>
        <v>Volume - 2023</v>
      </c>
      <c r="P10" s="34">
        <v>7.0000000000000007E-2</v>
      </c>
      <c r="R10" s="20" t="s">
        <v>132</v>
      </c>
      <c r="S10" s="32"/>
      <c r="T10" s="35">
        <f>609+651+32904</f>
        <v>34164</v>
      </c>
    </row>
    <row r="11" spans="1:27" ht="16" customHeight="1" x14ac:dyDescent="0.2">
      <c r="F11" s="20" t="s">
        <v>137</v>
      </c>
      <c r="H11" s="34">
        <v>-0.01</v>
      </c>
      <c r="J11" s="20" t="s">
        <v>137</v>
      </c>
      <c r="L11" s="34">
        <v>0</v>
      </c>
      <c r="N11" s="20" t="s">
        <v>137</v>
      </c>
      <c r="P11" s="34">
        <v>0.01</v>
      </c>
      <c r="R11" s="20" t="s">
        <v>44</v>
      </c>
      <c r="S11" s="32"/>
      <c r="T11" s="35"/>
    </row>
    <row r="12" spans="1:27" ht="16" customHeight="1" x14ac:dyDescent="0.2">
      <c r="B12" s="20" t="s">
        <v>129</v>
      </c>
      <c r="D12" s="33">
        <v>2</v>
      </c>
      <c r="F12" s="20" t="s">
        <v>131</v>
      </c>
      <c r="H12" s="34">
        <v>0.03</v>
      </c>
      <c r="J12" s="20" t="s">
        <v>131</v>
      </c>
      <c r="L12" s="34">
        <v>0.04</v>
      </c>
      <c r="N12" s="20" t="s">
        <v>131</v>
      </c>
      <c r="P12" s="34">
        <v>0.05</v>
      </c>
      <c r="R12" s="20" t="s">
        <v>43</v>
      </c>
      <c r="T12" s="35"/>
    </row>
    <row r="13" spans="1:27" ht="16" customHeight="1" x14ac:dyDescent="0.2">
      <c r="F13" s="20" t="s">
        <v>138</v>
      </c>
      <c r="H13" s="34">
        <v>0.02</v>
      </c>
      <c r="J13" s="20" t="s">
        <v>138</v>
      </c>
      <c r="L13" s="34">
        <v>0.03</v>
      </c>
      <c r="N13" s="20" t="s">
        <v>138</v>
      </c>
      <c r="P13" s="34">
        <v>0.04</v>
      </c>
      <c r="R13" s="20" t="s">
        <v>45</v>
      </c>
      <c r="S13" s="32"/>
      <c r="T13" s="38">
        <v>4.4999999999999998E-2</v>
      </c>
    </row>
    <row r="14" spans="1:27" ht="16" customHeight="1" x14ac:dyDescent="0.2">
      <c r="B14" s="20" t="s">
        <v>47</v>
      </c>
      <c r="D14" s="33">
        <v>2</v>
      </c>
      <c r="F14" s="20" t="s">
        <v>134</v>
      </c>
      <c r="H14" s="36">
        <v>0.13100000000000001</v>
      </c>
      <c r="J14" s="20" t="str">
        <f>F14</f>
        <v>EBIT - 2023</v>
      </c>
      <c r="L14" s="36">
        <v>0.13500000000000001</v>
      </c>
      <c r="N14" s="20" t="str">
        <f>J14</f>
        <v>EBIT - 2023</v>
      </c>
      <c r="P14" s="36">
        <v>0.13900000000000001</v>
      </c>
      <c r="R14" s="20" t="s">
        <v>46</v>
      </c>
      <c r="T14" s="35">
        <v>620</v>
      </c>
    </row>
    <row r="15" spans="1:27" ht="16" customHeight="1" x14ac:dyDescent="0.2">
      <c r="F15" s="20" t="s">
        <v>135</v>
      </c>
      <c r="H15" s="34">
        <v>0.12</v>
      </c>
      <c r="J15" s="20" t="str">
        <f>F15</f>
        <v>EBIT - 2032</v>
      </c>
      <c r="L15" s="34">
        <v>0.15</v>
      </c>
      <c r="N15" s="20" t="str">
        <f>J15</f>
        <v>EBIT - 2032</v>
      </c>
      <c r="P15" s="34">
        <v>0.16</v>
      </c>
    </row>
    <row r="16" spans="1:27" ht="16" customHeight="1" x14ac:dyDescent="0.2">
      <c r="B16" s="20" t="s">
        <v>8</v>
      </c>
      <c r="F16" s="20" t="s">
        <v>8</v>
      </c>
      <c r="J16" s="20" t="s">
        <v>8</v>
      </c>
      <c r="L16" s="39">
        <v>0.23</v>
      </c>
      <c r="N16" s="20" t="s">
        <v>8</v>
      </c>
      <c r="R16" s="31" t="s">
        <v>48</v>
      </c>
      <c r="S16" s="32"/>
      <c r="T16" s="32"/>
    </row>
    <row r="17" spans="1:24" ht="16" customHeight="1" x14ac:dyDescent="0.2">
      <c r="D17" s="37"/>
      <c r="H17" s="37"/>
      <c r="R17" s="20" t="s">
        <v>49</v>
      </c>
      <c r="S17" s="32"/>
      <c r="T17" s="38">
        <v>3.4770000000000002E-2</v>
      </c>
    </row>
    <row r="18" spans="1:24" ht="16" customHeight="1" x14ac:dyDescent="0.2">
      <c r="B18" s="20" t="s">
        <v>53</v>
      </c>
      <c r="D18" s="33">
        <v>2</v>
      </c>
      <c r="F18" s="20" t="s">
        <v>53</v>
      </c>
      <c r="H18" s="36">
        <f>L18-0.5%</f>
        <v>7.3416285834826595E-2</v>
      </c>
      <c r="J18" s="20" t="s">
        <v>53</v>
      </c>
      <c r="L18" s="41">
        <f>WACC!F22</f>
        <v>7.8416285834826599E-2</v>
      </c>
      <c r="N18" s="20" t="s">
        <v>53</v>
      </c>
      <c r="P18" s="36">
        <f>L18+0.5%</f>
        <v>8.3416285834826603E-2</v>
      </c>
      <c r="R18" s="20" t="s">
        <v>50</v>
      </c>
      <c r="S18" s="32"/>
      <c r="T18" s="38">
        <v>4.8899999999999999E-2</v>
      </c>
    </row>
    <row r="19" spans="1:24" ht="16" customHeight="1" x14ac:dyDescent="0.2">
      <c r="B19" s="20" t="s">
        <v>54</v>
      </c>
      <c r="D19" s="33">
        <v>3</v>
      </c>
      <c r="F19" s="20" t="s">
        <v>54</v>
      </c>
      <c r="H19" s="42">
        <f>L19-0.5%</f>
        <v>0.02</v>
      </c>
      <c r="J19" s="20" t="s">
        <v>54</v>
      </c>
      <c r="L19" s="42">
        <v>2.5000000000000001E-2</v>
      </c>
      <c r="N19" s="20" t="s">
        <v>54</v>
      </c>
      <c r="P19" s="42">
        <f>L19+0.5%</f>
        <v>3.0000000000000002E-2</v>
      </c>
      <c r="R19" s="20" t="s">
        <v>51</v>
      </c>
      <c r="T19" s="40">
        <v>1.1599999999999999</v>
      </c>
    </row>
    <row r="20" spans="1:24" ht="16" customHeight="1" x14ac:dyDescent="0.2">
      <c r="B20" s="20" t="s">
        <v>55</v>
      </c>
      <c r="D20" s="33">
        <v>2</v>
      </c>
      <c r="F20" s="20" t="s">
        <v>55</v>
      </c>
      <c r="H20" s="43">
        <v>15</v>
      </c>
      <c r="I20" s="44"/>
      <c r="J20" s="44" t="s">
        <v>55</v>
      </c>
      <c r="K20" s="44"/>
      <c r="L20" s="43">
        <v>15</v>
      </c>
      <c r="M20" s="44"/>
      <c r="N20" s="44" t="s">
        <v>55</v>
      </c>
      <c r="O20" s="44"/>
      <c r="P20" s="43">
        <v>17</v>
      </c>
      <c r="R20" s="20" t="s">
        <v>52</v>
      </c>
      <c r="S20" s="32"/>
      <c r="T20" s="38">
        <f>K99-1%</f>
        <v>6.8416285834826604E-2</v>
      </c>
    </row>
    <row r="21" spans="1:24" s="32" customFormat="1" ht="16" customHeight="1" x14ac:dyDescent="0.2">
      <c r="V21" s="20"/>
      <c r="W21" s="20"/>
      <c r="X21" s="20"/>
    </row>
    <row r="22" spans="1:24" s="32" customFormat="1" ht="16" customHeight="1" x14ac:dyDescent="0.2">
      <c r="B22" s="31" t="s">
        <v>56</v>
      </c>
      <c r="F22" s="31" t="s">
        <v>57</v>
      </c>
      <c r="V22" s="20"/>
      <c r="W22" s="20"/>
      <c r="X22" s="20"/>
    </row>
    <row r="23" spans="1:24" s="32" customFormat="1" ht="16" customHeight="1" x14ac:dyDescent="0.2">
      <c r="B23" s="20" t="s">
        <v>53</v>
      </c>
      <c r="D23" s="36">
        <f>CHOOSE(D18,H18,L18,P18,H23)</f>
        <v>7.8416285834826599E-2</v>
      </c>
      <c r="F23" s="20" t="s">
        <v>53</v>
      </c>
      <c r="G23" s="20"/>
      <c r="H23" s="38"/>
      <c r="V23" s="20"/>
      <c r="W23" s="20"/>
      <c r="X23" s="20"/>
    </row>
    <row r="24" spans="1:24" s="32" customFormat="1" ht="16" customHeight="1" x14ac:dyDescent="0.2">
      <c r="B24" s="20" t="s">
        <v>54</v>
      </c>
      <c r="D24" s="36">
        <f>CHOOSE(D19,H19,L19,P19,H24)</f>
        <v>3.0000000000000002E-2</v>
      </c>
      <c r="F24" s="20" t="s">
        <v>54</v>
      </c>
      <c r="G24" s="20"/>
      <c r="H24" s="45"/>
      <c r="V24" s="20"/>
    </row>
    <row r="25" spans="1:24" s="32" customFormat="1" ht="16" customHeight="1" x14ac:dyDescent="0.2">
      <c r="B25" s="20" t="s">
        <v>55</v>
      </c>
      <c r="D25" s="43">
        <f>CHOOSE(D20,H20,L20,P20,H25)</f>
        <v>15</v>
      </c>
      <c r="F25" s="44" t="s">
        <v>55</v>
      </c>
      <c r="G25" s="44"/>
      <c r="H25" s="46"/>
    </row>
    <row r="27" spans="1:24" ht="16" customHeight="1" x14ac:dyDescent="0.2">
      <c r="A27" s="20" t="s">
        <v>36</v>
      </c>
      <c r="B27" s="27" t="s">
        <v>125</v>
      </c>
      <c r="C27" s="27"/>
      <c r="D27" s="27"/>
      <c r="E27" s="47">
        <v>2017</v>
      </c>
      <c r="F27" s="47">
        <f>E27+1</f>
        <v>2018</v>
      </c>
      <c r="G27" s="47">
        <f t="shared" ref="G27:J27" si="0">F27+1</f>
        <v>2019</v>
      </c>
      <c r="H27" s="47">
        <f t="shared" si="0"/>
        <v>2020</v>
      </c>
      <c r="I27" s="47">
        <f t="shared" si="0"/>
        <v>2021</v>
      </c>
      <c r="J27" s="47">
        <f t="shared" si="0"/>
        <v>2022</v>
      </c>
      <c r="K27" s="48">
        <v>2022</v>
      </c>
      <c r="L27" s="48">
        <f>K27+1</f>
        <v>2023</v>
      </c>
      <c r="M27" s="48">
        <f t="shared" ref="M27:U27" si="1">L27+1</f>
        <v>2024</v>
      </c>
      <c r="N27" s="48">
        <f t="shared" si="1"/>
        <v>2025</v>
      </c>
      <c r="O27" s="48">
        <f t="shared" si="1"/>
        <v>2026</v>
      </c>
      <c r="P27" s="48">
        <f t="shared" si="1"/>
        <v>2027</v>
      </c>
      <c r="Q27" s="48">
        <f t="shared" si="1"/>
        <v>2028</v>
      </c>
      <c r="R27" s="48">
        <f t="shared" si="1"/>
        <v>2029</v>
      </c>
      <c r="S27" s="48">
        <f t="shared" si="1"/>
        <v>2030</v>
      </c>
      <c r="T27" s="48">
        <f t="shared" si="1"/>
        <v>2031</v>
      </c>
      <c r="U27" s="48">
        <f t="shared" si="1"/>
        <v>2032</v>
      </c>
    </row>
    <row r="28" spans="1:24" ht="16" customHeight="1" x14ac:dyDescent="0.2">
      <c r="B28" s="27" t="s">
        <v>58</v>
      </c>
      <c r="C28" s="27"/>
      <c r="D28" s="27"/>
      <c r="E28" s="49">
        <f>EDATE(F28,-12)</f>
        <v>42766</v>
      </c>
      <c r="F28" s="49">
        <f t="shared" ref="F28:I28" si="2">EDATE(G28,-12)</f>
        <v>43131</v>
      </c>
      <c r="G28" s="49">
        <f t="shared" si="2"/>
        <v>43496</v>
      </c>
      <c r="H28" s="49">
        <f t="shared" si="2"/>
        <v>43861</v>
      </c>
      <c r="I28" s="49">
        <f t="shared" si="2"/>
        <v>44227</v>
      </c>
      <c r="J28" s="49">
        <f>EDATE(K28,-12)</f>
        <v>44592</v>
      </c>
      <c r="K28" s="49">
        <v>44957</v>
      </c>
      <c r="L28" s="49">
        <f>EDATE(K28,12)</f>
        <v>45322</v>
      </c>
      <c r="M28" s="49">
        <f t="shared" ref="M28:U28" si="3">EDATE(L28,12)</f>
        <v>45688</v>
      </c>
      <c r="N28" s="49">
        <f t="shared" si="3"/>
        <v>46053</v>
      </c>
      <c r="O28" s="49">
        <f t="shared" si="3"/>
        <v>46418</v>
      </c>
      <c r="P28" s="49">
        <f t="shared" si="3"/>
        <v>46783</v>
      </c>
      <c r="Q28" s="49">
        <f t="shared" si="3"/>
        <v>47149</v>
      </c>
      <c r="R28" s="49">
        <f t="shared" si="3"/>
        <v>47514</v>
      </c>
      <c r="S28" s="49">
        <f t="shared" si="3"/>
        <v>47879</v>
      </c>
      <c r="T28" s="49">
        <f t="shared" si="3"/>
        <v>48244</v>
      </c>
      <c r="U28" s="49">
        <f t="shared" si="3"/>
        <v>48610</v>
      </c>
    </row>
    <row r="29" spans="1:24" ht="16" customHeight="1" x14ac:dyDescent="0.2">
      <c r="B29" s="31" t="s">
        <v>23</v>
      </c>
      <c r="E29" s="50">
        <f>'Financials + KPIs'!M3</f>
        <v>2129</v>
      </c>
      <c r="F29" s="50">
        <f>'Financials + KPIs'!N3</f>
        <v>2152</v>
      </c>
      <c r="G29" s="50">
        <f>'Financials + KPIs'!O3</f>
        <v>2015</v>
      </c>
      <c r="H29" s="50">
        <f>'Financials + KPIs'!P3</f>
        <v>1977</v>
      </c>
      <c r="I29" s="50">
        <f>'Financials + KPIs'!Q3</f>
        <v>1974</v>
      </c>
      <c r="J29" s="51">
        <f>'Financials + KPIs'!R3</f>
        <v>1971</v>
      </c>
      <c r="K29" s="52">
        <f ca="1">J29+K31</f>
        <v>1969</v>
      </c>
      <c r="L29" s="52">
        <f t="shared" ref="L29:U29" ca="1" si="4">K29+L31</f>
        <v>1738</v>
      </c>
      <c r="M29" s="52">
        <f t="shared" ca="1" si="4"/>
        <v>1736</v>
      </c>
      <c r="N29" s="52">
        <f t="shared" ca="1" si="4"/>
        <v>1734</v>
      </c>
      <c r="O29" s="52">
        <f t="shared" ca="1" si="4"/>
        <v>1732</v>
      </c>
      <c r="P29" s="52">
        <f t="shared" ca="1" si="4"/>
        <v>1730</v>
      </c>
      <c r="Q29" s="52">
        <f t="shared" ca="1" si="4"/>
        <v>1728</v>
      </c>
      <c r="R29" s="52">
        <f t="shared" ca="1" si="4"/>
        <v>1726</v>
      </c>
      <c r="S29" s="52">
        <f t="shared" ca="1" si="4"/>
        <v>1724</v>
      </c>
      <c r="T29" s="52">
        <f t="shared" ca="1" si="4"/>
        <v>1722</v>
      </c>
      <c r="U29" s="52">
        <f t="shared" ca="1" si="4"/>
        <v>1720</v>
      </c>
    </row>
    <row r="30" spans="1:24" s="53" customFormat="1" ht="16" customHeight="1" x14ac:dyDescent="0.2">
      <c r="B30" s="53" t="s">
        <v>59</v>
      </c>
      <c r="F30" s="54">
        <f t="shared" ref="F30:G30" si="5">F29/E29-1</f>
        <v>1.0803193987787729E-2</v>
      </c>
      <c r="G30" s="54">
        <f t="shared" si="5"/>
        <v>-6.366171003717469E-2</v>
      </c>
      <c r="H30" s="54">
        <f>H29/G29-1</f>
        <v>-1.8858560794044688E-2</v>
      </c>
      <c r="I30" s="54">
        <f t="shared" ref="I30:U30" si="6">I29/H29-1</f>
        <v>-1.5174506828528056E-3</v>
      </c>
      <c r="J30" s="55">
        <f t="shared" si="6"/>
        <v>-1.5197568389058169E-3</v>
      </c>
      <c r="K30" s="54">
        <f t="shared" ca="1" si="6"/>
        <v>-1.0147133434804667E-3</v>
      </c>
      <c r="L30" s="54">
        <f t="shared" ca="1" si="6"/>
        <v>-0.11731843575418999</v>
      </c>
      <c r="M30" s="54">
        <f t="shared" ca="1" si="6"/>
        <v>-1.1507479861909697E-3</v>
      </c>
      <c r="N30" s="54">
        <f t="shared" ca="1" si="6"/>
        <v>-1.1520737327188613E-3</v>
      </c>
      <c r="O30" s="54">
        <f t="shared" ca="1" si="6"/>
        <v>-1.1534025374856371E-3</v>
      </c>
      <c r="P30" s="54">
        <f t="shared" ca="1" si="6"/>
        <v>-1.1547344110854896E-3</v>
      </c>
      <c r="Q30" s="54">
        <f t="shared" ca="1" si="6"/>
        <v>-1.1560693641619046E-3</v>
      </c>
      <c r="R30" s="54">
        <f t="shared" ca="1" si="6"/>
        <v>-1.1574074074074403E-3</v>
      </c>
      <c r="S30" s="54">
        <f t="shared" ca="1" si="6"/>
        <v>-1.1587485515642815E-3</v>
      </c>
      <c r="T30" s="54">
        <f t="shared" ca="1" si="6"/>
        <v>-1.1600928074245731E-3</v>
      </c>
      <c r="U30" s="54">
        <f t="shared" ca="1" si="6"/>
        <v>-1.1614401858304202E-3</v>
      </c>
    </row>
    <row r="31" spans="1:24" s="53" customFormat="1" ht="16" customHeight="1" x14ac:dyDescent="0.2">
      <c r="B31" s="53" t="s">
        <v>24</v>
      </c>
      <c r="F31" s="162">
        <f>F29-E29</f>
        <v>23</v>
      </c>
      <c r="G31" s="162">
        <f t="shared" ref="G31:J31" si="7">G29-F29</f>
        <v>-137</v>
      </c>
      <c r="H31" s="162">
        <f t="shared" si="7"/>
        <v>-38</v>
      </c>
      <c r="I31" s="162">
        <f t="shared" si="7"/>
        <v>-3</v>
      </c>
      <c r="J31" s="174">
        <f t="shared" si="7"/>
        <v>-3</v>
      </c>
      <c r="K31" s="162">
        <f ca="1">OFFSET(K31,$D$9,0)</f>
        <v>-2</v>
      </c>
      <c r="L31" s="162">
        <f t="shared" ref="L31:U31" ca="1" si="8">OFFSET(L31,$D$9,0)</f>
        <v>-231</v>
      </c>
      <c r="M31" s="162">
        <f t="shared" ca="1" si="8"/>
        <v>-2</v>
      </c>
      <c r="N31" s="162">
        <f t="shared" ca="1" si="8"/>
        <v>-2</v>
      </c>
      <c r="O31" s="162">
        <f t="shared" ca="1" si="8"/>
        <v>-2</v>
      </c>
      <c r="P31" s="162">
        <f t="shared" ca="1" si="8"/>
        <v>-2</v>
      </c>
      <c r="Q31" s="162">
        <f t="shared" ca="1" si="8"/>
        <v>-2</v>
      </c>
      <c r="R31" s="162">
        <f t="shared" ca="1" si="8"/>
        <v>-2</v>
      </c>
      <c r="S31" s="162">
        <f t="shared" ca="1" si="8"/>
        <v>-2</v>
      </c>
      <c r="T31" s="162">
        <f t="shared" ca="1" si="8"/>
        <v>-2</v>
      </c>
      <c r="U31" s="162">
        <f t="shared" ca="1" si="8"/>
        <v>-2</v>
      </c>
    </row>
    <row r="32" spans="1:24" ht="16" customHeight="1" x14ac:dyDescent="0.2">
      <c r="B32" s="20" t="s">
        <v>31</v>
      </c>
      <c r="J32" s="56"/>
      <c r="K32" s="163">
        <f>K33</f>
        <v>-2</v>
      </c>
      <c r="L32" s="182">
        <f>L33</f>
        <v>-231</v>
      </c>
      <c r="M32" s="164">
        <f>H9</f>
        <v>-2</v>
      </c>
      <c r="N32" s="164">
        <f t="shared" ref="N32:U32" si="9">M32</f>
        <v>-2</v>
      </c>
      <c r="O32" s="164">
        <f t="shared" si="9"/>
        <v>-2</v>
      </c>
      <c r="P32" s="164">
        <f t="shared" si="9"/>
        <v>-2</v>
      </c>
      <c r="Q32" s="164">
        <f t="shared" si="9"/>
        <v>-2</v>
      </c>
      <c r="R32" s="164">
        <f t="shared" si="9"/>
        <v>-2</v>
      </c>
      <c r="S32" s="164">
        <f t="shared" si="9"/>
        <v>-2</v>
      </c>
      <c r="T32" s="164">
        <f t="shared" si="9"/>
        <v>-2</v>
      </c>
      <c r="U32" s="164">
        <f t="shared" si="9"/>
        <v>-2</v>
      </c>
    </row>
    <row r="33" spans="2:21" ht="16" customHeight="1" x14ac:dyDescent="0.2">
      <c r="B33" s="20" t="s">
        <v>40</v>
      </c>
      <c r="J33" s="56"/>
      <c r="K33" s="165">
        <f>'Financials + KPIs'!S5</f>
        <v>-2</v>
      </c>
      <c r="L33" s="182">
        <v>-231</v>
      </c>
      <c r="M33" s="164">
        <f>L9</f>
        <v>0</v>
      </c>
      <c r="N33" s="164">
        <f t="shared" ref="N33:U34" si="10">M33</f>
        <v>0</v>
      </c>
      <c r="O33" s="164">
        <f t="shared" si="10"/>
        <v>0</v>
      </c>
      <c r="P33" s="164">
        <f t="shared" si="10"/>
        <v>0</v>
      </c>
      <c r="Q33" s="164">
        <f t="shared" si="10"/>
        <v>0</v>
      </c>
      <c r="R33" s="164">
        <f t="shared" si="10"/>
        <v>0</v>
      </c>
      <c r="S33" s="164">
        <f t="shared" si="10"/>
        <v>0</v>
      </c>
      <c r="T33" s="164">
        <f t="shared" si="10"/>
        <v>0</v>
      </c>
      <c r="U33" s="164">
        <f t="shared" si="10"/>
        <v>0</v>
      </c>
    </row>
    <row r="34" spans="2:21" ht="16" customHeight="1" x14ac:dyDescent="0.2">
      <c r="B34" s="20" t="s">
        <v>60</v>
      </c>
      <c r="J34" s="56"/>
      <c r="K34" s="163">
        <f>K33</f>
        <v>-2</v>
      </c>
      <c r="L34" s="182">
        <f>L33</f>
        <v>-231</v>
      </c>
      <c r="M34" s="164">
        <f>P9</f>
        <v>2</v>
      </c>
      <c r="N34" s="164">
        <f t="shared" si="10"/>
        <v>2</v>
      </c>
      <c r="O34" s="164">
        <f t="shared" si="10"/>
        <v>2</v>
      </c>
      <c r="P34" s="164">
        <f t="shared" si="10"/>
        <v>2</v>
      </c>
      <c r="Q34" s="164">
        <f t="shared" si="10"/>
        <v>2</v>
      </c>
      <c r="R34" s="164">
        <f t="shared" si="10"/>
        <v>2</v>
      </c>
      <c r="S34" s="164">
        <f t="shared" si="10"/>
        <v>2</v>
      </c>
      <c r="T34" s="164">
        <f t="shared" si="10"/>
        <v>2</v>
      </c>
      <c r="U34" s="164">
        <f t="shared" si="10"/>
        <v>2</v>
      </c>
    </row>
    <row r="35" spans="2:21" ht="16" customHeight="1" x14ac:dyDescent="0.2">
      <c r="B35" s="20" t="s">
        <v>57</v>
      </c>
      <c r="J35" s="56"/>
      <c r="K35" s="166"/>
      <c r="L35" s="167"/>
      <c r="M35" s="167"/>
      <c r="N35" s="167"/>
      <c r="O35" s="167"/>
      <c r="P35" s="167"/>
      <c r="Q35" s="167"/>
      <c r="R35" s="167"/>
      <c r="S35" s="167"/>
      <c r="T35" s="167"/>
      <c r="U35" s="167"/>
    </row>
    <row r="36" spans="2:21" ht="16" customHeight="1" x14ac:dyDescent="0.2">
      <c r="J36" s="56"/>
    </row>
    <row r="37" spans="2:21" ht="16" customHeight="1" x14ac:dyDescent="0.2">
      <c r="B37" s="31" t="s">
        <v>127</v>
      </c>
      <c r="E37" s="161">
        <f>'Financials + KPIs'!M10</f>
        <v>0.44387036167214655</v>
      </c>
      <c r="F37" s="161">
        <f>'Financials + KPIs'!N10</f>
        <v>0.44284386617100374</v>
      </c>
      <c r="G37" s="161">
        <f>'Financials + KPIs'!O10</f>
        <v>0.46699751861042182</v>
      </c>
      <c r="H37" s="161">
        <f>'Financials + KPIs'!P10</f>
        <v>0.46585735963581182</v>
      </c>
      <c r="I37" s="161">
        <f>'Financials + KPIs'!Q10</f>
        <v>0.52988855116514688</v>
      </c>
      <c r="J37" s="175">
        <f>'Financials + KPIs'!R10</f>
        <v>0.50837138508371382</v>
      </c>
      <c r="K37" s="168">
        <f ca="1">J37*(1+K38)</f>
        <v>0.47158295281582951</v>
      </c>
      <c r="L37" s="169">
        <f t="shared" ref="L37:U37" ca="1" si="11">K37*(1+L38)</f>
        <v>0.49516210045662101</v>
      </c>
      <c r="M37" s="169">
        <f t="shared" ca="1" si="11"/>
        <v>0.49516210045662101</v>
      </c>
      <c r="N37" s="169">
        <f t="shared" ca="1" si="11"/>
        <v>0.49516210045662101</v>
      </c>
      <c r="O37" s="169">
        <f t="shared" ca="1" si="11"/>
        <v>0.49516210045662101</v>
      </c>
      <c r="P37" s="169">
        <f t="shared" ca="1" si="11"/>
        <v>0.49516210045662101</v>
      </c>
      <c r="Q37" s="169">
        <f t="shared" ca="1" si="11"/>
        <v>0.49516210045662101</v>
      </c>
      <c r="R37" s="169">
        <f t="shared" ca="1" si="11"/>
        <v>0.49516210045662101</v>
      </c>
      <c r="S37" s="169">
        <f t="shared" ca="1" si="11"/>
        <v>0.49516210045662101</v>
      </c>
      <c r="T37" s="169">
        <f t="shared" ca="1" si="11"/>
        <v>0.49516210045662101</v>
      </c>
      <c r="U37" s="169">
        <f t="shared" ca="1" si="11"/>
        <v>0.49516210045662101</v>
      </c>
    </row>
    <row r="38" spans="2:21" s="53" customFormat="1" ht="16" customHeight="1" x14ac:dyDescent="0.2">
      <c r="B38" s="53" t="s">
        <v>59</v>
      </c>
      <c r="F38" s="54">
        <f t="shared" ref="F38:H38" si="12">F37/E37-1</f>
        <v>-2.3126020337915776E-3</v>
      </c>
      <c r="G38" s="54">
        <f t="shared" si="12"/>
        <v>5.4542140660679639E-2</v>
      </c>
      <c r="H38" s="54">
        <f t="shared" si="12"/>
        <v>-2.4414668797441141E-3</v>
      </c>
      <c r="I38" s="54">
        <f>I37/H37-1</f>
        <v>0.1374480625988006</v>
      </c>
      <c r="J38" s="55">
        <f>J37/I37-1</f>
        <v>-4.0606965434750397E-2</v>
      </c>
      <c r="K38" s="54">
        <f ca="1">OFFSET(K38,$D$10,0)</f>
        <v>-7.2365269461077797E-2</v>
      </c>
      <c r="L38" s="54">
        <f t="shared" ref="L38:U38" ca="1" si="13">OFFSET(L38,$D$10,0)</f>
        <v>0.05</v>
      </c>
      <c r="M38" s="54">
        <f t="shared" ca="1" si="13"/>
        <v>0</v>
      </c>
      <c r="N38" s="54">
        <f t="shared" ca="1" si="13"/>
        <v>0</v>
      </c>
      <c r="O38" s="54">
        <f t="shared" ca="1" si="13"/>
        <v>0</v>
      </c>
      <c r="P38" s="54">
        <f t="shared" ca="1" si="13"/>
        <v>0</v>
      </c>
      <c r="Q38" s="54">
        <f t="shared" ca="1" si="13"/>
        <v>0</v>
      </c>
      <c r="R38" s="54">
        <f t="shared" ca="1" si="13"/>
        <v>0</v>
      </c>
      <c r="S38" s="54">
        <f t="shared" ca="1" si="13"/>
        <v>0</v>
      </c>
      <c r="T38" s="54">
        <f t="shared" ca="1" si="13"/>
        <v>0</v>
      </c>
      <c r="U38" s="54">
        <f t="shared" ca="1" si="13"/>
        <v>0</v>
      </c>
    </row>
    <row r="39" spans="2:21" ht="16" customHeight="1" x14ac:dyDescent="0.2">
      <c r="B39" s="20" t="s">
        <v>31</v>
      </c>
      <c r="J39" s="56"/>
      <c r="K39" s="57">
        <f>K40</f>
        <v>-7.2365269461077797E-2</v>
      </c>
      <c r="L39" s="58">
        <f>H10</f>
        <v>0.03</v>
      </c>
      <c r="M39" s="59">
        <f>H11</f>
        <v>-0.01</v>
      </c>
      <c r="N39" s="59">
        <f t="shared" ref="N39:U39" si="14">M39</f>
        <v>-0.01</v>
      </c>
      <c r="O39" s="59">
        <f t="shared" si="14"/>
        <v>-0.01</v>
      </c>
      <c r="P39" s="59">
        <f t="shared" si="14"/>
        <v>-0.01</v>
      </c>
      <c r="Q39" s="59">
        <f t="shared" si="14"/>
        <v>-0.01</v>
      </c>
      <c r="R39" s="59">
        <f t="shared" si="14"/>
        <v>-0.01</v>
      </c>
      <c r="S39" s="59">
        <f t="shared" si="14"/>
        <v>-0.01</v>
      </c>
      <c r="T39" s="59">
        <f t="shared" si="14"/>
        <v>-0.01</v>
      </c>
      <c r="U39" s="59">
        <f t="shared" si="14"/>
        <v>-0.01</v>
      </c>
    </row>
    <row r="40" spans="2:21" ht="16" customHeight="1" x14ac:dyDescent="0.2">
      <c r="B40" s="20" t="s">
        <v>40</v>
      </c>
      <c r="J40" s="56"/>
      <c r="K40" s="60">
        <f>'Financials + KPIs'!S9</f>
        <v>-7.2365269461077797E-2</v>
      </c>
      <c r="L40" s="58">
        <f>L10</f>
        <v>0.05</v>
      </c>
      <c r="M40" s="59">
        <f>L11</f>
        <v>0</v>
      </c>
      <c r="N40" s="59">
        <f t="shared" ref="N40:U41" si="15">M40</f>
        <v>0</v>
      </c>
      <c r="O40" s="59">
        <f t="shared" si="15"/>
        <v>0</v>
      </c>
      <c r="P40" s="59">
        <f t="shared" si="15"/>
        <v>0</v>
      </c>
      <c r="Q40" s="59">
        <f t="shared" si="15"/>
        <v>0</v>
      </c>
      <c r="R40" s="59">
        <f t="shared" si="15"/>
        <v>0</v>
      </c>
      <c r="S40" s="59">
        <f t="shared" si="15"/>
        <v>0</v>
      </c>
      <c r="T40" s="59">
        <f t="shared" si="15"/>
        <v>0</v>
      </c>
      <c r="U40" s="59">
        <f t="shared" si="15"/>
        <v>0</v>
      </c>
    </row>
    <row r="41" spans="2:21" ht="16" customHeight="1" x14ac:dyDescent="0.2">
      <c r="B41" s="20" t="s">
        <v>60</v>
      </c>
      <c r="J41" s="56"/>
      <c r="K41" s="57">
        <f>K40</f>
        <v>-7.2365269461077797E-2</v>
      </c>
      <c r="L41" s="58">
        <f>P10</f>
        <v>7.0000000000000007E-2</v>
      </c>
      <c r="M41" s="59">
        <f>P11</f>
        <v>0.01</v>
      </c>
      <c r="N41" s="59">
        <f t="shared" si="15"/>
        <v>0.01</v>
      </c>
      <c r="O41" s="59">
        <f t="shared" si="15"/>
        <v>0.01</v>
      </c>
      <c r="P41" s="59">
        <f t="shared" si="15"/>
        <v>0.01</v>
      </c>
      <c r="Q41" s="59">
        <f t="shared" si="15"/>
        <v>0.01</v>
      </c>
      <c r="R41" s="59">
        <f t="shared" si="15"/>
        <v>0.01</v>
      </c>
      <c r="S41" s="59">
        <f t="shared" si="15"/>
        <v>0.01</v>
      </c>
      <c r="T41" s="59">
        <f t="shared" si="15"/>
        <v>0.01</v>
      </c>
      <c r="U41" s="59">
        <f t="shared" si="15"/>
        <v>0.01</v>
      </c>
    </row>
    <row r="42" spans="2:21" ht="16" customHeight="1" x14ac:dyDescent="0.2">
      <c r="B42" s="20" t="s">
        <v>57</v>
      </c>
      <c r="J42" s="56"/>
      <c r="K42" s="61"/>
      <c r="L42" s="62"/>
      <c r="M42" s="62"/>
      <c r="N42" s="62"/>
      <c r="O42" s="62"/>
      <c r="P42" s="62"/>
      <c r="Q42" s="62"/>
      <c r="R42" s="62"/>
      <c r="S42" s="62"/>
      <c r="T42" s="62"/>
      <c r="U42" s="62"/>
    </row>
    <row r="43" spans="2:21" customFormat="1" ht="16" customHeight="1" x14ac:dyDescent="0.2">
      <c r="J43" s="64"/>
    </row>
    <row r="44" spans="2:21" s="3" customFormat="1" ht="16" customHeight="1" x14ac:dyDescent="0.2">
      <c r="B44" s="3" t="s">
        <v>143</v>
      </c>
      <c r="E44" s="4">
        <f t="shared" ref="E44:U44" si="16">E37*E29</f>
        <v>945</v>
      </c>
      <c r="F44" s="4">
        <f t="shared" si="16"/>
        <v>953</v>
      </c>
      <c r="G44" s="4">
        <f t="shared" si="16"/>
        <v>941</v>
      </c>
      <c r="H44" s="4">
        <f t="shared" si="16"/>
        <v>921</v>
      </c>
      <c r="I44" s="4">
        <f t="shared" si="16"/>
        <v>1046</v>
      </c>
      <c r="J44" s="176">
        <f t="shared" si="16"/>
        <v>1002</v>
      </c>
      <c r="K44" s="4">
        <f t="shared" ca="1" si="16"/>
        <v>928.54683409436836</v>
      </c>
      <c r="L44" s="4">
        <f t="shared" ca="1" si="16"/>
        <v>860.59173059360728</v>
      </c>
      <c r="M44" s="4">
        <f t="shared" ca="1" si="16"/>
        <v>859.60140639269412</v>
      </c>
      <c r="N44" s="4">
        <f t="shared" ca="1" si="16"/>
        <v>858.61108219178084</v>
      </c>
      <c r="O44" s="4">
        <f t="shared" ca="1" si="16"/>
        <v>857.62075799086756</v>
      </c>
      <c r="P44" s="4">
        <f t="shared" ca="1" si="16"/>
        <v>856.6304337899544</v>
      </c>
      <c r="Q44" s="4">
        <f t="shared" ca="1" si="16"/>
        <v>855.64010958904112</v>
      </c>
      <c r="R44" s="4">
        <f t="shared" ca="1" si="16"/>
        <v>854.64978538812784</v>
      </c>
      <c r="S44" s="4">
        <f t="shared" ca="1" si="16"/>
        <v>853.65946118721467</v>
      </c>
      <c r="T44" s="4">
        <f t="shared" ca="1" si="16"/>
        <v>852.6691369863014</v>
      </c>
      <c r="U44" s="4">
        <f t="shared" ca="1" si="16"/>
        <v>851.67881278538812</v>
      </c>
    </row>
    <row r="45" spans="2:21" customFormat="1" ht="16" customHeight="1" x14ac:dyDescent="0.2">
      <c r="J45" s="64"/>
    </row>
    <row r="46" spans="2:21" ht="16" customHeight="1" x14ac:dyDescent="0.2">
      <c r="B46" s="31" t="s">
        <v>21</v>
      </c>
      <c r="E46" s="171">
        <f>'Financials + KPIs'!M12</f>
        <v>68.801058201058197</v>
      </c>
      <c r="F46" s="171">
        <f>'Financials + KPIs'!N12</f>
        <v>72.003147953830009</v>
      </c>
      <c r="G46" s="171">
        <f>'Financials + KPIs'!O12</f>
        <v>75.780021253985126</v>
      </c>
      <c r="H46" s="171">
        <f>'Financials + KPIs'!P12</f>
        <v>78.336590662323559</v>
      </c>
      <c r="I46" s="171">
        <f>'Financials + KPIs'!Q12</f>
        <v>85.656787762906305</v>
      </c>
      <c r="J46" s="177">
        <f>'Financials + KPIs'!R12</f>
        <v>96.057884231536931</v>
      </c>
      <c r="K46" s="172">
        <f ca="1">J46*(1+K47)</f>
        <v>104.548496487321</v>
      </c>
      <c r="L46" s="173">
        <f t="shared" ref="L46:U46" ca="1" si="17">K46*(1+L47)</f>
        <v>108.73043634681385</v>
      </c>
      <c r="M46" s="173">
        <f t="shared" ca="1" si="17"/>
        <v>111.99234943721827</v>
      </c>
      <c r="N46" s="173">
        <f t="shared" ca="1" si="17"/>
        <v>115.35211992033481</v>
      </c>
      <c r="O46" s="173">
        <f t="shared" ca="1" si="17"/>
        <v>118.81268351794486</v>
      </c>
      <c r="P46" s="173">
        <f t="shared" ca="1" si="17"/>
        <v>122.37706402348321</v>
      </c>
      <c r="Q46" s="173">
        <f t="shared" ca="1" si="17"/>
        <v>126.04837594418771</v>
      </c>
      <c r="R46" s="173">
        <f t="shared" ca="1" si="17"/>
        <v>129.82982722251336</v>
      </c>
      <c r="S46" s="173">
        <f t="shared" ca="1" si="17"/>
        <v>133.72472203918878</v>
      </c>
      <c r="T46" s="173">
        <f t="shared" ca="1" si="17"/>
        <v>137.73646370036445</v>
      </c>
      <c r="U46" s="173">
        <f t="shared" ca="1" si="17"/>
        <v>141.86855761137539</v>
      </c>
    </row>
    <row r="47" spans="2:21" s="53" customFormat="1" ht="16" customHeight="1" x14ac:dyDescent="0.2">
      <c r="B47" s="53" t="s">
        <v>59</v>
      </c>
      <c r="F47" s="54">
        <f t="shared" ref="F47:H47" si="18">F46/E46-1</f>
        <v>4.6541286376937663E-2</v>
      </c>
      <c r="G47" s="54">
        <f t="shared" si="18"/>
        <v>5.2454280229205175E-2</v>
      </c>
      <c r="H47" s="54">
        <f t="shared" si="18"/>
        <v>3.3736720655828334E-2</v>
      </c>
      <c r="I47" s="54">
        <f>I46/H46-1</f>
        <v>9.3445438953771554E-2</v>
      </c>
      <c r="J47" s="55">
        <f>J46/I46-1</f>
        <v>0.12142758023357514</v>
      </c>
      <c r="K47" s="54">
        <f t="shared" ref="K47:U47" ca="1" si="19">OFFSET(K47,$D$12,0)</f>
        <v>8.8390581613461139E-2</v>
      </c>
      <c r="L47" s="54">
        <f t="shared" ca="1" si="19"/>
        <v>0.04</v>
      </c>
      <c r="M47" s="54">
        <f t="shared" ca="1" si="19"/>
        <v>0.03</v>
      </c>
      <c r="N47" s="54">
        <f t="shared" ca="1" si="19"/>
        <v>0.03</v>
      </c>
      <c r="O47" s="54">
        <f t="shared" ca="1" si="19"/>
        <v>0.03</v>
      </c>
      <c r="P47" s="54">
        <f t="shared" ca="1" si="19"/>
        <v>0.03</v>
      </c>
      <c r="Q47" s="54">
        <f t="shared" ca="1" si="19"/>
        <v>0.03</v>
      </c>
      <c r="R47" s="54">
        <f t="shared" ca="1" si="19"/>
        <v>0.03</v>
      </c>
      <c r="S47" s="54">
        <f t="shared" ca="1" si="19"/>
        <v>0.03</v>
      </c>
      <c r="T47" s="54">
        <f t="shared" ca="1" si="19"/>
        <v>0.03</v>
      </c>
      <c r="U47" s="54">
        <f t="shared" ca="1" si="19"/>
        <v>0.03</v>
      </c>
    </row>
    <row r="48" spans="2:21" ht="16" customHeight="1" x14ac:dyDescent="0.2">
      <c r="B48" s="20" t="s">
        <v>31</v>
      </c>
      <c r="J48" s="56"/>
      <c r="K48" s="57">
        <f>K49</f>
        <v>8.8390581613461139E-2</v>
      </c>
      <c r="L48" s="58">
        <f>H12</f>
        <v>0.03</v>
      </c>
      <c r="M48" s="58">
        <f>H13</f>
        <v>0.02</v>
      </c>
      <c r="N48" s="59">
        <f t="shared" ref="N48:U48" si="20">M48</f>
        <v>0.02</v>
      </c>
      <c r="O48" s="59">
        <f t="shared" si="20"/>
        <v>0.02</v>
      </c>
      <c r="P48" s="59">
        <f t="shared" si="20"/>
        <v>0.02</v>
      </c>
      <c r="Q48" s="59">
        <f t="shared" si="20"/>
        <v>0.02</v>
      </c>
      <c r="R48" s="59">
        <f t="shared" si="20"/>
        <v>0.02</v>
      </c>
      <c r="S48" s="59">
        <f t="shared" si="20"/>
        <v>0.02</v>
      </c>
      <c r="T48" s="59">
        <f t="shared" si="20"/>
        <v>0.02</v>
      </c>
      <c r="U48" s="59">
        <f t="shared" si="20"/>
        <v>0.02</v>
      </c>
    </row>
    <row r="49" spans="1:21" ht="16" customHeight="1" x14ac:dyDescent="0.2">
      <c r="B49" s="20" t="s">
        <v>40</v>
      </c>
      <c r="J49" s="56"/>
      <c r="K49" s="60">
        <f>'Financials + KPIs'!S13</f>
        <v>8.8390581613461139E-2</v>
      </c>
      <c r="L49" s="58">
        <f>L12</f>
        <v>0.04</v>
      </c>
      <c r="M49" s="58">
        <f>L13</f>
        <v>0.03</v>
      </c>
      <c r="N49" s="59">
        <f t="shared" ref="M49:U50" si="21">M49</f>
        <v>0.03</v>
      </c>
      <c r="O49" s="59">
        <f t="shared" si="21"/>
        <v>0.03</v>
      </c>
      <c r="P49" s="59">
        <f t="shared" si="21"/>
        <v>0.03</v>
      </c>
      <c r="Q49" s="59">
        <f t="shared" si="21"/>
        <v>0.03</v>
      </c>
      <c r="R49" s="59">
        <f t="shared" si="21"/>
        <v>0.03</v>
      </c>
      <c r="S49" s="59">
        <f t="shared" si="21"/>
        <v>0.03</v>
      </c>
      <c r="T49" s="59">
        <f t="shared" si="21"/>
        <v>0.03</v>
      </c>
      <c r="U49" s="59">
        <f t="shared" si="21"/>
        <v>0.03</v>
      </c>
    </row>
    <row r="50" spans="1:21" ht="16" customHeight="1" x14ac:dyDescent="0.2">
      <c r="B50" s="20" t="s">
        <v>60</v>
      </c>
      <c r="J50" s="56"/>
      <c r="K50" s="57">
        <f>K49</f>
        <v>8.8390581613461139E-2</v>
      </c>
      <c r="L50" s="58">
        <f>P12</f>
        <v>0.05</v>
      </c>
      <c r="M50" s="58">
        <f>P13</f>
        <v>0.04</v>
      </c>
      <c r="N50" s="59">
        <f t="shared" si="21"/>
        <v>0.04</v>
      </c>
      <c r="O50" s="59">
        <f t="shared" si="21"/>
        <v>0.04</v>
      </c>
      <c r="P50" s="59">
        <f t="shared" si="21"/>
        <v>0.04</v>
      </c>
      <c r="Q50" s="59">
        <f t="shared" si="21"/>
        <v>0.04</v>
      </c>
      <c r="R50" s="59">
        <f t="shared" si="21"/>
        <v>0.04</v>
      </c>
      <c r="S50" s="59">
        <f t="shared" si="21"/>
        <v>0.04</v>
      </c>
      <c r="T50" s="59">
        <f t="shared" si="21"/>
        <v>0.04</v>
      </c>
      <c r="U50" s="59">
        <f t="shared" si="21"/>
        <v>0.04</v>
      </c>
    </row>
    <row r="51" spans="1:21" ht="16" customHeight="1" x14ac:dyDescent="0.2">
      <c r="B51" s="20" t="s">
        <v>57</v>
      </c>
      <c r="J51" s="56"/>
      <c r="K51" s="61"/>
      <c r="L51" s="62"/>
      <c r="M51" s="62"/>
      <c r="N51" s="62"/>
      <c r="O51" s="62"/>
      <c r="P51" s="62"/>
      <c r="Q51" s="62"/>
      <c r="R51" s="62"/>
      <c r="S51" s="62"/>
      <c r="T51" s="62"/>
      <c r="U51" s="62"/>
    </row>
    <row r="52" spans="1:21" customFormat="1" ht="16" customHeight="1" x14ac:dyDescent="0.2">
      <c r="J52" s="64"/>
    </row>
    <row r="53" spans="1:21" s="3" customFormat="1" ht="16" customHeight="1" x14ac:dyDescent="0.2">
      <c r="B53" s="188" t="s">
        <v>133</v>
      </c>
      <c r="E53" s="189">
        <f>E55/E29</f>
        <v>30.538750587130107</v>
      </c>
      <c r="F53" s="189">
        <f t="shared" ref="F53:U53" si="22">F55/F29</f>
        <v>31.886152416356879</v>
      </c>
      <c r="G53" s="189">
        <f t="shared" si="22"/>
        <v>35.389081885856079</v>
      </c>
      <c r="H53" s="189">
        <f t="shared" si="22"/>
        <v>36.493677288821445</v>
      </c>
      <c r="I53" s="189">
        <f t="shared" si="22"/>
        <v>45.388551165146907</v>
      </c>
      <c r="J53" s="190">
        <f t="shared" si="22"/>
        <v>48.833079654997462</v>
      </c>
      <c r="K53" s="189">
        <f t="shared" ca="1" si="22"/>
        <v>49.303288685946221</v>
      </c>
      <c r="L53" s="189">
        <f t="shared" ca="1" si="22"/>
        <v>53.839191245053271</v>
      </c>
      <c r="M53" s="189">
        <f t="shared" ca="1" si="22"/>
        <v>55.454366982404878</v>
      </c>
      <c r="N53" s="189">
        <f t="shared" ca="1" si="22"/>
        <v>57.117997991877019</v>
      </c>
      <c r="O53" s="189">
        <f t="shared" ca="1" si="22"/>
        <v>58.831537931633335</v>
      </c>
      <c r="P53" s="189">
        <f t="shared" ca="1" si="22"/>
        <v>60.596484069582345</v>
      </c>
      <c r="Q53" s="189">
        <f t="shared" ca="1" si="22"/>
        <v>62.414378591669809</v>
      </c>
      <c r="R53" s="189">
        <f t="shared" ca="1" si="22"/>
        <v>64.286809949419904</v>
      </c>
      <c r="S53" s="189">
        <f t="shared" ca="1" si="22"/>
        <v>66.215414247902515</v>
      </c>
      <c r="T53" s="189">
        <f t="shared" ca="1" si="22"/>
        <v>68.201876675339591</v>
      </c>
      <c r="U53" s="189">
        <f t="shared" ca="1" si="22"/>
        <v>70.247932975599795</v>
      </c>
    </row>
    <row r="54" spans="1:21" customFormat="1" ht="16" customHeight="1" x14ac:dyDescent="0.2">
      <c r="J54" s="191"/>
    </row>
    <row r="55" spans="1:21" ht="16" customHeight="1" x14ac:dyDescent="0.2">
      <c r="B55" s="65" t="s">
        <v>61</v>
      </c>
      <c r="C55" s="66"/>
      <c r="D55" s="66"/>
      <c r="E55" s="67">
        <f t="shared" ref="E55:U55" si="23">E46*E37*E29</f>
        <v>65017</v>
      </c>
      <c r="F55" s="67">
        <f t="shared" si="23"/>
        <v>68619</v>
      </c>
      <c r="G55" s="67">
        <f t="shared" si="23"/>
        <v>71309</v>
      </c>
      <c r="H55" s="67">
        <f t="shared" si="23"/>
        <v>72148</v>
      </c>
      <c r="I55" s="67">
        <f t="shared" si="23"/>
        <v>89597</v>
      </c>
      <c r="J55" s="68">
        <f t="shared" si="23"/>
        <v>96250</v>
      </c>
      <c r="K55" s="67">
        <f t="shared" ca="1" si="23"/>
        <v>97078.175422628105</v>
      </c>
      <c r="L55" s="67">
        <f t="shared" ca="1" si="23"/>
        <v>93572.514383902584</v>
      </c>
      <c r="M55" s="67">
        <f t="shared" ca="1" si="23"/>
        <v>96268.781081454872</v>
      </c>
      <c r="N55" s="67">
        <f t="shared" ca="1" si="23"/>
        <v>99042.608517914749</v>
      </c>
      <c r="O55" s="67">
        <f t="shared" ca="1" si="23"/>
        <v>101896.22369758894</v>
      </c>
      <c r="P55" s="67">
        <f t="shared" ca="1" si="23"/>
        <v>104831.91744037745</v>
      </c>
      <c r="Q55" s="67">
        <f t="shared" ca="1" si="23"/>
        <v>107852.04620640543</v>
      </c>
      <c r="R55" s="67">
        <f t="shared" ca="1" si="23"/>
        <v>110959.03397269876</v>
      </c>
      <c r="S55" s="67">
        <f t="shared" ca="1" si="23"/>
        <v>114155.37416338394</v>
      </c>
      <c r="T55" s="67">
        <f t="shared" ca="1" si="23"/>
        <v>117443.63163493478</v>
      </c>
      <c r="U55" s="67">
        <f t="shared" ca="1" si="23"/>
        <v>120826.44471803165</v>
      </c>
    </row>
    <row r="56" spans="1:21" s="53" customFormat="1" ht="16" customHeight="1" x14ac:dyDescent="0.2">
      <c r="B56" s="53" t="s">
        <v>59</v>
      </c>
      <c r="F56" s="54">
        <f>F55/E55-1</f>
        <v>5.5400895150499174E-2</v>
      </c>
      <c r="G56" s="54">
        <f t="shared" ref="G56:U56" si="24">G55/F55-1</f>
        <v>3.9201970299771238E-2</v>
      </c>
      <c r="H56" s="54">
        <f t="shared" si="24"/>
        <v>1.176569577472697E-2</v>
      </c>
      <c r="I56" s="54">
        <f t="shared" si="24"/>
        <v>0.24185008593446811</v>
      </c>
      <c r="J56" s="55">
        <f t="shared" si="24"/>
        <v>7.4254718349944682E-2</v>
      </c>
      <c r="K56" s="54">
        <f t="shared" ca="1" si="24"/>
        <v>8.6044199753569917E-3</v>
      </c>
      <c r="L56" s="54">
        <f ca="1">L55/K55-1</f>
        <v>-3.6111731843575412E-2</v>
      </c>
      <c r="M56" s="54">
        <f t="shared" ca="1" si="24"/>
        <v>2.8814729574223374E-2</v>
      </c>
      <c r="N56" s="54">
        <f t="shared" ca="1" si="24"/>
        <v>2.881336405529944E-2</v>
      </c>
      <c r="O56" s="54">
        <f t="shared" ca="1" si="24"/>
        <v>2.8811995386389899E-2</v>
      </c>
      <c r="P56" s="54">
        <f t="shared" ca="1" si="24"/>
        <v>2.8810623556582149E-2</v>
      </c>
      <c r="Q56" s="54">
        <f t="shared" ca="1" si="24"/>
        <v>2.880924855491318E-2</v>
      </c>
      <c r="R56" s="54">
        <f t="shared" ca="1" si="24"/>
        <v>2.880787037037047E-2</v>
      </c>
      <c r="S56" s="54">
        <f t="shared" ca="1" si="24"/>
        <v>2.8806488991888868E-2</v>
      </c>
      <c r="T56" s="54">
        <f t="shared" ca="1" si="24"/>
        <v>2.88051044083526E-2</v>
      </c>
      <c r="U56" s="54">
        <f t="shared" ca="1" si="24"/>
        <v>2.880371660859482E-2</v>
      </c>
    </row>
    <row r="57" spans="1:21" ht="16" customHeight="1" x14ac:dyDescent="0.2">
      <c r="J57" s="56"/>
    </row>
    <row r="58" spans="1:21" ht="16" customHeight="1" x14ac:dyDescent="0.2">
      <c r="A58" s="20" t="s">
        <v>36</v>
      </c>
      <c r="B58" s="27" t="s">
        <v>126</v>
      </c>
      <c r="C58" s="27"/>
      <c r="D58" s="27"/>
      <c r="E58" s="47">
        <v>2017</v>
      </c>
      <c r="F58" s="47">
        <f>E58+1</f>
        <v>2018</v>
      </c>
      <c r="G58" s="47">
        <f t="shared" ref="G58" si="25">F58+1</f>
        <v>2019</v>
      </c>
      <c r="H58" s="47">
        <f t="shared" ref="H58" si="26">G58+1</f>
        <v>2020</v>
      </c>
      <c r="I58" s="47">
        <f t="shared" ref="I58" si="27">H58+1</f>
        <v>2021</v>
      </c>
      <c r="J58" s="47">
        <f t="shared" ref="J58" si="28">I58+1</f>
        <v>2022</v>
      </c>
      <c r="K58" s="48">
        <v>2022</v>
      </c>
      <c r="L58" s="48">
        <f>K58+1</f>
        <v>2023</v>
      </c>
      <c r="M58" s="48">
        <f t="shared" ref="M58" si="29">L58+1</f>
        <v>2024</v>
      </c>
      <c r="N58" s="48">
        <f t="shared" ref="N58" si="30">M58+1</f>
        <v>2025</v>
      </c>
      <c r="O58" s="48">
        <f t="shared" ref="O58" si="31">N58+1</f>
        <v>2026</v>
      </c>
      <c r="P58" s="48">
        <f t="shared" ref="P58" si="32">O58+1</f>
        <v>2027</v>
      </c>
      <c r="Q58" s="48">
        <f t="shared" ref="Q58" si="33">P58+1</f>
        <v>2028</v>
      </c>
      <c r="R58" s="48">
        <f t="shared" ref="R58" si="34">Q58+1</f>
        <v>2029</v>
      </c>
      <c r="S58" s="48">
        <f t="shared" ref="S58" si="35">R58+1</f>
        <v>2030</v>
      </c>
      <c r="T58" s="48">
        <f t="shared" ref="T58" si="36">S58+1</f>
        <v>2031</v>
      </c>
      <c r="U58" s="48">
        <f t="shared" ref="U58" si="37">T58+1</f>
        <v>2032</v>
      </c>
    </row>
    <row r="59" spans="1:21" ht="16" customHeight="1" x14ac:dyDescent="0.2">
      <c r="B59" s="27" t="s">
        <v>58</v>
      </c>
      <c r="C59" s="27"/>
      <c r="D59" s="27"/>
      <c r="E59" s="49">
        <f>EDATE(F59,-12)</f>
        <v>42766</v>
      </c>
      <c r="F59" s="49">
        <f t="shared" ref="F59" si="38">EDATE(G59,-12)</f>
        <v>43131</v>
      </c>
      <c r="G59" s="49">
        <f t="shared" ref="G59" si="39">EDATE(H59,-12)</f>
        <v>43496</v>
      </c>
      <c r="H59" s="49">
        <f t="shared" ref="H59" si="40">EDATE(I59,-12)</f>
        <v>43861</v>
      </c>
      <c r="I59" s="49">
        <f t="shared" ref="I59" si="41">EDATE(J59,-12)</f>
        <v>44227</v>
      </c>
      <c r="J59" s="49">
        <f>EDATE(K59,-12)</f>
        <v>44592</v>
      </c>
      <c r="K59" s="49">
        <v>44957</v>
      </c>
      <c r="L59" s="49">
        <f>EDATE(K59,12)</f>
        <v>45322</v>
      </c>
      <c r="M59" s="49">
        <f t="shared" ref="M59" si="42">EDATE(L59,12)</f>
        <v>45688</v>
      </c>
      <c r="N59" s="49">
        <f t="shared" ref="N59" si="43">EDATE(M59,12)</f>
        <v>46053</v>
      </c>
      <c r="O59" s="49">
        <f t="shared" ref="O59" si="44">EDATE(N59,12)</f>
        <v>46418</v>
      </c>
      <c r="P59" s="49">
        <f t="shared" ref="P59" si="45">EDATE(O59,12)</f>
        <v>46783</v>
      </c>
      <c r="Q59" s="49">
        <f t="shared" ref="Q59" si="46">EDATE(P59,12)</f>
        <v>47149</v>
      </c>
      <c r="R59" s="49">
        <f t="shared" ref="R59" si="47">EDATE(Q59,12)</f>
        <v>47514</v>
      </c>
      <c r="S59" s="49">
        <f t="shared" ref="S59" si="48">EDATE(R59,12)</f>
        <v>47879</v>
      </c>
      <c r="T59" s="49">
        <f t="shared" ref="T59" si="49">EDATE(S59,12)</f>
        <v>48244</v>
      </c>
      <c r="U59" s="49">
        <f t="shared" ref="U59" si="50">EDATE(T59,12)</f>
        <v>48610</v>
      </c>
    </row>
    <row r="60" spans="1:21" ht="16" customHeight="1" x14ac:dyDescent="0.2">
      <c r="B60" s="20" t="s">
        <v>62</v>
      </c>
      <c r="E60" s="69">
        <f>E55</f>
        <v>65017</v>
      </c>
      <c r="F60" s="69">
        <f t="shared" ref="F60:U61" si="51">F55</f>
        <v>68619</v>
      </c>
      <c r="G60" s="69">
        <f t="shared" si="51"/>
        <v>71309</v>
      </c>
      <c r="H60" s="69">
        <f t="shared" si="51"/>
        <v>72148</v>
      </c>
      <c r="I60" s="69">
        <f t="shared" si="51"/>
        <v>89597</v>
      </c>
      <c r="J60" s="70">
        <f t="shared" si="51"/>
        <v>96250</v>
      </c>
      <c r="K60" s="69">
        <f t="shared" ca="1" si="51"/>
        <v>97078.175422628105</v>
      </c>
      <c r="L60" s="69">
        <f t="shared" ca="1" si="51"/>
        <v>93572.514383902584</v>
      </c>
      <c r="M60" s="69">
        <f t="shared" ca="1" si="51"/>
        <v>96268.781081454872</v>
      </c>
      <c r="N60" s="69">
        <f t="shared" ca="1" si="51"/>
        <v>99042.608517914749</v>
      </c>
      <c r="O60" s="69">
        <f t="shared" ca="1" si="51"/>
        <v>101896.22369758894</v>
      </c>
      <c r="P60" s="69">
        <f t="shared" ca="1" si="51"/>
        <v>104831.91744037745</v>
      </c>
      <c r="Q60" s="69">
        <f t="shared" ca="1" si="51"/>
        <v>107852.04620640543</v>
      </c>
      <c r="R60" s="69">
        <f t="shared" ca="1" si="51"/>
        <v>110959.03397269876</v>
      </c>
      <c r="S60" s="69">
        <f t="shared" ca="1" si="51"/>
        <v>114155.37416338394</v>
      </c>
      <c r="T60" s="69">
        <f t="shared" ca="1" si="51"/>
        <v>117443.63163493478</v>
      </c>
      <c r="U60" s="69">
        <f t="shared" ca="1" si="51"/>
        <v>120826.44471803165</v>
      </c>
    </row>
    <row r="61" spans="1:21" s="53" customFormat="1" ht="16" customHeight="1" x14ac:dyDescent="0.2">
      <c r="B61" s="53" t="s">
        <v>59</v>
      </c>
      <c r="E61" s="71"/>
      <c r="F61" s="72">
        <f>F56</f>
        <v>5.5400895150499174E-2</v>
      </c>
      <c r="G61" s="72">
        <f t="shared" si="51"/>
        <v>3.9201970299771238E-2</v>
      </c>
      <c r="H61" s="72">
        <f t="shared" si="51"/>
        <v>1.176569577472697E-2</v>
      </c>
      <c r="I61" s="72">
        <f t="shared" si="51"/>
        <v>0.24185008593446811</v>
      </c>
      <c r="J61" s="73">
        <f t="shared" si="51"/>
        <v>7.4254718349944682E-2</v>
      </c>
      <c r="K61" s="72">
        <f t="shared" ca="1" si="51"/>
        <v>8.6044199753569917E-3</v>
      </c>
      <c r="L61" s="72">
        <f t="shared" ca="1" si="51"/>
        <v>-3.6111731843575412E-2</v>
      </c>
      <c r="M61" s="72">
        <f t="shared" ca="1" si="51"/>
        <v>2.8814729574223374E-2</v>
      </c>
      <c r="N61" s="72">
        <f t="shared" ca="1" si="51"/>
        <v>2.881336405529944E-2</v>
      </c>
      <c r="O61" s="72">
        <f t="shared" ca="1" si="51"/>
        <v>2.8811995386389899E-2</v>
      </c>
      <c r="P61" s="72">
        <f t="shared" ca="1" si="51"/>
        <v>2.8810623556582149E-2</v>
      </c>
      <c r="Q61" s="72">
        <f t="shared" ca="1" si="51"/>
        <v>2.880924855491318E-2</v>
      </c>
      <c r="R61" s="72">
        <f t="shared" ca="1" si="51"/>
        <v>2.880787037037047E-2</v>
      </c>
      <c r="S61" s="72">
        <f t="shared" ca="1" si="51"/>
        <v>2.8806488991888868E-2</v>
      </c>
      <c r="T61" s="72">
        <f t="shared" ca="1" si="51"/>
        <v>2.88051044083526E-2</v>
      </c>
      <c r="U61" s="72">
        <f t="shared" ca="1" si="51"/>
        <v>2.880371660859482E-2</v>
      </c>
    </row>
    <row r="62" spans="1:21" ht="16" customHeight="1" x14ac:dyDescent="0.2">
      <c r="E62" s="74"/>
      <c r="F62" s="74"/>
      <c r="G62" s="74"/>
      <c r="H62" s="74"/>
      <c r="I62" s="74"/>
      <c r="J62" s="75"/>
      <c r="K62" s="74"/>
      <c r="L62" s="74"/>
      <c r="M62" s="74"/>
      <c r="N62" s="74"/>
      <c r="O62" s="74"/>
      <c r="P62" s="74"/>
      <c r="Q62" s="74"/>
      <c r="R62" s="74"/>
      <c r="S62" s="74"/>
      <c r="T62" s="74"/>
      <c r="U62" s="74"/>
    </row>
    <row r="63" spans="1:21" s="52" customFormat="1" ht="16" customHeight="1" x14ac:dyDescent="0.2">
      <c r="B63" s="52" t="s">
        <v>63</v>
      </c>
      <c r="E63" s="50">
        <f>'Financials + KPIs'!M20</f>
        <v>5846</v>
      </c>
      <c r="F63" s="50">
        <f>'Financials + KPIs'!N20</f>
        <v>6586</v>
      </c>
      <c r="G63" s="50">
        <f>'Financials + KPIs'!O20</f>
        <v>4018</v>
      </c>
      <c r="H63" s="50">
        <f>'Financials + KPIs'!P20</f>
        <v>6314</v>
      </c>
      <c r="I63" s="50">
        <f>'Financials + KPIs'!Q20</f>
        <v>9647</v>
      </c>
      <c r="J63" s="51">
        <f>'Financials + KPIs'!R20</f>
        <v>12093</v>
      </c>
      <c r="K63" s="63">
        <f ca="1">K60*K64</f>
        <v>11498.567544172376</v>
      </c>
      <c r="L63" s="63">
        <f t="shared" ref="L63:U63" ca="1" si="52">L60*L64</f>
        <v>12632.28944182685</v>
      </c>
      <c r="M63" s="63">
        <f t="shared" ca="1" si="52"/>
        <v>13156.733414465501</v>
      </c>
      <c r="N63" s="63">
        <f t="shared" ca="1" si="52"/>
        <v>13700.894178311542</v>
      </c>
      <c r="O63" s="63">
        <f t="shared" ca="1" si="52"/>
        <v>14265.471317662455</v>
      </c>
      <c r="P63" s="63">
        <f t="shared" ca="1" si="52"/>
        <v>14851.188304053478</v>
      </c>
      <c r="Q63" s="63">
        <f t="shared" ca="1" si="52"/>
        <v>15458.793289584784</v>
      </c>
      <c r="R63" s="63">
        <f t="shared" ca="1" si="52"/>
        <v>16089.059926041327</v>
      </c>
      <c r="S63" s="63">
        <f t="shared" ca="1" si="52"/>
        <v>16742.788210629653</v>
      </c>
      <c r="T63" s="63">
        <f t="shared" ca="1" si="52"/>
        <v>17420.805359182003</v>
      </c>
      <c r="U63" s="63">
        <f t="shared" ca="1" si="52"/>
        <v>18123.966707704745</v>
      </c>
    </row>
    <row r="64" spans="1:21" s="53" customFormat="1" ht="16" customHeight="1" x14ac:dyDescent="0.2">
      <c r="B64" s="53" t="s">
        <v>64</v>
      </c>
      <c r="E64" s="76">
        <f>E63/E60</f>
        <v>8.9914945321992706E-2</v>
      </c>
      <c r="F64" s="76">
        <f t="shared" ref="F64:J64" si="53">F63/F60</f>
        <v>9.5979247730220499E-2</v>
      </c>
      <c r="G64" s="76">
        <f t="shared" si="53"/>
        <v>5.6346323745950722E-2</v>
      </c>
      <c r="H64" s="76">
        <f t="shared" si="53"/>
        <v>8.7514553417974164E-2</v>
      </c>
      <c r="I64" s="76">
        <f t="shared" si="53"/>
        <v>0.10767101577061731</v>
      </c>
      <c r="J64" s="77">
        <f t="shared" si="53"/>
        <v>0.12564155844155844</v>
      </c>
      <c r="K64" s="76">
        <f ca="1">OFFSET(K64,$D$14,0)</f>
        <v>0.11844647361895264</v>
      </c>
      <c r="L64" s="76">
        <f t="shared" ref="L64:U64" ca="1" si="54">OFFSET(L64,$D$14,0)</f>
        <v>0.13500000000000001</v>
      </c>
      <c r="M64" s="76">
        <f t="shared" ca="1" si="54"/>
        <v>0.13666666666666669</v>
      </c>
      <c r="N64" s="76">
        <f t="shared" ca="1" si="54"/>
        <v>0.13833333333333336</v>
      </c>
      <c r="O64" s="76">
        <f t="shared" ca="1" si="54"/>
        <v>0.14000000000000004</v>
      </c>
      <c r="P64" s="76">
        <f t="shared" ca="1" si="54"/>
        <v>0.14166666666666672</v>
      </c>
      <c r="Q64" s="76">
        <f t="shared" ca="1" si="54"/>
        <v>0.1433333333333334</v>
      </c>
      <c r="R64" s="76">
        <f t="shared" ca="1" si="54"/>
        <v>0.14500000000000007</v>
      </c>
      <c r="S64" s="76">
        <f t="shared" ca="1" si="54"/>
        <v>0.14666666666666675</v>
      </c>
      <c r="T64" s="76">
        <f t="shared" ca="1" si="54"/>
        <v>0.14833333333333343</v>
      </c>
      <c r="U64" s="76">
        <f t="shared" ca="1" si="54"/>
        <v>0.15</v>
      </c>
    </row>
    <row r="65" spans="2:21" ht="16" customHeight="1" x14ac:dyDescent="0.2">
      <c r="B65" s="20" t="s">
        <v>31</v>
      </c>
      <c r="J65" s="56"/>
      <c r="K65" s="57">
        <f>K66</f>
        <v>0.11844647361895264</v>
      </c>
      <c r="L65" s="58">
        <f>H14</f>
        <v>0.13100000000000001</v>
      </c>
      <c r="M65" s="59">
        <f>L65-($L$65-$U$65)/($U$58-$L$58)</f>
        <v>0.12977777777777777</v>
      </c>
      <c r="N65" s="59">
        <f t="shared" ref="N65:T65" si="55">M65-($L$65-$U$65)/($U$58-$L$58)</f>
        <v>0.12855555555555553</v>
      </c>
      <c r="O65" s="59">
        <f t="shared" si="55"/>
        <v>0.1273333333333333</v>
      </c>
      <c r="P65" s="59">
        <f t="shared" si="55"/>
        <v>0.12611111111111106</v>
      </c>
      <c r="Q65" s="59">
        <f t="shared" si="55"/>
        <v>0.12488888888888884</v>
      </c>
      <c r="R65" s="59">
        <f t="shared" si="55"/>
        <v>0.12366666666666662</v>
      </c>
      <c r="S65" s="59">
        <f t="shared" si="55"/>
        <v>0.1224444444444444</v>
      </c>
      <c r="T65" s="59">
        <f t="shared" si="55"/>
        <v>0.12122222222222218</v>
      </c>
      <c r="U65" s="58">
        <f>H15</f>
        <v>0.12</v>
      </c>
    </row>
    <row r="66" spans="2:21" ht="16" customHeight="1" x14ac:dyDescent="0.2">
      <c r="B66" s="20" t="s">
        <v>40</v>
      </c>
      <c r="J66" s="56"/>
      <c r="K66" s="60">
        <f>'Financials + KPIs'!S32</f>
        <v>0.11844647361895264</v>
      </c>
      <c r="L66" s="58">
        <f>L14</f>
        <v>0.13500000000000001</v>
      </c>
      <c r="M66" s="59">
        <f>L66-($L$66-$U$66)/($U$58-$L$58)</f>
        <v>0.13666666666666669</v>
      </c>
      <c r="N66" s="59">
        <f t="shared" ref="N66:T66" si="56">M66-($L$66-$U$66)/($U$58-$L$58)</f>
        <v>0.13833333333333336</v>
      </c>
      <c r="O66" s="59">
        <f t="shared" si="56"/>
        <v>0.14000000000000004</v>
      </c>
      <c r="P66" s="59">
        <f t="shared" si="56"/>
        <v>0.14166666666666672</v>
      </c>
      <c r="Q66" s="59">
        <f t="shared" si="56"/>
        <v>0.1433333333333334</v>
      </c>
      <c r="R66" s="59">
        <f t="shared" si="56"/>
        <v>0.14500000000000007</v>
      </c>
      <c r="S66" s="59">
        <f t="shared" si="56"/>
        <v>0.14666666666666675</v>
      </c>
      <c r="T66" s="59">
        <f t="shared" si="56"/>
        <v>0.14833333333333343</v>
      </c>
      <c r="U66" s="58">
        <f>L15</f>
        <v>0.15</v>
      </c>
    </row>
    <row r="67" spans="2:21" ht="16" customHeight="1" x14ac:dyDescent="0.2">
      <c r="B67" s="20" t="s">
        <v>60</v>
      </c>
      <c r="J67" s="56"/>
      <c r="K67" s="57">
        <f>K66</f>
        <v>0.11844647361895264</v>
      </c>
      <c r="L67" s="58">
        <f>P14</f>
        <v>0.13900000000000001</v>
      </c>
      <c r="M67" s="59">
        <f>L67-($L$67-$U$67)/($U$58-$L$58)</f>
        <v>0.14133333333333334</v>
      </c>
      <c r="N67" s="59">
        <f t="shared" ref="N67:T67" si="57">M67-($L$67-$U$67)/($U$58-$L$58)</f>
        <v>0.14366666666666666</v>
      </c>
      <c r="O67" s="59">
        <f t="shared" si="57"/>
        <v>0.14599999999999999</v>
      </c>
      <c r="P67" s="59">
        <f t="shared" si="57"/>
        <v>0.14833333333333332</v>
      </c>
      <c r="Q67" s="59">
        <f t="shared" si="57"/>
        <v>0.15066666666666664</v>
      </c>
      <c r="R67" s="59">
        <f t="shared" si="57"/>
        <v>0.15299999999999997</v>
      </c>
      <c r="S67" s="59">
        <f t="shared" si="57"/>
        <v>0.1553333333333333</v>
      </c>
      <c r="T67" s="59">
        <f t="shared" si="57"/>
        <v>0.15766666666666662</v>
      </c>
      <c r="U67" s="58">
        <f>P15</f>
        <v>0.16</v>
      </c>
    </row>
    <row r="68" spans="2:21" ht="16" customHeight="1" x14ac:dyDescent="0.2">
      <c r="B68" s="20" t="s">
        <v>57</v>
      </c>
      <c r="J68" s="56"/>
      <c r="K68" s="61"/>
      <c r="L68" s="62"/>
      <c r="M68" s="62"/>
      <c r="N68" s="62"/>
      <c r="O68" s="62"/>
      <c r="P68" s="62"/>
      <c r="Q68" s="62"/>
      <c r="R68" s="62"/>
      <c r="S68" s="62"/>
      <c r="T68" s="62"/>
      <c r="U68" s="62"/>
    </row>
    <row r="69" spans="2:21" ht="16" customHeight="1" x14ac:dyDescent="0.2">
      <c r="J69" s="56"/>
    </row>
    <row r="70" spans="2:21" ht="16" customHeight="1" x14ac:dyDescent="0.2">
      <c r="B70" s="20" t="s">
        <v>8</v>
      </c>
      <c r="E70" s="50">
        <f>'Financials + KPIs'!M23</f>
        <v>2108</v>
      </c>
      <c r="F70" s="50">
        <f>'Financials + KPIs'!N23</f>
        <v>2042</v>
      </c>
      <c r="G70" s="50">
        <f>'Financials + KPIs'!O23</f>
        <v>1080</v>
      </c>
      <c r="H70" s="50">
        <f>'Financials + KPIs'!P23</f>
        <v>1342</v>
      </c>
      <c r="I70" s="50">
        <f>'Financials + KPIs'!Q23</f>
        <v>1904</v>
      </c>
      <c r="J70" s="51">
        <f>'Financials + KPIs'!R23</f>
        <v>2766</v>
      </c>
      <c r="K70" s="63">
        <f t="shared" ref="K70:U70" ca="1" si="58">K63*K71</f>
        <v>3150.5246185852729</v>
      </c>
      <c r="L70" s="63">
        <f t="shared" ca="1" si="58"/>
        <v>2905.4265716201758</v>
      </c>
      <c r="M70" s="63">
        <f t="shared" ca="1" si="58"/>
        <v>3026.0486853270654</v>
      </c>
      <c r="N70" s="63">
        <f t="shared" ca="1" si="58"/>
        <v>3151.2056610116547</v>
      </c>
      <c r="O70" s="63">
        <f t="shared" ca="1" si="58"/>
        <v>3281.058403062365</v>
      </c>
      <c r="P70" s="63">
        <f t="shared" ca="1" si="58"/>
        <v>3415.7733099323</v>
      </c>
      <c r="Q70" s="63">
        <f t="shared" ca="1" si="58"/>
        <v>3555.5224566045003</v>
      </c>
      <c r="R70" s="63">
        <f t="shared" ca="1" si="58"/>
        <v>3700.4837829895055</v>
      </c>
      <c r="S70" s="63">
        <f t="shared" ca="1" si="58"/>
        <v>3850.8412884448203</v>
      </c>
      <c r="T70" s="63">
        <f t="shared" ca="1" si="58"/>
        <v>4006.7852326118609</v>
      </c>
      <c r="U70" s="63">
        <f t="shared" ca="1" si="58"/>
        <v>4168.5123427720919</v>
      </c>
    </row>
    <row r="71" spans="2:21" s="53" customFormat="1" ht="16" customHeight="1" x14ac:dyDescent="0.2">
      <c r="B71" s="53" t="s">
        <v>65</v>
      </c>
      <c r="E71" s="76">
        <f t="shared" ref="E71:J71" si="59">E70/E63</f>
        <v>0.36058843653780365</v>
      </c>
      <c r="F71" s="76">
        <f t="shared" si="59"/>
        <v>0.31005162465836622</v>
      </c>
      <c r="G71" s="76">
        <f t="shared" si="59"/>
        <v>0.26879044300647087</v>
      </c>
      <c r="H71" s="76">
        <f t="shared" si="59"/>
        <v>0.21254355400696864</v>
      </c>
      <c r="I71" s="76">
        <f t="shared" si="59"/>
        <v>0.19736705711620192</v>
      </c>
      <c r="J71" s="77">
        <f t="shared" si="59"/>
        <v>0.22872736293723642</v>
      </c>
      <c r="K71" s="78">
        <f>'Financials + KPIs'!S33</f>
        <v>0.2739927914048737</v>
      </c>
      <c r="L71" s="79">
        <f>L16</f>
        <v>0.23</v>
      </c>
      <c r="M71" s="72">
        <f t="shared" ref="M71:U71" si="60">L71</f>
        <v>0.23</v>
      </c>
      <c r="N71" s="72">
        <f t="shared" si="60"/>
        <v>0.23</v>
      </c>
      <c r="O71" s="72">
        <f t="shared" si="60"/>
        <v>0.23</v>
      </c>
      <c r="P71" s="72">
        <f t="shared" si="60"/>
        <v>0.23</v>
      </c>
      <c r="Q71" s="72">
        <f t="shared" si="60"/>
        <v>0.23</v>
      </c>
      <c r="R71" s="72">
        <f t="shared" si="60"/>
        <v>0.23</v>
      </c>
      <c r="S71" s="72">
        <f t="shared" si="60"/>
        <v>0.23</v>
      </c>
      <c r="T71" s="72">
        <f t="shared" si="60"/>
        <v>0.23</v>
      </c>
      <c r="U71" s="72">
        <f t="shared" si="60"/>
        <v>0.23</v>
      </c>
    </row>
    <row r="72" spans="2:21" ht="16" customHeight="1" x14ac:dyDescent="0.2">
      <c r="E72" s="74"/>
      <c r="F72" s="74"/>
      <c r="G72" s="74"/>
      <c r="H72" s="74"/>
      <c r="I72" s="74"/>
      <c r="J72" s="75"/>
      <c r="K72" s="74"/>
      <c r="L72" s="74"/>
      <c r="M72" s="74"/>
      <c r="N72" s="74"/>
      <c r="O72" s="74"/>
      <c r="P72" s="74"/>
      <c r="Q72" s="74"/>
      <c r="R72" s="74"/>
      <c r="S72" s="74"/>
      <c r="T72" s="74"/>
      <c r="U72" s="74"/>
    </row>
    <row r="73" spans="2:21" ht="16" customHeight="1" x14ac:dyDescent="0.2">
      <c r="B73" s="80" t="s">
        <v>66</v>
      </c>
      <c r="C73" s="80"/>
      <c r="D73" s="80"/>
      <c r="E73" s="81">
        <f>E63-E70</f>
        <v>3738</v>
      </c>
      <c r="F73" s="81">
        <f t="shared" ref="F73:J73" si="61">F63-F70</f>
        <v>4544</v>
      </c>
      <c r="G73" s="81">
        <f t="shared" si="61"/>
        <v>2938</v>
      </c>
      <c r="H73" s="81">
        <f t="shared" si="61"/>
        <v>4972</v>
      </c>
      <c r="I73" s="81">
        <f t="shared" si="61"/>
        <v>7743</v>
      </c>
      <c r="J73" s="82">
        <f t="shared" si="61"/>
        <v>9327</v>
      </c>
      <c r="K73" s="81">
        <f ca="1">K63-K70</f>
        <v>8348.0429255871022</v>
      </c>
      <c r="L73" s="81">
        <f t="shared" ref="L73:U73" ca="1" si="62">L63-L70</f>
        <v>9726.8628702066744</v>
      </c>
      <c r="M73" s="81">
        <f t="shared" ca="1" si="62"/>
        <v>10130.684729138437</v>
      </c>
      <c r="N73" s="81">
        <f t="shared" ca="1" si="62"/>
        <v>10549.688517299888</v>
      </c>
      <c r="O73" s="81">
        <f ca="1">O63-O70</f>
        <v>10984.412914600091</v>
      </c>
      <c r="P73" s="81">
        <f t="shared" ca="1" si="62"/>
        <v>11435.414994121178</v>
      </c>
      <c r="Q73" s="81">
        <f t="shared" ca="1" si="62"/>
        <v>11903.270832980284</v>
      </c>
      <c r="R73" s="81">
        <f t="shared" ca="1" si="62"/>
        <v>12388.576143051821</v>
      </c>
      <c r="S73" s="81">
        <f t="shared" ca="1" si="62"/>
        <v>12891.946922184832</v>
      </c>
      <c r="T73" s="81">
        <f t="shared" ca="1" si="62"/>
        <v>13414.020126570142</v>
      </c>
      <c r="U73" s="81">
        <f t="shared" ca="1" si="62"/>
        <v>13955.454364932653</v>
      </c>
    </row>
    <row r="74" spans="2:21" ht="16" customHeight="1" x14ac:dyDescent="0.2">
      <c r="E74" s="74"/>
      <c r="F74" s="74"/>
      <c r="G74" s="74"/>
      <c r="H74" s="74"/>
      <c r="I74" s="74"/>
      <c r="J74" s="83"/>
      <c r="K74" s="74"/>
      <c r="L74" s="74"/>
      <c r="M74" s="74"/>
      <c r="N74" s="74"/>
      <c r="O74" s="74"/>
      <c r="P74" s="74"/>
      <c r="Q74" s="74"/>
      <c r="R74" s="74"/>
      <c r="S74" s="74"/>
      <c r="T74" s="74"/>
      <c r="U74" s="74"/>
    </row>
    <row r="75" spans="2:21" ht="16" customHeight="1" x14ac:dyDescent="0.2">
      <c r="B75" s="20" t="s">
        <v>4</v>
      </c>
      <c r="E75" s="50">
        <f>'Financials + KPIs'!M19</f>
        <v>1453</v>
      </c>
      <c r="F75" s="50">
        <f>'Financials + KPIs'!N19</f>
        <v>1404</v>
      </c>
      <c r="G75" s="50">
        <f>'Financials + KPIs'!O19</f>
        <v>1477</v>
      </c>
      <c r="H75" s="50">
        <f>'Financials + KPIs'!P19</f>
        <v>1262</v>
      </c>
      <c r="I75" s="50">
        <f>'Financials + KPIs'!Q19</f>
        <v>1399</v>
      </c>
      <c r="J75" s="51">
        <f>'Financials + KPIs'!R19</f>
        <v>1662</v>
      </c>
      <c r="K75" s="50">
        <f>'Financials + KPIs'!S19</f>
        <v>1803.3843987823439</v>
      </c>
      <c r="L75" s="63">
        <f t="shared" ref="L75:U75" ca="1" si="63">L60*L76</f>
        <v>1717.4270515752141</v>
      </c>
      <c r="M75" s="63">
        <f ca="1">M60*M76</f>
        <v>1733.1104909437302</v>
      </c>
      <c r="N75" s="63">
        <f t="shared" ca="1" si="63"/>
        <v>1738.3155794207041</v>
      </c>
      <c r="O75" s="63">
        <f t="shared" ca="1" si="63"/>
        <v>1789.4081324214706</v>
      </c>
      <c r="P75" s="63">
        <f t="shared" ca="1" si="63"/>
        <v>1874.9751930501957</v>
      </c>
      <c r="Q75" s="63">
        <f t="shared" ca="1" si="63"/>
        <v>1940.1006710647682</v>
      </c>
      <c r="R75" s="63">
        <f t="shared" ca="1" si="63"/>
        <v>1985.1153401986119</v>
      </c>
      <c r="S75" s="63">
        <f t="shared" ca="1" si="63"/>
        <v>2033.4820961211165</v>
      </c>
      <c r="T75" s="63">
        <f t="shared" ca="1" si="63"/>
        <v>2088.3465996285013</v>
      </c>
      <c r="U75" s="63">
        <f t="shared" ca="1" si="63"/>
        <v>2153.1405647869756</v>
      </c>
    </row>
    <row r="76" spans="2:21" s="53" customFormat="1" ht="16" customHeight="1" x14ac:dyDescent="0.2">
      <c r="B76" s="53" t="s">
        <v>64</v>
      </c>
      <c r="E76" s="76">
        <f t="shared" ref="E76:K76" si="64">E75/E60</f>
        <v>2.2348001291969791E-2</v>
      </c>
      <c r="F76" s="76">
        <f t="shared" si="64"/>
        <v>2.0460805316311809E-2</v>
      </c>
      <c r="G76" s="76">
        <f t="shared" si="64"/>
        <v>2.0712673014626485E-2</v>
      </c>
      <c r="H76" s="76">
        <f t="shared" si="64"/>
        <v>1.7491822365138326E-2</v>
      </c>
      <c r="I76" s="76">
        <f t="shared" si="64"/>
        <v>1.561436208801634E-2</v>
      </c>
      <c r="J76" s="77">
        <f t="shared" si="64"/>
        <v>1.7267532467532466E-2</v>
      </c>
      <c r="K76" s="76">
        <f t="shared" ca="1" si="64"/>
        <v>1.857662024375038E-2</v>
      </c>
      <c r="L76" s="178">
        <f t="shared" ref="L76:U76" ca="1" si="65">AVERAGE(F76:K76)</f>
        <v>1.8353969249229298E-2</v>
      </c>
      <c r="M76" s="84">
        <f t="shared" ca="1" si="65"/>
        <v>1.8002829904715547E-2</v>
      </c>
      <c r="N76" s="84">
        <f t="shared" ca="1" si="65"/>
        <v>1.7551189386397058E-2</v>
      </c>
      <c r="O76" s="84">
        <f t="shared" ca="1" si="65"/>
        <v>1.7561083889940186E-2</v>
      </c>
      <c r="P76" s="84">
        <f t="shared" ca="1" si="65"/>
        <v>1.7885537523594158E-2</v>
      </c>
      <c r="Q76" s="84">
        <f t="shared" ca="1" si="65"/>
        <v>1.7988538366271106E-2</v>
      </c>
      <c r="R76" s="84">
        <f t="shared" ca="1" si="65"/>
        <v>1.7890524720024559E-2</v>
      </c>
      <c r="S76" s="84">
        <f t="shared" ca="1" si="65"/>
        <v>1.7813283965157103E-2</v>
      </c>
      <c r="T76" s="84">
        <f t="shared" ca="1" si="65"/>
        <v>1.7781692975230697E-2</v>
      </c>
      <c r="U76" s="84">
        <f t="shared" ca="1" si="65"/>
        <v>1.78201102400363E-2</v>
      </c>
    </row>
    <row r="77" spans="2:21" s="53" customFormat="1" ht="16" customHeight="1" x14ac:dyDescent="0.2">
      <c r="B77" s="53" t="s">
        <v>67</v>
      </c>
      <c r="E77" s="76">
        <f t="shared" ref="E77:U77" si="66">E75/E80</f>
        <v>1.2450728363324763</v>
      </c>
      <c r="F77" s="76">
        <f t="shared" si="66"/>
        <v>1.2502226179875333</v>
      </c>
      <c r="G77" s="76">
        <f t="shared" si="66"/>
        <v>1.25809199318569</v>
      </c>
      <c r="H77" s="76">
        <f t="shared" si="66"/>
        <v>0.85040431266846361</v>
      </c>
      <c r="I77" s="76">
        <f t="shared" si="66"/>
        <v>0.78112786152987157</v>
      </c>
      <c r="J77" s="77">
        <f t="shared" si="66"/>
        <v>0.89692390717754988</v>
      </c>
      <c r="K77" s="76">
        <f t="shared" si="66"/>
        <v>0.94583759514810273</v>
      </c>
      <c r="L77" s="91">
        <f t="shared" ca="1" si="66"/>
        <v>0.95679064711213391</v>
      </c>
      <c r="M77" s="76">
        <f t="shared" ca="1" si="66"/>
        <v>0.91261210135589532</v>
      </c>
      <c r="N77" s="76">
        <f t="shared" ca="1" si="66"/>
        <v>0.89737897608970651</v>
      </c>
      <c r="O77" s="76">
        <f t="shared" ca="1" si="66"/>
        <v>0.90186179346149731</v>
      </c>
      <c r="P77" s="76">
        <f t="shared" ca="1" si="66"/>
        <v>0.91645266151102289</v>
      </c>
      <c r="Q77" s="76">
        <f t="shared" ca="1" si="66"/>
        <v>0.92290640337964425</v>
      </c>
      <c r="R77" s="76">
        <f t="shared" ca="1" si="66"/>
        <v>0.91498291813097132</v>
      </c>
      <c r="S77" s="76">
        <f t="shared" ca="1" si="66"/>
        <v>0.91265553569017632</v>
      </c>
      <c r="T77" s="76">
        <f t="shared" ca="1" si="66"/>
        <v>0.91141241886478452</v>
      </c>
      <c r="U77" s="76">
        <f t="shared" ca="1" si="66"/>
        <v>0.91302580382302256</v>
      </c>
    </row>
    <row r="78" spans="2:21" s="53" customFormat="1" ht="16" customHeight="1" x14ac:dyDescent="0.2">
      <c r="B78" s="53" t="s">
        <v>130</v>
      </c>
      <c r="E78" s="179">
        <f>E75/E29</f>
        <v>0.68248003757632691</v>
      </c>
      <c r="F78" s="179">
        <f t="shared" ref="F78:U78" si="67">F75/F29</f>
        <v>0.65241635687732347</v>
      </c>
      <c r="G78" s="179">
        <f t="shared" si="67"/>
        <v>0.73300248138957813</v>
      </c>
      <c r="H78" s="179">
        <f t="shared" si="67"/>
        <v>0.63834092058674763</v>
      </c>
      <c r="I78" s="179">
        <f t="shared" si="67"/>
        <v>0.70871327254305982</v>
      </c>
      <c r="J78" s="180">
        <f t="shared" si="67"/>
        <v>0.84322678843226784</v>
      </c>
      <c r="K78" s="179">
        <f t="shared" ca="1" si="67"/>
        <v>0.91588847068681756</v>
      </c>
      <c r="L78" s="179">
        <f t="shared" ca="1" si="67"/>
        <v>0.98816286051508295</v>
      </c>
      <c r="M78" s="179">
        <f t="shared" ca="1" si="67"/>
        <v>0.99833553625790905</v>
      </c>
      <c r="N78" s="179">
        <f t="shared" ca="1" si="67"/>
        <v>1.0024888001272803</v>
      </c>
      <c r="O78" s="179">
        <f t="shared" ca="1" si="67"/>
        <v>1.0331455729916112</v>
      </c>
      <c r="P78" s="179">
        <f t="shared" ca="1" si="67"/>
        <v>1.0838006896243906</v>
      </c>
      <c r="Q78" s="179">
        <f t="shared" ca="1" si="67"/>
        <v>1.1227434439032224</v>
      </c>
      <c r="R78" s="179">
        <f t="shared" ca="1" si="67"/>
        <v>1.1501247625716176</v>
      </c>
      <c r="S78" s="179">
        <f t="shared" ca="1" si="67"/>
        <v>1.1795139768683971</v>
      </c>
      <c r="T78" s="179">
        <f t="shared" ca="1" si="67"/>
        <v>1.2127448313754363</v>
      </c>
      <c r="U78" s="179">
        <f t="shared" ca="1" si="67"/>
        <v>1.2518259097598696</v>
      </c>
    </row>
    <row r="79" spans="2:21" ht="16" customHeight="1" x14ac:dyDescent="0.2">
      <c r="E79" s="63"/>
      <c r="F79" s="63"/>
      <c r="G79" s="63"/>
      <c r="H79" s="63"/>
      <c r="I79" s="63"/>
      <c r="J79" s="85"/>
      <c r="K79" s="63"/>
      <c r="L79" s="63"/>
      <c r="M79" s="63"/>
      <c r="N79" s="63"/>
      <c r="O79" s="63"/>
      <c r="P79" s="63"/>
      <c r="Q79" s="63"/>
      <c r="R79" s="63"/>
      <c r="S79" s="63"/>
      <c r="T79" s="63"/>
      <c r="U79" s="63"/>
    </row>
    <row r="80" spans="2:21" ht="16" customHeight="1" x14ac:dyDescent="0.2">
      <c r="B80" s="20" t="s">
        <v>68</v>
      </c>
      <c r="E80" s="50">
        <f>'Financials + KPIs'!M39</f>
        <v>1167</v>
      </c>
      <c r="F80" s="50">
        <f>'Financials + KPIs'!N39</f>
        <v>1123</v>
      </c>
      <c r="G80" s="50">
        <f>'Financials + KPIs'!O39</f>
        <v>1174</v>
      </c>
      <c r="H80" s="50">
        <f>'Financials + KPIs'!P39</f>
        <v>1484</v>
      </c>
      <c r="I80" s="50">
        <f>'Financials + KPIs'!Q39</f>
        <v>1791</v>
      </c>
      <c r="J80" s="51">
        <f>'Financials + KPIs'!R39</f>
        <v>1853</v>
      </c>
      <c r="K80" s="50">
        <f>'Financials + KPIs'!S39</f>
        <v>1906.6533282597668</v>
      </c>
      <c r="L80" s="63">
        <f t="shared" ref="L80:U80" ca="1" si="68">L60*L81</f>
        <v>1794.9872908550026</v>
      </c>
      <c r="M80" s="63">
        <f t="shared" ca="1" si="68"/>
        <v>1899.0658663947099</v>
      </c>
      <c r="N80" s="63">
        <f t="shared" ca="1" si="68"/>
        <v>1937.1030810141615</v>
      </c>
      <c r="O80" s="63">
        <f t="shared" ca="1" si="68"/>
        <v>1984.1267757373566</v>
      </c>
      <c r="P80" s="63">
        <f t="shared" ca="1" si="68"/>
        <v>2045.9051206843419</v>
      </c>
      <c r="Q80" s="63">
        <f t="shared" ca="1" si="68"/>
        <v>2102.1640590640627</v>
      </c>
      <c r="R80" s="63">
        <f t="shared" ca="1" si="68"/>
        <v>2169.5654649527141</v>
      </c>
      <c r="S80" s="63">
        <f t="shared" ca="1" si="68"/>
        <v>2228.0937512566984</v>
      </c>
      <c r="T80" s="63">
        <f t="shared" ca="1" si="68"/>
        <v>2291.3299801528428</v>
      </c>
      <c r="U80" s="63">
        <f t="shared" ca="1" si="68"/>
        <v>2358.2472212410025</v>
      </c>
    </row>
    <row r="81" spans="1:21" s="53" customFormat="1" ht="16" customHeight="1" x14ac:dyDescent="0.2">
      <c r="B81" s="53" t="s">
        <v>64</v>
      </c>
      <c r="E81" s="76">
        <f t="shared" ref="E81:K81" si="69">E80/E60</f>
        <v>1.7949151760308844E-2</v>
      </c>
      <c r="F81" s="76">
        <f t="shared" si="69"/>
        <v>1.6365729608417492E-2</v>
      </c>
      <c r="G81" s="76">
        <f t="shared" si="69"/>
        <v>1.6463559999439062E-2</v>
      </c>
      <c r="H81" s="76">
        <f t="shared" si="69"/>
        <v>2.0568830736818762E-2</v>
      </c>
      <c r="I81" s="76">
        <f t="shared" si="69"/>
        <v>1.9989508577296113E-2</v>
      </c>
      <c r="J81" s="77">
        <f t="shared" si="69"/>
        <v>1.9251948051948051E-2</v>
      </c>
      <c r="K81" s="76">
        <f t="shared" ca="1" si="69"/>
        <v>1.96403910555507E-2</v>
      </c>
      <c r="L81" s="178">
        <f t="shared" ref="L81:U81" ca="1" si="70">AVERAGE(G81:K81)</f>
        <v>1.9182847684210535E-2</v>
      </c>
      <c r="M81" s="84">
        <f t="shared" ca="1" si="70"/>
        <v>1.972670522116483E-2</v>
      </c>
      <c r="N81" s="84">
        <f t="shared" ca="1" si="70"/>
        <v>1.9558280118034045E-2</v>
      </c>
      <c r="O81" s="84">
        <f t="shared" ca="1" si="70"/>
        <v>1.9472034426181634E-2</v>
      </c>
      <c r="P81" s="84">
        <f t="shared" ca="1" si="70"/>
        <v>1.9516051701028349E-2</v>
      </c>
      <c r="Q81" s="84">
        <f t="shared" ca="1" si="70"/>
        <v>1.9491183830123878E-2</v>
      </c>
      <c r="R81" s="84">
        <f t="shared" ca="1" si="70"/>
        <v>1.9552851059306549E-2</v>
      </c>
      <c r="S81" s="84">
        <f t="shared" ca="1" si="70"/>
        <v>1.9518080226934891E-2</v>
      </c>
      <c r="T81" s="84">
        <f t="shared" ca="1" si="70"/>
        <v>1.9510040248715062E-2</v>
      </c>
      <c r="U81" s="84">
        <f t="shared" ca="1" si="70"/>
        <v>1.9517641413221747E-2</v>
      </c>
    </row>
    <row r="82" spans="1:21" s="53" customFormat="1" ht="16" customHeight="1" x14ac:dyDescent="0.2">
      <c r="B82" s="53" t="s">
        <v>130</v>
      </c>
      <c r="E82" s="179">
        <f>E80/E29</f>
        <v>0.54814466885861912</v>
      </c>
      <c r="F82" s="179">
        <f t="shared" ref="F82:U82" si="71">F80/F29</f>
        <v>0.52184014869888473</v>
      </c>
      <c r="G82" s="179">
        <f t="shared" si="71"/>
        <v>0.58263027295285363</v>
      </c>
      <c r="H82" s="179">
        <f t="shared" si="71"/>
        <v>0.75063227111785535</v>
      </c>
      <c r="I82" s="179">
        <f t="shared" si="71"/>
        <v>0.90729483282674772</v>
      </c>
      <c r="J82" s="180">
        <f t="shared" si="71"/>
        <v>0.94013191273465246</v>
      </c>
      <c r="K82" s="179">
        <f t="shared" ca="1" si="71"/>
        <v>0.96833587011669209</v>
      </c>
      <c r="L82" s="179">
        <f t="shared" ca="1" si="71"/>
        <v>1.0327890050949382</v>
      </c>
      <c r="M82" s="179">
        <f t="shared" ca="1" si="71"/>
        <v>1.093931950688197</v>
      </c>
      <c r="N82" s="179">
        <f t="shared" ca="1" si="71"/>
        <v>1.1171298045064368</v>
      </c>
      <c r="O82" s="179">
        <f t="shared" ca="1" si="71"/>
        <v>1.1455697319499749</v>
      </c>
      <c r="P82" s="179">
        <f t="shared" ca="1" si="71"/>
        <v>1.1826041160025098</v>
      </c>
      <c r="Q82" s="179">
        <f t="shared" ca="1" si="71"/>
        <v>1.2165301267731845</v>
      </c>
      <c r="R82" s="179">
        <f t="shared" ca="1" si="71"/>
        <v>1.2569904200189537</v>
      </c>
      <c r="S82" s="179">
        <f t="shared" ca="1" si="71"/>
        <v>1.2923977675502891</v>
      </c>
      <c r="T82" s="179">
        <f t="shared" ca="1" si="71"/>
        <v>1.3306213589737763</v>
      </c>
      <c r="U82" s="179">
        <f t="shared" ca="1" si="71"/>
        <v>1.3710739658377922</v>
      </c>
    </row>
    <row r="83" spans="1:21" ht="16" customHeight="1" x14ac:dyDescent="0.2">
      <c r="B83" s="53"/>
      <c r="E83" s="63"/>
      <c r="F83" s="63"/>
      <c r="G83" s="63"/>
      <c r="H83" s="63"/>
      <c r="I83" s="63"/>
      <c r="J83" s="85"/>
      <c r="K83" s="63"/>
      <c r="L83" s="63"/>
      <c r="M83" s="63"/>
      <c r="N83" s="63"/>
      <c r="O83" s="63"/>
      <c r="P83" s="63"/>
      <c r="Q83" s="63"/>
      <c r="R83" s="63"/>
      <c r="S83" s="63"/>
      <c r="T83" s="63"/>
      <c r="U83" s="63"/>
    </row>
    <row r="84" spans="1:21" ht="16" customHeight="1" x14ac:dyDescent="0.2">
      <c r="B84" s="20" t="s">
        <v>69</v>
      </c>
      <c r="E84" s="50">
        <f>'Financials + KPIs'!M40</f>
        <v>212</v>
      </c>
      <c r="F84" s="50">
        <f>'Financials + KPIs'!N40</f>
        <v>744</v>
      </c>
      <c r="G84" s="50">
        <f>'Financials + KPIs'!O40</f>
        <v>-583</v>
      </c>
      <c r="H84" s="50">
        <f>'Financials + KPIs'!P40</f>
        <v>1465</v>
      </c>
      <c r="I84" s="50">
        <f>'Financials + KPIs'!Q40</f>
        <v>-2246</v>
      </c>
      <c r="J84" s="51">
        <f>'Financials + KPIs'!R40</f>
        <v>373</v>
      </c>
      <c r="K84" s="50">
        <f>'Financials + KPIs'!S40</f>
        <v>1183</v>
      </c>
      <c r="L84" s="63">
        <f t="shared" ref="L84:U84" ca="1" si="72">L60*L85</f>
        <v>230.27576865156087</v>
      </c>
      <c r="M84" s="63">
        <f t="shared" ca="1" si="72"/>
        <v>225.91236951242072</v>
      </c>
      <c r="N84" s="63">
        <f t="shared" ca="1" si="72"/>
        <v>112.21514455757978</v>
      </c>
      <c r="O84" s="63">
        <f t="shared" ca="1" si="72"/>
        <v>250.95111912225988</v>
      </c>
      <c r="P84" s="63">
        <f t="shared" ca="1" si="72"/>
        <v>-9.0304738368189597</v>
      </c>
      <c r="Q84" s="63">
        <f t="shared" ca="1" si="72"/>
        <v>375.61269045246047</v>
      </c>
      <c r="R84" s="63">
        <f t="shared" ca="1" si="72"/>
        <v>380.20915069760855</v>
      </c>
      <c r="S84" s="63">
        <f t="shared" ca="1" si="72"/>
        <v>248.31277793640896</v>
      </c>
      <c r="T84" s="63">
        <f t="shared" ca="1" si="72"/>
        <v>250.6718025954045</v>
      </c>
      <c r="U84" s="63">
        <f t="shared" ca="1" si="72"/>
        <v>254.22788875891837</v>
      </c>
    </row>
    <row r="85" spans="1:21" s="53" customFormat="1" ht="16" customHeight="1" x14ac:dyDescent="0.2">
      <c r="B85" s="53" t="s">
        <v>64</v>
      </c>
      <c r="E85" s="76">
        <f t="shared" ref="E85:K85" si="73">E84/E60</f>
        <v>3.2606856668255997E-3</v>
      </c>
      <c r="F85" s="76">
        <f t="shared" si="73"/>
        <v>1.0842478030866087E-2</v>
      </c>
      <c r="G85" s="76">
        <f t="shared" si="73"/>
        <v>-8.1756860985289382E-3</v>
      </c>
      <c r="H85" s="76">
        <f t="shared" si="73"/>
        <v>2.0305483173476743E-2</v>
      </c>
      <c r="I85" s="76">
        <f t="shared" si="73"/>
        <v>-2.5067803609495853E-2</v>
      </c>
      <c r="J85" s="77">
        <f t="shared" si="73"/>
        <v>3.8753246753246754E-3</v>
      </c>
      <c r="K85" s="76">
        <f t="shared" ca="1" si="73"/>
        <v>1.2186055154516765E-2</v>
      </c>
      <c r="L85" s="178">
        <f ca="1">AVERAGE(E85:K85)</f>
        <v>2.4609338561407254E-3</v>
      </c>
      <c r="M85" s="178">
        <f t="shared" ref="M85:U85" ca="1" si="74">AVERAGE(F85:L85)</f>
        <v>2.3466835974714577E-3</v>
      </c>
      <c r="N85" s="178">
        <f t="shared" ca="1" si="74"/>
        <v>1.1329986784150822E-3</v>
      </c>
      <c r="O85" s="178">
        <f t="shared" ca="1" si="74"/>
        <v>2.4628107894070846E-3</v>
      </c>
      <c r="P85" s="178">
        <f t="shared" ca="1" si="74"/>
        <v>-8.614240831715197E-5</v>
      </c>
      <c r="Q85" s="178">
        <f t="shared" ca="1" si="74"/>
        <v>3.4826663347083766E-3</v>
      </c>
      <c r="R85" s="178">
        <f t="shared" ca="1" si="74"/>
        <v>3.4265722860489056E-3</v>
      </c>
      <c r="S85" s="178">
        <f t="shared" ca="1" si="74"/>
        <v>2.1752175905534973E-3</v>
      </c>
      <c r="T85" s="178">
        <f t="shared" ca="1" si="74"/>
        <v>2.1344009811838931E-3</v>
      </c>
      <c r="U85" s="178">
        <f t="shared" ca="1" si="74"/>
        <v>2.1040748931428124E-3</v>
      </c>
    </row>
    <row r="86" spans="1:21" s="53" customFormat="1" ht="16" customHeight="1" x14ac:dyDescent="0.2">
      <c r="B86" s="53" t="s">
        <v>70</v>
      </c>
      <c r="E86" s="86"/>
      <c r="F86" s="76">
        <f t="shared" ref="F86:U86" si="75">F84/(F60-E60)</f>
        <v>0.2065519156024431</v>
      </c>
      <c r="G86" s="76">
        <f t="shared" si="75"/>
        <v>-0.21672862453531599</v>
      </c>
      <c r="H86" s="76">
        <f t="shared" si="75"/>
        <v>1.7461263408820025</v>
      </c>
      <c r="I86" s="76">
        <f t="shared" si="75"/>
        <v>-0.12871797810762795</v>
      </c>
      <c r="J86" s="77">
        <f t="shared" si="75"/>
        <v>5.606493311288141E-2</v>
      </c>
      <c r="K86" s="76">
        <f t="shared" ca="1" si="75"/>
        <v>1.4284413273771235</v>
      </c>
      <c r="L86" s="76">
        <f t="shared" ca="1" si="75"/>
        <v>-6.5686832271518586E-2</v>
      </c>
      <c r="M86" s="76">
        <f t="shared" ca="1" si="75"/>
        <v>8.3787100778089721E-2</v>
      </c>
      <c r="N86" s="76">
        <f t="shared" ca="1" si="75"/>
        <v>4.045498399885878E-2</v>
      </c>
      <c r="O86" s="76">
        <f t="shared" ca="1" si="75"/>
        <v>8.7941471894928749E-2</v>
      </c>
      <c r="P86" s="76">
        <f t="shared" ca="1" si="75"/>
        <v>-3.0760953382832188E-3</v>
      </c>
      <c r="Q86" s="76">
        <f t="shared" ca="1" si="75"/>
        <v>0.12436976021603871</v>
      </c>
      <c r="R86" s="76">
        <f t="shared" ca="1" si="75"/>
        <v>0.12237227156874272</v>
      </c>
      <c r="S86" s="76">
        <f t="shared" ca="1" si="75"/>
        <v>7.7686592516042444E-2</v>
      </c>
      <c r="T86" s="76">
        <f t="shared" ca="1" si="75"/>
        <v>7.6232413296146287E-2</v>
      </c>
      <c r="U86" s="76">
        <f t="shared" ca="1" si="75"/>
        <v>7.5152804046205141E-2</v>
      </c>
    </row>
    <row r="87" spans="1:21" ht="16" customHeight="1" x14ac:dyDescent="0.2">
      <c r="B87" s="53"/>
      <c r="E87" s="63"/>
      <c r="F87" s="87"/>
      <c r="G87" s="87"/>
      <c r="H87" s="87"/>
      <c r="I87" s="87"/>
      <c r="J87" s="88"/>
      <c r="K87" s="87"/>
      <c r="L87" s="87"/>
      <c r="M87" s="87"/>
      <c r="N87" s="87"/>
      <c r="O87" s="87"/>
      <c r="P87" s="87"/>
      <c r="Q87" s="87"/>
      <c r="R87" s="87"/>
      <c r="S87" s="87"/>
      <c r="T87" s="87"/>
      <c r="U87" s="87"/>
    </row>
    <row r="88" spans="1:21" ht="16" customHeight="1" x14ac:dyDescent="0.2">
      <c r="B88" s="66" t="s">
        <v>71</v>
      </c>
      <c r="C88" s="66"/>
      <c r="D88" s="66"/>
      <c r="E88" s="89">
        <f t="shared" ref="E88:U88" si="76">E73+E75-E80-E84</f>
        <v>3812</v>
      </c>
      <c r="F88" s="89">
        <f t="shared" si="76"/>
        <v>4081</v>
      </c>
      <c r="G88" s="89">
        <f t="shared" si="76"/>
        <v>3824</v>
      </c>
      <c r="H88" s="89">
        <f t="shared" si="76"/>
        <v>3285</v>
      </c>
      <c r="I88" s="89">
        <f t="shared" si="76"/>
        <v>9597</v>
      </c>
      <c r="J88" s="90">
        <f t="shared" si="76"/>
        <v>8763</v>
      </c>
      <c r="K88" s="89">
        <f t="shared" ca="1" si="76"/>
        <v>7061.7739961096795</v>
      </c>
      <c r="L88" s="89">
        <f t="shared" ca="1" si="76"/>
        <v>9419.0268622753247</v>
      </c>
      <c r="M88" s="89">
        <f t="shared" ca="1" si="76"/>
        <v>9738.8169841750369</v>
      </c>
      <c r="N88" s="89">
        <f t="shared" ca="1" si="76"/>
        <v>10238.685871148851</v>
      </c>
      <c r="O88" s="89">
        <f t="shared" ca="1" si="76"/>
        <v>10538.743152161946</v>
      </c>
      <c r="P88" s="89">
        <f t="shared" ca="1" si="76"/>
        <v>11273.515540323851</v>
      </c>
      <c r="Q88" s="89">
        <f t="shared" ca="1" si="76"/>
        <v>11365.594754528531</v>
      </c>
      <c r="R88" s="89">
        <f t="shared" ca="1" si="76"/>
        <v>11823.916867600112</v>
      </c>
      <c r="S88" s="89">
        <f t="shared" ca="1" si="76"/>
        <v>12449.022489112842</v>
      </c>
      <c r="T88" s="89">
        <f t="shared" ca="1" si="76"/>
        <v>12960.364943450395</v>
      </c>
      <c r="U88" s="89">
        <f t="shared" ca="1" si="76"/>
        <v>13496.119819719708</v>
      </c>
    </row>
    <row r="89" spans="1:21" s="53" customFormat="1" ht="16" customHeight="1" x14ac:dyDescent="0.2">
      <c r="B89" s="53" t="s">
        <v>64</v>
      </c>
      <c r="E89" s="91">
        <f t="shared" ref="E89:U89" si="77">E88/E60</f>
        <v>5.8630819631788608E-2</v>
      </c>
      <c r="F89" s="91">
        <f t="shared" si="77"/>
        <v>5.9473323715006049E-2</v>
      </c>
      <c r="G89" s="91">
        <f t="shared" si="77"/>
        <v>5.3625769538206962E-2</v>
      </c>
      <c r="H89" s="91">
        <f t="shared" si="77"/>
        <v>4.5531407662028053E-2</v>
      </c>
      <c r="I89" s="91">
        <f t="shared" si="77"/>
        <v>0.1071129613714745</v>
      </c>
      <c r="J89" s="77">
        <f t="shared" si="77"/>
        <v>9.1044155844155844E-2</v>
      </c>
      <c r="K89" s="91">
        <f t="shared" ca="1" si="77"/>
        <v>7.2743167713714973E-2</v>
      </c>
      <c r="L89" s="91">
        <f t="shared" ca="1" si="77"/>
        <v>0.10066018770887804</v>
      </c>
      <c r="M89" s="91">
        <f t="shared" ca="1" si="77"/>
        <v>0.10116277441941263</v>
      </c>
      <c r="N89" s="91">
        <f t="shared" ca="1" si="77"/>
        <v>0.10337657725661462</v>
      </c>
      <c r="O89" s="91">
        <f t="shared" ca="1" si="77"/>
        <v>0.10342623867435151</v>
      </c>
      <c r="P89" s="91">
        <f t="shared" ca="1" si="77"/>
        <v>0.10753896156421634</v>
      </c>
      <c r="Q89" s="91">
        <f t="shared" ca="1" si="77"/>
        <v>0.10538135486810558</v>
      </c>
      <c r="R89" s="91">
        <f t="shared" ca="1" si="77"/>
        <v>0.10656110137466916</v>
      </c>
      <c r="S89" s="91">
        <f t="shared" ca="1" si="77"/>
        <v>0.10905331948100211</v>
      </c>
      <c r="T89" s="91">
        <f t="shared" ca="1" si="77"/>
        <v>0.11035391841199847</v>
      </c>
      <c r="U89" s="91">
        <f t="shared" ca="1" si="77"/>
        <v>0.11169839393367172</v>
      </c>
    </row>
    <row r="90" spans="1:21" ht="16" customHeight="1" x14ac:dyDescent="0.2">
      <c r="E90" s="52"/>
      <c r="F90" s="92"/>
      <c r="G90" s="92"/>
      <c r="H90" s="92"/>
      <c r="I90" s="92"/>
      <c r="J90" s="93"/>
      <c r="K90" s="94"/>
      <c r="L90" s="94"/>
      <c r="M90" s="94"/>
      <c r="N90" s="94"/>
      <c r="O90" s="94"/>
      <c r="P90" s="94"/>
      <c r="Q90" s="94"/>
      <c r="R90" s="94"/>
      <c r="S90" s="94"/>
      <c r="T90" s="94"/>
      <c r="U90" s="94"/>
    </row>
    <row r="91" spans="1:21" ht="16" customHeight="1" x14ac:dyDescent="0.2">
      <c r="J91" s="56"/>
      <c r="K91" s="95">
        <v>0.25</v>
      </c>
      <c r="L91" s="95">
        <v>0.75</v>
      </c>
      <c r="U91" s="32"/>
    </row>
    <row r="92" spans="1:21" ht="16" customHeight="1" x14ac:dyDescent="0.2">
      <c r="A92" s="20" t="s">
        <v>36</v>
      </c>
      <c r="B92" s="27" t="s">
        <v>72</v>
      </c>
      <c r="C92" s="27"/>
      <c r="D92" s="27"/>
      <c r="E92" s="96"/>
      <c r="F92" s="96"/>
      <c r="G92" s="96"/>
      <c r="H92" s="96"/>
      <c r="I92" s="96"/>
      <c r="J92" s="96"/>
      <c r="K92" s="96">
        <v>1</v>
      </c>
      <c r="L92" s="96">
        <f>K92+1</f>
        <v>2</v>
      </c>
      <c r="M92" s="96">
        <f t="shared" ref="M92:T92" si="78">L92+1</f>
        <v>3</v>
      </c>
      <c r="N92" s="96">
        <f t="shared" si="78"/>
        <v>4</v>
      </c>
      <c r="O92" s="96">
        <f t="shared" si="78"/>
        <v>5</v>
      </c>
      <c r="P92" s="96">
        <f t="shared" si="78"/>
        <v>6</v>
      </c>
      <c r="Q92" s="96">
        <f t="shared" si="78"/>
        <v>7</v>
      </c>
      <c r="R92" s="96">
        <f t="shared" si="78"/>
        <v>8</v>
      </c>
      <c r="S92" s="96">
        <f t="shared" si="78"/>
        <v>9</v>
      </c>
      <c r="T92" s="96">
        <f t="shared" si="78"/>
        <v>10</v>
      </c>
      <c r="U92" s="96"/>
    </row>
    <row r="93" spans="1:21" s="97" customFormat="1" ht="16" customHeight="1" x14ac:dyDescent="0.2">
      <c r="B93" s="27" t="s">
        <v>58</v>
      </c>
      <c r="C93" s="27"/>
      <c r="D93" s="27"/>
      <c r="E93" s="96"/>
      <c r="F93" s="96"/>
      <c r="G93" s="96"/>
      <c r="H93" s="96"/>
      <c r="I93" s="96"/>
      <c r="J93" s="96"/>
      <c r="K93" s="49">
        <v>45229</v>
      </c>
      <c r="L93" s="49">
        <f>EDATE(K93,12)</f>
        <v>45595</v>
      </c>
      <c r="M93" s="49">
        <f t="shared" ref="M93:T93" si="79">EDATE(L93,12)</f>
        <v>45960</v>
      </c>
      <c r="N93" s="49">
        <f t="shared" si="79"/>
        <v>46325</v>
      </c>
      <c r="O93" s="49">
        <f t="shared" si="79"/>
        <v>46690</v>
      </c>
      <c r="P93" s="49">
        <f t="shared" si="79"/>
        <v>47056</v>
      </c>
      <c r="Q93" s="49">
        <f t="shared" si="79"/>
        <v>47421</v>
      </c>
      <c r="R93" s="49">
        <f t="shared" si="79"/>
        <v>47786</v>
      </c>
      <c r="S93" s="49">
        <f t="shared" si="79"/>
        <v>48151</v>
      </c>
      <c r="T93" s="49">
        <f t="shared" si="79"/>
        <v>48517</v>
      </c>
      <c r="U93" s="96"/>
    </row>
    <row r="94" spans="1:21" ht="16" customHeight="1" x14ac:dyDescent="0.2">
      <c r="B94" s="20" t="s">
        <v>73</v>
      </c>
      <c r="E94" s="98"/>
      <c r="F94" s="98"/>
      <c r="G94" s="98"/>
      <c r="H94" s="98"/>
      <c r="I94" s="98"/>
      <c r="J94" s="93"/>
      <c r="K94" s="99">
        <f t="shared" ref="K94:T94" ca="1" si="80">$K$91*K88+$L$91*L88</f>
        <v>8829.7136457339129</v>
      </c>
      <c r="L94" s="99">
        <f t="shared" ca="1" si="80"/>
        <v>9658.8694537001102</v>
      </c>
      <c r="M94" s="99">
        <f t="shared" ca="1" si="80"/>
        <v>10113.718649405397</v>
      </c>
      <c r="N94" s="99">
        <f t="shared" ca="1" si="80"/>
        <v>10463.728831908673</v>
      </c>
      <c r="O94" s="99">
        <f t="shared" ca="1" si="80"/>
        <v>11089.822443283374</v>
      </c>
      <c r="P94" s="99">
        <f t="shared" ca="1" si="80"/>
        <v>11342.574950977361</v>
      </c>
      <c r="Q94" s="99">
        <f t="shared" ca="1" si="80"/>
        <v>11709.336339332216</v>
      </c>
      <c r="R94" s="99">
        <f t="shared" ca="1" si="80"/>
        <v>12292.746083734659</v>
      </c>
      <c r="S94" s="99">
        <f t="shared" ca="1" si="80"/>
        <v>12832.529329866007</v>
      </c>
      <c r="T94" s="99">
        <f t="shared" ca="1" si="80"/>
        <v>13362.18110065238</v>
      </c>
      <c r="U94" s="32"/>
    </row>
    <row r="95" spans="1:21" s="53" customFormat="1" ht="16" customHeight="1" x14ac:dyDescent="0.2">
      <c r="B95" s="53" t="s">
        <v>59</v>
      </c>
      <c r="J95" s="100"/>
      <c r="L95" s="54">
        <f ca="1">L94/K94-1</f>
        <v>9.390517532432141E-2</v>
      </c>
      <c r="M95" s="54">
        <f t="shared" ref="M95:T95" ca="1" si="81">M94/L94-1</f>
        <v>4.7091349343275635E-2</v>
      </c>
      <c r="N95" s="54">
        <f t="shared" ca="1" si="81"/>
        <v>3.4607466811809484E-2</v>
      </c>
      <c r="O95" s="54">
        <f t="shared" ca="1" si="81"/>
        <v>5.9834655640679024E-2</v>
      </c>
      <c r="P95" s="54">
        <f t="shared" ca="1" si="81"/>
        <v>2.2791393549052685E-2</v>
      </c>
      <c r="Q95" s="54">
        <f t="shared" ca="1" si="81"/>
        <v>3.2334931877461504E-2</v>
      </c>
      <c r="R95" s="54">
        <f t="shared" ca="1" si="81"/>
        <v>4.9824322019237144E-2</v>
      </c>
      <c r="S95" s="54">
        <f t="shared" ca="1" si="81"/>
        <v>4.3910713070496987E-2</v>
      </c>
      <c r="T95" s="54">
        <f t="shared" ca="1" si="81"/>
        <v>4.1274152364778161E-2</v>
      </c>
    </row>
    <row r="96" spans="1:21" ht="16" customHeight="1" x14ac:dyDescent="0.2">
      <c r="B96" s="20" t="s">
        <v>74</v>
      </c>
      <c r="J96" s="56"/>
      <c r="T96" s="52">
        <f ca="1">T94*(1+D24)/(T99-D24)</f>
        <v>358260.72808930808</v>
      </c>
    </row>
    <row r="97" spans="2:20" ht="16" customHeight="1" x14ac:dyDescent="0.2">
      <c r="B97" s="20" t="s">
        <v>75</v>
      </c>
      <c r="J97" s="56"/>
      <c r="T97" s="101">
        <f ca="1">(T63+T75)*D25</f>
        <v>292637.27938215755</v>
      </c>
    </row>
    <row r="98" spans="2:20" ht="16" customHeight="1" x14ac:dyDescent="0.2">
      <c r="B98" s="102" t="s">
        <v>76</v>
      </c>
      <c r="C98" s="102"/>
      <c r="D98" s="102"/>
      <c r="E98" s="102"/>
      <c r="F98" s="102"/>
      <c r="G98" s="102"/>
      <c r="H98" s="102"/>
      <c r="I98" s="102"/>
      <c r="J98" s="103"/>
      <c r="K98" s="102"/>
      <c r="L98" s="102"/>
      <c r="M98" s="102"/>
      <c r="N98" s="102"/>
      <c r="O98" s="102"/>
      <c r="P98" s="102"/>
      <c r="Q98" s="102"/>
      <c r="R98" s="102"/>
      <c r="S98" s="102"/>
      <c r="T98" s="101">
        <f ca="1">AVERAGE(T96:T97)</f>
        <v>325449.00373573281</v>
      </c>
    </row>
    <row r="99" spans="2:20" ht="16" customHeight="1" x14ac:dyDescent="0.2">
      <c r="B99" s="20" t="s">
        <v>53</v>
      </c>
      <c r="J99" s="56"/>
      <c r="K99" s="104">
        <f>D23</f>
        <v>7.8416285834826599E-2</v>
      </c>
      <c r="L99" s="105">
        <f t="shared" ref="L99:S99" si="82">K99-($K$99-$T$99)/($T$92-$K$92)</f>
        <v>7.7305174723715495E-2</v>
      </c>
      <c r="M99" s="105">
        <f t="shared" si="82"/>
        <v>7.619406361260439E-2</v>
      </c>
      <c r="N99" s="105">
        <f t="shared" si="82"/>
        <v>7.5082952501493286E-2</v>
      </c>
      <c r="O99" s="105">
        <f t="shared" si="82"/>
        <v>7.3971841390382181E-2</v>
      </c>
      <c r="P99" s="105">
        <f t="shared" si="82"/>
        <v>7.2860730279271077E-2</v>
      </c>
      <c r="Q99" s="105">
        <f t="shared" si="82"/>
        <v>7.1749619168159973E-2</v>
      </c>
      <c r="R99" s="105">
        <f t="shared" si="82"/>
        <v>7.0638508057048868E-2</v>
      </c>
      <c r="S99" s="105">
        <f t="shared" si="82"/>
        <v>6.9527396945937764E-2</v>
      </c>
      <c r="T99" s="104">
        <f>T20</f>
        <v>6.8416285834826604E-2</v>
      </c>
    </row>
    <row r="100" spans="2:20" ht="16" customHeight="1" x14ac:dyDescent="0.2">
      <c r="B100" s="20" t="s">
        <v>77</v>
      </c>
      <c r="J100" s="56"/>
      <c r="K100" s="106">
        <f>1/(1+K99)</f>
        <v>0.92728569953473705</v>
      </c>
      <c r="L100" s="106">
        <f>K100*(1/(1+L99))</f>
        <v>0.86074560977816494</v>
      </c>
      <c r="M100" s="106">
        <f t="shared" ref="M100:T100" si="83">L100*(1/(1+M99))</f>
        <v>0.79980520138606337</v>
      </c>
      <c r="N100" s="106">
        <f t="shared" si="83"/>
        <v>0.74394743170755695</v>
      </c>
      <c r="O100" s="106">
        <f t="shared" si="83"/>
        <v>0.6927066455899159</v>
      </c>
      <c r="P100" s="106">
        <f t="shared" si="83"/>
        <v>0.64566315649338835</v>
      </c>
      <c r="Q100" s="106">
        <f t="shared" si="83"/>
        <v>0.60243842866444941</v>
      </c>
      <c r="R100" s="106">
        <f t="shared" si="83"/>
        <v>0.56269079071117112</v>
      </c>
      <c r="S100" s="106">
        <f t="shared" si="83"/>
        <v>0.52611161931704475</v>
      </c>
      <c r="T100" s="106">
        <f t="shared" si="83"/>
        <v>0.49242193917510146</v>
      </c>
    </row>
    <row r="101" spans="2:20" ht="16" customHeight="1" x14ac:dyDescent="0.2">
      <c r="J101" s="56"/>
    </row>
    <row r="102" spans="2:20" ht="16" customHeight="1" x14ac:dyDescent="0.2">
      <c r="B102" s="80" t="s">
        <v>78</v>
      </c>
      <c r="C102" s="80"/>
      <c r="D102" s="80"/>
      <c r="E102" s="80"/>
      <c r="F102" s="80"/>
      <c r="G102" s="80"/>
      <c r="H102" s="80"/>
      <c r="I102" s="80"/>
      <c r="J102" s="107"/>
      <c r="K102" s="108">
        <f t="shared" ref="K102:T102" ca="1" si="84">K100*K94</f>
        <v>8187.6671946757851</v>
      </c>
      <c r="L102" s="108">
        <f t="shared" ca="1" si="84"/>
        <v>8313.8294776927924</v>
      </c>
      <c r="M102" s="108">
        <f t="shared" ca="1" si="84"/>
        <v>8089.0047811496679</v>
      </c>
      <c r="N102" s="108">
        <f t="shared" ca="1" si="84"/>
        <v>7784.4641905827721</v>
      </c>
      <c r="O102" s="108">
        <f t="shared" ca="1" si="84"/>
        <v>7681.9937048745915</v>
      </c>
      <c r="P102" s="108">
        <f t="shared" ca="1" si="84"/>
        <v>7323.4827456108824</v>
      </c>
      <c r="Q102" s="108">
        <f t="shared" ca="1" si="84"/>
        <v>7054.1541849708365</v>
      </c>
      <c r="R102" s="108">
        <f t="shared" ca="1" si="84"/>
        <v>6917.0150138683075</v>
      </c>
      <c r="S102" s="108">
        <f t="shared" ca="1" si="84"/>
        <v>6751.3427856692761</v>
      </c>
      <c r="T102" s="108">
        <f t="shared" ca="1" si="84"/>
        <v>6579.8311291921364</v>
      </c>
    </row>
    <row r="103" spans="2:20" ht="16" customHeight="1" x14ac:dyDescent="0.2">
      <c r="B103" s="20" t="s">
        <v>79</v>
      </c>
      <c r="T103" s="52">
        <f ca="1">T100*T98</f>
        <v>160258.2295221544</v>
      </c>
    </row>
    <row r="105" spans="2:20" ht="16" customHeight="1" x14ac:dyDescent="0.2">
      <c r="B105" s="109" t="s">
        <v>80</v>
      </c>
      <c r="C105" s="66"/>
      <c r="D105" s="67">
        <f ca="1">SUM(K102:T103)</f>
        <v>234941.01473044147</v>
      </c>
    </row>
    <row r="107" spans="2:20" ht="16" customHeight="1" x14ac:dyDescent="0.2">
      <c r="B107" s="20" t="s">
        <v>81</v>
      </c>
      <c r="D107" s="110">
        <f>T9</f>
        <v>3656</v>
      </c>
    </row>
    <row r="108" spans="2:20" ht="16" customHeight="1" x14ac:dyDescent="0.2">
      <c r="B108" s="20" t="s">
        <v>82</v>
      </c>
      <c r="D108" s="110">
        <f>T12</f>
        <v>0</v>
      </c>
    </row>
    <row r="109" spans="2:20" ht="16" customHeight="1" x14ac:dyDescent="0.2">
      <c r="B109" s="20" t="s">
        <v>83</v>
      </c>
      <c r="D109" s="110">
        <f>T10</f>
        <v>34164</v>
      </c>
    </row>
    <row r="110" spans="2:20" ht="16" customHeight="1" x14ac:dyDescent="0.2">
      <c r="B110" s="20" t="s">
        <v>84</v>
      </c>
      <c r="D110" s="110">
        <f>T11</f>
        <v>0</v>
      </c>
      <c r="H110" s="20" t="s">
        <v>85</v>
      </c>
    </row>
    <row r="111" spans="2:20" ht="16" customHeight="1" x14ac:dyDescent="0.2">
      <c r="B111" s="109" t="s">
        <v>86</v>
      </c>
      <c r="C111" s="66"/>
      <c r="D111" s="111">
        <f ca="1">D105+D107+D108-D109-D110</f>
        <v>204433.01473044147</v>
      </c>
    </row>
    <row r="112" spans="2:20" ht="16" customHeight="1" x14ac:dyDescent="0.2">
      <c r="D112" s="74"/>
    </row>
    <row r="113" spans="1:21" ht="16" customHeight="1" x14ac:dyDescent="0.2">
      <c r="B113" s="102" t="s">
        <v>87</v>
      </c>
      <c r="C113" s="102"/>
      <c r="D113" s="112">
        <f>T14</f>
        <v>620</v>
      </c>
    </row>
    <row r="114" spans="1:21" ht="16" customHeight="1" x14ac:dyDescent="0.2">
      <c r="B114" s="113" t="s">
        <v>29</v>
      </c>
      <c r="D114" s="114">
        <f ca="1">D111/D113</f>
        <v>329.73066892006688</v>
      </c>
    </row>
    <row r="116" spans="1:21" ht="16" customHeight="1" x14ac:dyDescent="0.2">
      <c r="A116" s="20" t="s">
        <v>36</v>
      </c>
      <c r="B116" s="27" t="s">
        <v>88</v>
      </c>
      <c r="C116" s="115"/>
      <c r="D116" s="115"/>
      <c r="E116" s="116"/>
      <c r="F116" s="116"/>
      <c r="G116" s="116"/>
      <c r="H116" s="116"/>
      <c r="I116" s="116"/>
      <c r="J116" s="116"/>
      <c r="K116" s="116"/>
      <c r="L116" s="116"/>
      <c r="M116" s="116"/>
      <c r="N116" s="116"/>
      <c r="O116" s="116"/>
      <c r="P116" s="116"/>
      <c r="Q116" s="116"/>
      <c r="R116" s="116"/>
      <c r="S116" s="116"/>
      <c r="T116" s="116"/>
      <c r="U116" s="116"/>
    </row>
    <row r="118" spans="1:21" ht="16" customHeight="1" x14ac:dyDescent="0.2">
      <c r="B118" s="20" t="s">
        <v>54</v>
      </c>
      <c r="D118" s="117">
        <f>D24</f>
        <v>3.0000000000000002E-2</v>
      </c>
      <c r="F118" s="20" t="s">
        <v>89</v>
      </c>
      <c r="H118" s="38">
        <v>5.0000000000000001E-3</v>
      </c>
      <c r="J118" s="20" t="s">
        <v>90</v>
      </c>
      <c r="L118" s="118">
        <f>D25</f>
        <v>15</v>
      </c>
      <c r="N118" s="20" t="s">
        <v>91</v>
      </c>
      <c r="P118" s="119">
        <v>0.5</v>
      </c>
    </row>
    <row r="119" spans="1:21" ht="16" customHeight="1" x14ac:dyDescent="0.2">
      <c r="B119" s="20" t="s">
        <v>53</v>
      </c>
      <c r="D119" s="117">
        <f>D23</f>
        <v>7.8416285834826599E-2</v>
      </c>
      <c r="F119" s="20" t="s">
        <v>92</v>
      </c>
      <c r="H119" s="38">
        <v>5.0000000000000001E-3</v>
      </c>
      <c r="J119" s="20" t="s">
        <v>93</v>
      </c>
      <c r="L119" s="117">
        <f>D23</f>
        <v>7.8416285834826599E-2</v>
      </c>
      <c r="N119" s="20" t="s">
        <v>92</v>
      </c>
      <c r="P119" s="38">
        <v>5.0000000000000001E-3</v>
      </c>
    </row>
    <row r="121" spans="1:21" ht="16" customHeight="1" x14ac:dyDescent="0.2">
      <c r="D121" s="183" t="s">
        <v>54</v>
      </c>
      <c r="E121" s="183"/>
      <c r="F121" s="183"/>
      <c r="G121" s="183"/>
      <c r="H121" s="183"/>
      <c r="L121" s="183" t="s">
        <v>55</v>
      </c>
      <c r="M121" s="183"/>
      <c r="N121" s="183"/>
      <c r="O121" s="183"/>
      <c r="P121" s="183"/>
    </row>
    <row r="122" spans="1:21" ht="16" customHeight="1" x14ac:dyDescent="0.2">
      <c r="D122" s="183"/>
      <c r="E122" s="183"/>
      <c r="F122" s="183"/>
      <c r="G122" s="183"/>
      <c r="H122" s="183"/>
      <c r="L122" s="183"/>
      <c r="M122" s="183"/>
      <c r="N122" s="183"/>
      <c r="O122" s="183"/>
      <c r="P122" s="183"/>
    </row>
    <row r="123" spans="1:21" ht="16" customHeight="1" x14ac:dyDescent="0.2">
      <c r="C123" s="181">
        <f ca="1">D114</f>
        <v>329.73066892006688</v>
      </c>
      <c r="D123" s="120">
        <f>E123-H118</f>
        <v>0.02</v>
      </c>
      <c r="E123" s="120">
        <f>F123-H118</f>
        <v>2.5000000000000001E-2</v>
      </c>
      <c r="F123" s="121">
        <f>CHOOSE(D19,H19,L19,P19,H24)</f>
        <v>3.0000000000000002E-2</v>
      </c>
      <c r="G123" s="120">
        <f>F123+H118</f>
        <v>3.5000000000000003E-2</v>
      </c>
      <c r="H123" s="120">
        <f>G123+H118</f>
        <v>0.04</v>
      </c>
      <c r="K123" s="181">
        <f ca="1">D114</f>
        <v>329.73066892006688</v>
      </c>
      <c r="L123" s="122">
        <f>M123-P118</f>
        <v>14</v>
      </c>
      <c r="M123" s="122">
        <f>N123-P118</f>
        <v>14.5</v>
      </c>
      <c r="N123" s="122">
        <f>CHOOSE(D20,H20,L20,P20,H25)</f>
        <v>15</v>
      </c>
      <c r="O123" s="122">
        <f>N123+P118</f>
        <v>15.5</v>
      </c>
      <c r="P123" s="122">
        <f>O123+P118</f>
        <v>16</v>
      </c>
    </row>
    <row r="124" spans="1:21" ht="16" customHeight="1" x14ac:dyDescent="0.2">
      <c r="B124" s="183" t="s">
        <v>53</v>
      </c>
      <c r="C124" s="123">
        <f>C125-H119</f>
        <v>6.841628583482659E-2</v>
      </c>
      <c r="D124" s="106">
        <f t="dataTable" ref="D124:H128" dt2D="1" dtr="1" r1="D24" r2="D23" ca="1"/>
        <v>359.70553655089907</v>
      </c>
      <c r="E124" s="106">
        <v>383.72675994503771</v>
      </c>
      <c r="F124" s="106">
        <v>416.20131307190974</v>
      </c>
      <c r="G124" s="106">
        <v>462.54422831049322</v>
      </c>
      <c r="H124" s="106">
        <v>534.05123779382711</v>
      </c>
      <c r="J124" s="183" t="s">
        <v>53</v>
      </c>
      <c r="K124" s="123">
        <f>K125-P119</f>
        <v>6.841628583482659E-2</v>
      </c>
      <c r="L124" s="106">
        <f t="dataTable" ref="L124:P128" dt2D="1" dtr="1" r1="D25" r2="D23" ca="1"/>
        <v>407.69378887006991</v>
      </c>
      <c r="M124" s="106">
        <v>411.94755097098971</v>
      </c>
      <c r="N124" s="106">
        <v>416.20131307190974</v>
      </c>
      <c r="O124" s="106">
        <v>420.45507517282965</v>
      </c>
      <c r="P124" s="106">
        <v>424.70883727374962</v>
      </c>
    </row>
    <row r="125" spans="1:21" ht="16" customHeight="1" x14ac:dyDescent="0.2">
      <c r="B125" s="183"/>
      <c r="C125" s="123">
        <f>C126-H119</f>
        <v>7.3416285834826595E-2</v>
      </c>
      <c r="D125" s="106">
        <v>326.64569903110117</v>
      </c>
      <c r="E125" s="124">
        <v>344.37025318790995</v>
      </c>
      <c r="F125" s="124">
        <v>367.39897377554814</v>
      </c>
      <c r="G125" s="124">
        <v>398.53175156527658</v>
      </c>
      <c r="H125" s="106">
        <v>442.95988200372665</v>
      </c>
      <c r="J125" s="183"/>
      <c r="K125" s="123">
        <f>K126-P119</f>
        <v>7.3416285834826595E-2</v>
      </c>
      <c r="L125" s="106">
        <v>359.28130946190413</v>
      </c>
      <c r="M125" s="124">
        <v>363.34014161872614</v>
      </c>
      <c r="N125" s="124">
        <v>367.39897377554814</v>
      </c>
      <c r="O125" s="124">
        <v>371.45780593237009</v>
      </c>
      <c r="P125" s="106">
        <v>375.51663808919199</v>
      </c>
    </row>
    <row r="126" spans="1:21" ht="16" customHeight="1" x14ac:dyDescent="0.2">
      <c r="B126" s="183"/>
      <c r="C126" s="123">
        <f>CHOOSE(D18,H18,L18,P18,H23)</f>
        <v>7.8416285834826599E-2</v>
      </c>
      <c r="D126" s="106">
        <v>299.24984392660826</v>
      </c>
      <c r="E126" s="124">
        <v>312.73510715116004</v>
      </c>
      <c r="F126" s="125">
        <v>329.73066892006688</v>
      </c>
      <c r="G126" s="124">
        <v>351.81224229807776</v>
      </c>
      <c r="H126" s="106">
        <v>381.66456147529794</v>
      </c>
      <c r="J126" s="183"/>
      <c r="K126" s="123">
        <f>CHOOSE(D18,H18,L18,P18,H23)</f>
        <v>7.8416285834826599E-2</v>
      </c>
      <c r="L126" s="106">
        <v>321.98330243682557</v>
      </c>
      <c r="M126" s="124">
        <v>325.85698567844622</v>
      </c>
      <c r="N126" s="125">
        <v>329.73066892006688</v>
      </c>
      <c r="O126" s="124">
        <v>333.60435216168747</v>
      </c>
      <c r="P126" s="106">
        <v>337.47803540330818</v>
      </c>
    </row>
    <row r="127" spans="1:21" ht="16" customHeight="1" x14ac:dyDescent="0.2">
      <c r="B127" s="183"/>
      <c r="C127" s="123">
        <f>C126+H119</f>
        <v>8.3416285834826603E-2</v>
      </c>
      <c r="D127" s="106">
        <v>276.00657634378888</v>
      </c>
      <c r="E127" s="124">
        <v>286.51852751651683</v>
      </c>
      <c r="F127" s="124">
        <v>299.45167869993196</v>
      </c>
      <c r="G127" s="124">
        <v>315.75141020269962</v>
      </c>
      <c r="H127" s="106">
        <v>336.92892243290544</v>
      </c>
      <c r="J127" s="183"/>
      <c r="K127" s="123">
        <f>K126+P119</f>
        <v>8.3416285834826603E-2</v>
      </c>
      <c r="L127" s="106">
        <v>292.0561139130657</v>
      </c>
      <c r="M127" s="124">
        <v>295.7538963064988</v>
      </c>
      <c r="N127" s="124">
        <v>299.45167869993196</v>
      </c>
      <c r="O127" s="124">
        <v>303.14946109336506</v>
      </c>
      <c r="P127" s="106">
        <v>306.84724348679816</v>
      </c>
    </row>
    <row r="128" spans="1:21" ht="16" customHeight="1" x14ac:dyDescent="0.2">
      <c r="B128" s="183"/>
      <c r="C128" s="123">
        <f>C127+H119</f>
        <v>8.8416285834826608E-2</v>
      </c>
      <c r="D128" s="106">
        <v>255.91672820820943</v>
      </c>
      <c r="E128" s="106">
        <v>264.27410012174562</v>
      </c>
      <c r="F128" s="106">
        <v>274.35762094766375</v>
      </c>
      <c r="G128" s="106">
        <v>286.76366214399781</v>
      </c>
      <c r="H128" s="106">
        <v>302.39907362606795</v>
      </c>
      <c r="J128" s="183"/>
      <c r="K128" s="123">
        <f>K127+P119</f>
        <v>8.8416285834826608E-2</v>
      </c>
      <c r="L128" s="106">
        <v>267.29636501062959</v>
      </c>
      <c r="M128" s="106">
        <v>270.82699297914667</v>
      </c>
      <c r="N128" s="106">
        <v>274.35762094766375</v>
      </c>
      <c r="O128" s="106">
        <v>277.88824891618083</v>
      </c>
      <c r="P128" s="106">
        <v>281.41887688469791</v>
      </c>
    </row>
    <row r="130" spans="1:21" ht="16" customHeight="1" x14ac:dyDescent="0.2">
      <c r="A130" s="20" t="s">
        <v>36</v>
      </c>
      <c r="B130" s="27" t="s">
        <v>94</v>
      </c>
      <c r="C130" s="115"/>
      <c r="D130" s="115"/>
      <c r="E130" s="47">
        <v>2017</v>
      </c>
      <c r="F130" s="47">
        <f>E130+1</f>
        <v>2018</v>
      </c>
      <c r="G130" s="47">
        <f t="shared" ref="G130" si="85">F130+1</f>
        <v>2019</v>
      </c>
      <c r="H130" s="47">
        <f t="shared" ref="H130" si="86">G130+1</f>
        <v>2020</v>
      </c>
      <c r="I130" s="47">
        <f t="shared" ref="I130" si="87">H130+1</f>
        <v>2021</v>
      </c>
      <c r="J130" s="47">
        <f t="shared" ref="J130" si="88">I130+1</f>
        <v>2022</v>
      </c>
      <c r="K130" s="48">
        <v>2022</v>
      </c>
      <c r="L130" s="48">
        <f>K130+1</f>
        <v>2023</v>
      </c>
      <c r="M130" s="48">
        <f t="shared" ref="M130" si="89">L130+1</f>
        <v>2024</v>
      </c>
      <c r="N130" s="48">
        <f t="shared" ref="N130" si="90">M130+1</f>
        <v>2025</v>
      </c>
      <c r="O130" s="48">
        <f t="shared" ref="O130" si="91">N130+1</f>
        <v>2026</v>
      </c>
      <c r="P130" s="48">
        <f t="shared" ref="P130" si="92">O130+1</f>
        <v>2027</v>
      </c>
      <c r="Q130" s="48">
        <f t="shared" ref="Q130" si="93">P130+1</f>
        <v>2028</v>
      </c>
      <c r="R130" s="48">
        <f t="shared" ref="R130" si="94">Q130+1</f>
        <v>2029</v>
      </c>
      <c r="S130" s="48">
        <f t="shared" ref="S130" si="95">R130+1</f>
        <v>2030</v>
      </c>
      <c r="T130" s="48">
        <f t="shared" ref="T130" si="96">S130+1</f>
        <v>2031</v>
      </c>
      <c r="U130" s="48">
        <f t="shared" ref="U130" si="97">T130+1</f>
        <v>2032</v>
      </c>
    </row>
    <row r="131" spans="1:21" ht="16" customHeight="1" x14ac:dyDescent="0.2">
      <c r="B131" s="27" t="s">
        <v>58</v>
      </c>
      <c r="C131" s="27"/>
      <c r="D131" s="27"/>
      <c r="E131" s="49">
        <f>EDATE(F131,-12)</f>
        <v>42766</v>
      </c>
      <c r="F131" s="49">
        <f t="shared" ref="F131" si="98">EDATE(G131,-12)</f>
        <v>43131</v>
      </c>
      <c r="G131" s="49">
        <f t="shared" ref="G131" si="99">EDATE(H131,-12)</f>
        <v>43496</v>
      </c>
      <c r="H131" s="49">
        <f t="shared" ref="H131" si="100">EDATE(I131,-12)</f>
        <v>43861</v>
      </c>
      <c r="I131" s="49">
        <f t="shared" ref="I131" si="101">EDATE(J131,-12)</f>
        <v>44227</v>
      </c>
      <c r="J131" s="49">
        <f>EDATE(K131,-12)</f>
        <v>44592</v>
      </c>
      <c r="K131" s="49">
        <v>44957</v>
      </c>
      <c r="L131" s="49">
        <f>EDATE(K131,12)</f>
        <v>45322</v>
      </c>
      <c r="M131" s="49">
        <f t="shared" ref="M131" si="102">EDATE(L131,12)</f>
        <v>45688</v>
      </c>
      <c r="N131" s="49">
        <f t="shared" ref="N131" si="103">EDATE(M131,12)</f>
        <v>46053</v>
      </c>
      <c r="O131" s="49">
        <f t="shared" ref="O131" si="104">EDATE(N131,12)</f>
        <v>46418</v>
      </c>
      <c r="P131" s="49">
        <f t="shared" ref="P131" si="105">EDATE(O131,12)</f>
        <v>46783</v>
      </c>
      <c r="Q131" s="49">
        <f t="shared" ref="Q131" si="106">EDATE(P131,12)</f>
        <v>47149</v>
      </c>
      <c r="R131" s="49">
        <f t="shared" ref="R131" si="107">EDATE(Q131,12)</f>
        <v>47514</v>
      </c>
      <c r="S131" s="49">
        <f t="shared" ref="S131" si="108">EDATE(R131,12)</f>
        <v>47879</v>
      </c>
      <c r="T131" s="49">
        <f t="shared" ref="T131" si="109">EDATE(S131,12)</f>
        <v>48244</v>
      </c>
      <c r="U131" s="49">
        <f t="shared" ref="U131" si="110">EDATE(T131,12)</f>
        <v>48610</v>
      </c>
    </row>
    <row r="132" spans="1:21" ht="16" customHeight="1" x14ac:dyDescent="0.2">
      <c r="B132" s="20" t="s">
        <v>62</v>
      </c>
      <c r="E132" s="52">
        <f t="shared" ref="E132:U132" si="111">E60</f>
        <v>65017</v>
      </c>
      <c r="F132" s="52">
        <f t="shared" si="111"/>
        <v>68619</v>
      </c>
      <c r="G132" s="52">
        <f t="shared" si="111"/>
        <v>71309</v>
      </c>
      <c r="H132" s="52">
        <f t="shared" si="111"/>
        <v>72148</v>
      </c>
      <c r="I132" s="52">
        <f t="shared" si="111"/>
        <v>89597</v>
      </c>
      <c r="J132" s="126">
        <f t="shared" si="111"/>
        <v>96250</v>
      </c>
      <c r="K132" s="52">
        <f t="shared" ca="1" si="111"/>
        <v>97078.175422628105</v>
      </c>
      <c r="L132" s="52">
        <f t="shared" ca="1" si="111"/>
        <v>93572.514383902584</v>
      </c>
      <c r="M132" s="52">
        <f t="shared" ca="1" si="111"/>
        <v>96268.781081454872</v>
      </c>
      <c r="N132" s="52">
        <f t="shared" ca="1" si="111"/>
        <v>99042.608517914749</v>
      </c>
      <c r="O132" s="52">
        <f t="shared" ca="1" si="111"/>
        <v>101896.22369758894</v>
      </c>
      <c r="P132" s="52">
        <f t="shared" ca="1" si="111"/>
        <v>104831.91744037745</v>
      </c>
      <c r="Q132" s="52">
        <f t="shared" ca="1" si="111"/>
        <v>107852.04620640543</v>
      </c>
      <c r="R132" s="52">
        <f t="shared" ca="1" si="111"/>
        <v>110959.03397269876</v>
      </c>
      <c r="S132" s="52">
        <f t="shared" ca="1" si="111"/>
        <v>114155.37416338394</v>
      </c>
      <c r="T132" s="52">
        <f t="shared" ca="1" si="111"/>
        <v>117443.63163493478</v>
      </c>
      <c r="U132" s="52">
        <f t="shared" ca="1" si="111"/>
        <v>120826.44471803165</v>
      </c>
    </row>
    <row r="133" spans="1:21" s="53" customFormat="1" ht="16" customHeight="1" x14ac:dyDescent="0.2">
      <c r="B133" s="53" t="s">
        <v>59</v>
      </c>
      <c r="F133" s="127">
        <f t="shared" ref="F133:U133" si="112">F61</f>
        <v>5.5400895150499174E-2</v>
      </c>
      <c r="G133" s="127">
        <f t="shared" si="112"/>
        <v>3.9201970299771238E-2</v>
      </c>
      <c r="H133" s="127">
        <f t="shared" si="112"/>
        <v>1.176569577472697E-2</v>
      </c>
      <c r="I133" s="127">
        <f t="shared" si="112"/>
        <v>0.24185008593446811</v>
      </c>
      <c r="J133" s="128">
        <f t="shared" si="112"/>
        <v>7.4254718349944682E-2</v>
      </c>
      <c r="K133" s="127">
        <f t="shared" ca="1" si="112"/>
        <v>8.6044199753569917E-3</v>
      </c>
      <c r="L133" s="127">
        <f t="shared" ca="1" si="112"/>
        <v>-3.6111731843575412E-2</v>
      </c>
      <c r="M133" s="127">
        <f t="shared" ca="1" si="112"/>
        <v>2.8814729574223374E-2</v>
      </c>
      <c r="N133" s="127">
        <f t="shared" ca="1" si="112"/>
        <v>2.881336405529944E-2</v>
      </c>
      <c r="O133" s="127">
        <f t="shared" ca="1" si="112"/>
        <v>2.8811995386389899E-2</v>
      </c>
      <c r="P133" s="127">
        <f t="shared" ca="1" si="112"/>
        <v>2.8810623556582149E-2</v>
      </c>
      <c r="Q133" s="127">
        <f t="shared" ca="1" si="112"/>
        <v>2.880924855491318E-2</v>
      </c>
      <c r="R133" s="127">
        <f t="shared" ca="1" si="112"/>
        <v>2.880787037037047E-2</v>
      </c>
      <c r="S133" s="127">
        <f t="shared" ca="1" si="112"/>
        <v>2.8806488991888868E-2</v>
      </c>
      <c r="T133" s="127">
        <f t="shared" ca="1" si="112"/>
        <v>2.88051044083526E-2</v>
      </c>
      <c r="U133" s="127">
        <f t="shared" ca="1" si="112"/>
        <v>2.880371660859482E-2</v>
      </c>
    </row>
    <row r="134" spans="1:21" ht="16" customHeight="1" x14ac:dyDescent="0.2">
      <c r="B134" s="20" t="s">
        <v>95</v>
      </c>
      <c r="E134" s="52">
        <f t="shared" ref="E134:U134" si="113">E75+E63</f>
        <v>7299</v>
      </c>
      <c r="F134" s="52">
        <f t="shared" si="113"/>
        <v>7990</v>
      </c>
      <c r="G134" s="52">
        <f t="shared" si="113"/>
        <v>5495</v>
      </c>
      <c r="H134" s="52">
        <f t="shared" si="113"/>
        <v>7576</v>
      </c>
      <c r="I134" s="52">
        <f t="shared" si="113"/>
        <v>11046</v>
      </c>
      <c r="J134" s="126">
        <f t="shared" si="113"/>
        <v>13755</v>
      </c>
      <c r="K134" s="52">
        <f t="shared" ca="1" si="113"/>
        <v>13301.95194295472</v>
      </c>
      <c r="L134" s="52">
        <f t="shared" ca="1" si="113"/>
        <v>14349.716493402064</v>
      </c>
      <c r="M134" s="52">
        <f t="shared" ca="1" si="113"/>
        <v>14889.843905409232</v>
      </c>
      <c r="N134" s="52">
        <f t="shared" ca="1" si="113"/>
        <v>15439.209757732246</v>
      </c>
      <c r="O134" s="52">
        <f t="shared" ca="1" si="113"/>
        <v>16054.879450083927</v>
      </c>
      <c r="P134" s="52">
        <f t="shared" ca="1" si="113"/>
        <v>16726.163497103673</v>
      </c>
      <c r="Q134" s="52">
        <f t="shared" ca="1" si="113"/>
        <v>17398.893960649551</v>
      </c>
      <c r="R134" s="52">
        <f t="shared" ca="1" si="113"/>
        <v>18074.175266239938</v>
      </c>
      <c r="S134" s="52">
        <f t="shared" ca="1" si="113"/>
        <v>18776.270306750768</v>
      </c>
      <c r="T134" s="52">
        <f t="shared" ca="1" si="113"/>
        <v>19509.151958810504</v>
      </c>
      <c r="U134" s="52">
        <f t="shared" ca="1" si="113"/>
        <v>20277.107272491721</v>
      </c>
    </row>
    <row r="135" spans="1:21" s="53" customFormat="1" ht="16" customHeight="1" x14ac:dyDescent="0.2">
      <c r="B135" s="53" t="s">
        <v>64</v>
      </c>
      <c r="E135" s="54">
        <f>E134/E132</f>
        <v>0.11226294661396251</v>
      </c>
      <c r="F135" s="54">
        <f>F134/F132</f>
        <v>0.11644005304653231</v>
      </c>
      <c r="G135" s="54">
        <f t="shared" ref="G135:U135" si="114">G134/G132</f>
        <v>7.7058996760577203E-2</v>
      </c>
      <c r="H135" s="54">
        <f t="shared" si="114"/>
        <v>0.10500637578311249</v>
      </c>
      <c r="I135" s="54">
        <f t="shared" si="114"/>
        <v>0.12328537785863367</v>
      </c>
      <c r="J135" s="55">
        <f t="shared" si="114"/>
        <v>0.1429090909090909</v>
      </c>
      <c r="K135" s="54">
        <f t="shared" ca="1" si="114"/>
        <v>0.137023093862703</v>
      </c>
      <c r="L135" s="54">
        <f t="shared" ca="1" si="114"/>
        <v>0.15335396924922931</v>
      </c>
      <c r="M135" s="54">
        <f t="shared" ca="1" si="114"/>
        <v>0.15466949657138224</v>
      </c>
      <c r="N135" s="54">
        <f t="shared" ca="1" si="114"/>
        <v>0.15588452271973041</v>
      </c>
      <c r="O135" s="54">
        <f t="shared" ca="1" si="114"/>
        <v>0.15756108388994022</v>
      </c>
      <c r="P135" s="54">
        <f t="shared" ca="1" si="114"/>
        <v>0.15955220419026087</v>
      </c>
      <c r="Q135" s="54">
        <f t="shared" ca="1" si="114"/>
        <v>0.16132187169960449</v>
      </c>
      <c r="R135" s="54">
        <f t="shared" ca="1" si="114"/>
        <v>0.1628905247200246</v>
      </c>
      <c r="S135" s="54">
        <f t="shared" ca="1" si="114"/>
        <v>0.16447995063182383</v>
      </c>
      <c r="T135" s="54">
        <f t="shared" ca="1" si="114"/>
        <v>0.16611502630856412</v>
      </c>
      <c r="U135" s="54">
        <f t="shared" ca="1" si="114"/>
        <v>0.16782011024003629</v>
      </c>
    </row>
    <row r="136" spans="1:21" ht="16" customHeight="1" x14ac:dyDescent="0.2">
      <c r="B136" s="20" t="s">
        <v>4</v>
      </c>
      <c r="E136" s="52">
        <f t="shared" ref="E136:U136" si="115">E75</f>
        <v>1453</v>
      </c>
      <c r="F136" s="52">
        <f t="shared" si="115"/>
        <v>1404</v>
      </c>
      <c r="G136" s="52">
        <f t="shared" si="115"/>
        <v>1477</v>
      </c>
      <c r="H136" s="52">
        <f t="shared" si="115"/>
        <v>1262</v>
      </c>
      <c r="I136" s="52">
        <f t="shared" si="115"/>
        <v>1399</v>
      </c>
      <c r="J136" s="126">
        <f t="shared" si="115"/>
        <v>1662</v>
      </c>
      <c r="K136" s="52">
        <f t="shared" si="115"/>
        <v>1803.3843987823439</v>
      </c>
      <c r="L136" s="52">
        <f t="shared" ca="1" si="115"/>
        <v>1717.4270515752141</v>
      </c>
      <c r="M136" s="52">
        <f t="shared" ca="1" si="115"/>
        <v>1733.1104909437302</v>
      </c>
      <c r="N136" s="52">
        <f t="shared" ca="1" si="115"/>
        <v>1738.3155794207041</v>
      </c>
      <c r="O136" s="52">
        <f t="shared" ca="1" si="115"/>
        <v>1789.4081324214706</v>
      </c>
      <c r="P136" s="52">
        <f t="shared" ca="1" si="115"/>
        <v>1874.9751930501957</v>
      </c>
      <c r="Q136" s="52">
        <f t="shared" ca="1" si="115"/>
        <v>1940.1006710647682</v>
      </c>
      <c r="R136" s="52">
        <f t="shared" ca="1" si="115"/>
        <v>1985.1153401986119</v>
      </c>
      <c r="S136" s="52">
        <f t="shared" ca="1" si="115"/>
        <v>2033.4820961211165</v>
      </c>
      <c r="T136" s="52">
        <f t="shared" ca="1" si="115"/>
        <v>2088.3465996285013</v>
      </c>
      <c r="U136" s="52">
        <f t="shared" ca="1" si="115"/>
        <v>2153.1405647869756</v>
      </c>
    </row>
    <row r="137" spans="1:21" s="53" customFormat="1" ht="16" customHeight="1" x14ac:dyDescent="0.2">
      <c r="B137" s="53" t="s">
        <v>67</v>
      </c>
      <c r="E137" s="127">
        <f t="shared" ref="E137:U137" si="116">E77</f>
        <v>1.2450728363324763</v>
      </c>
      <c r="F137" s="127">
        <f t="shared" si="116"/>
        <v>1.2502226179875333</v>
      </c>
      <c r="G137" s="127">
        <f t="shared" si="116"/>
        <v>1.25809199318569</v>
      </c>
      <c r="H137" s="127">
        <f t="shared" si="116"/>
        <v>0.85040431266846361</v>
      </c>
      <c r="I137" s="127">
        <f t="shared" si="116"/>
        <v>0.78112786152987157</v>
      </c>
      <c r="J137" s="128">
        <f t="shared" si="116"/>
        <v>0.89692390717754988</v>
      </c>
      <c r="K137" s="127">
        <f t="shared" si="116"/>
        <v>0.94583759514810273</v>
      </c>
      <c r="L137" s="127">
        <f t="shared" ca="1" si="116"/>
        <v>0.95679064711213391</v>
      </c>
      <c r="M137" s="127">
        <f t="shared" ca="1" si="116"/>
        <v>0.91261210135589532</v>
      </c>
      <c r="N137" s="127">
        <f t="shared" ca="1" si="116"/>
        <v>0.89737897608970651</v>
      </c>
      <c r="O137" s="127">
        <f t="shared" ca="1" si="116"/>
        <v>0.90186179346149731</v>
      </c>
      <c r="P137" s="127">
        <f t="shared" ca="1" si="116"/>
        <v>0.91645266151102289</v>
      </c>
      <c r="Q137" s="127">
        <f t="shared" ca="1" si="116"/>
        <v>0.92290640337964425</v>
      </c>
      <c r="R137" s="127">
        <f t="shared" ca="1" si="116"/>
        <v>0.91498291813097132</v>
      </c>
      <c r="S137" s="127">
        <f t="shared" ca="1" si="116"/>
        <v>0.91265553569017632</v>
      </c>
      <c r="T137" s="127">
        <f t="shared" ca="1" si="116"/>
        <v>0.91141241886478452</v>
      </c>
      <c r="U137" s="127">
        <f t="shared" ca="1" si="116"/>
        <v>0.91302580382302256</v>
      </c>
    </row>
    <row r="138" spans="1:21" ht="16" customHeight="1" x14ac:dyDescent="0.2">
      <c r="B138" s="20" t="s">
        <v>96</v>
      </c>
      <c r="E138" s="52">
        <f t="shared" ref="E138:U138" si="117">E63</f>
        <v>5846</v>
      </c>
      <c r="F138" s="52">
        <f t="shared" si="117"/>
        <v>6586</v>
      </c>
      <c r="G138" s="52">
        <f t="shared" si="117"/>
        <v>4018</v>
      </c>
      <c r="H138" s="52">
        <f t="shared" si="117"/>
        <v>6314</v>
      </c>
      <c r="I138" s="52">
        <f t="shared" si="117"/>
        <v>9647</v>
      </c>
      <c r="J138" s="126">
        <f t="shared" si="117"/>
        <v>12093</v>
      </c>
      <c r="K138" s="52">
        <f t="shared" ca="1" si="117"/>
        <v>11498.567544172376</v>
      </c>
      <c r="L138" s="52">
        <f t="shared" ca="1" si="117"/>
        <v>12632.28944182685</v>
      </c>
      <c r="M138" s="52">
        <f t="shared" ca="1" si="117"/>
        <v>13156.733414465501</v>
      </c>
      <c r="N138" s="52">
        <f t="shared" ca="1" si="117"/>
        <v>13700.894178311542</v>
      </c>
      <c r="O138" s="52">
        <f t="shared" ca="1" si="117"/>
        <v>14265.471317662455</v>
      </c>
      <c r="P138" s="52">
        <f t="shared" ca="1" si="117"/>
        <v>14851.188304053478</v>
      </c>
      <c r="Q138" s="52">
        <f t="shared" ca="1" si="117"/>
        <v>15458.793289584784</v>
      </c>
      <c r="R138" s="52">
        <f t="shared" ca="1" si="117"/>
        <v>16089.059926041327</v>
      </c>
      <c r="S138" s="52">
        <f t="shared" ca="1" si="117"/>
        <v>16742.788210629653</v>
      </c>
      <c r="T138" s="52">
        <f t="shared" ca="1" si="117"/>
        <v>17420.805359182003</v>
      </c>
      <c r="U138" s="52">
        <f t="shared" ca="1" si="117"/>
        <v>18123.966707704745</v>
      </c>
    </row>
    <row r="139" spans="1:21" s="53" customFormat="1" ht="16" customHeight="1" x14ac:dyDescent="0.2">
      <c r="B139" s="53" t="s">
        <v>64</v>
      </c>
      <c r="E139" s="54">
        <f t="shared" ref="E139:U139" si="118">E64</f>
        <v>8.9914945321992706E-2</v>
      </c>
      <c r="F139" s="54">
        <f t="shared" si="118"/>
        <v>9.5979247730220499E-2</v>
      </c>
      <c r="G139" s="54">
        <f t="shared" si="118"/>
        <v>5.6346323745950722E-2</v>
      </c>
      <c r="H139" s="54">
        <f t="shared" si="118"/>
        <v>8.7514553417974164E-2</v>
      </c>
      <c r="I139" s="54">
        <f t="shared" si="118"/>
        <v>0.10767101577061731</v>
      </c>
      <c r="J139" s="55">
        <f t="shared" si="118"/>
        <v>0.12564155844155844</v>
      </c>
      <c r="K139" s="54">
        <f t="shared" ca="1" si="118"/>
        <v>0.11844647361895264</v>
      </c>
      <c r="L139" s="54">
        <f t="shared" ca="1" si="118"/>
        <v>0.13500000000000001</v>
      </c>
      <c r="M139" s="54">
        <f t="shared" ca="1" si="118"/>
        <v>0.13666666666666669</v>
      </c>
      <c r="N139" s="54">
        <f t="shared" ca="1" si="118"/>
        <v>0.13833333333333336</v>
      </c>
      <c r="O139" s="54">
        <f t="shared" ca="1" si="118"/>
        <v>0.14000000000000004</v>
      </c>
      <c r="P139" s="54">
        <f t="shared" ca="1" si="118"/>
        <v>0.14166666666666672</v>
      </c>
      <c r="Q139" s="54">
        <f t="shared" ca="1" si="118"/>
        <v>0.1433333333333334</v>
      </c>
      <c r="R139" s="54">
        <f t="shared" ca="1" si="118"/>
        <v>0.14500000000000007</v>
      </c>
      <c r="S139" s="54">
        <f t="shared" ca="1" si="118"/>
        <v>0.14666666666666675</v>
      </c>
      <c r="T139" s="54">
        <f t="shared" ca="1" si="118"/>
        <v>0.14833333333333343</v>
      </c>
      <c r="U139" s="54">
        <f t="shared" ca="1" si="118"/>
        <v>0.15</v>
      </c>
    </row>
    <row r="140" spans="1:21" ht="16" customHeight="1" x14ac:dyDescent="0.2">
      <c r="B140" s="20" t="s">
        <v>8</v>
      </c>
      <c r="E140" s="52">
        <f t="shared" ref="E140:U140" si="119">E70</f>
        <v>2108</v>
      </c>
      <c r="F140" s="52">
        <f t="shared" si="119"/>
        <v>2042</v>
      </c>
      <c r="G140" s="52">
        <f t="shared" si="119"/>
        <v>1080</v>
      </c>
      <c r="H140" s="52">
        <f t="shared" si="119"/>
        <v>1342</v>
      </c>
      <c r="I140" s="52">
        <f t="shared" si="119"/>
        <v>1904</v>
      </c>
      <c r="J140" s="126">
        <f t="shared" si="119"/>
        <v>2766</v>
      </c>
      <c r="K140" s="52">
        <f t="shared" ca="1" si="119"/>
        <v>3150.5246185852729</v>
      </c>
      <c r="L140" s="52">
        <f t="shared" ca="1" si="119"/>
        <v>2905.4265716201758</v>
      </c>
      <c r="M140" s="52">
        <f t="shared" ca="1" si="119"/>
        <v>3026.0486853270654</v>
      </c>
      <c r="N140" s="52">
        <f t="shared" ca="1" si="119"/>
        <v>3151.2056610116547</v>
      </c>
      <c r="O140" s="52">
        <f t="shared" ca="1" si="119"/>
        <v>3281.058403062365</v>
      </c>
      <c r="P140" s="52">
        <f t="shared" ca="1" si="119"/>
        <v>3415.7733099323</v>
      </c>
      <c r="Q140" s="52">
        <f t="shared" ca="1" si="119"/>
        <v>3555.5224566045003</v>
      </c>
      <c r="R140" s="52">
        <f t="shared" ca="1" si="119"/>
        <v>3700.4837829895055</v>
      </c>
      <c r="S140" s="52">
        <f t="shared" ca="1" si="119"/>
        <v>3850.8412884448203</v>
      </c>
      <c r="T140" s="52">
        <f t="shared" ca="1" si="119"/>
        <v>4006.7852326118609</v>
      </c>
      <c r="U140" s="52">
        <f t="shared" ca="1" si="119"/>
        <v>4168.5123427720919</v>
      </c>
    </row>
    <row r="141" spans="1:21" s="53" customFormat="1" ht="16" customHeight="1" x14ac:dyDescent="0.2">
      <c r="B141" s="53" t="s">
        <v>65</v>
      </c>
      <c r="E141" s="54">
        <f t="shared" ref="E141:U141" si="120">E71</f>
        <v>0.36058843653780365</v>
      </c>
      <c r="F141" s="54">
        <f t="shared" si="120"/>
        <v>0.31005162465836622</v>
      </c>
      <c r="G141" s="54">
        <f t="shared" si="120"/>
        <v>0.26879044300647087</v>
      </c>
      <c r="H141" s="54">
        <f t="shared" si="120"/>
        <v>0.21254355400696864</v>
      </c>
      <c r="I141" s="54">
        <f t="shared" si="120"/>
        <v>0.19736705711620192</v>
      </c>
      <c r="J141" s="55">
        <f t="shared" si="120"/>
        <v>0.22872736293723642</v>
      </c>
      <c r="K141" s="54">
        <f t="shared" si="120"/>
        <v>0.2739927914048737</v>
      </c>
      <c r="L141" s="54">
        <f t="shared" si="120"/>
        <v>0.23</v>
      </c>
      <c r="M141" s="54">
        <f t="shared" si="120"/>
        <v>0.23</v>
      </c>
      <c r="N141" s="54">
        <f t="shared" si="120"/>
        <v>0.23</v>
      </c>
      <c r="O141" s="54">
        <f t="shared" si="120"/>
        <v>0.23</v>
      </c>
      <c r="P141" s="54">
        <f t="shared" si="120"/>
        <v>0.23</v>
      </c>
      <c r="Q141" s="54">
        <f t="shared" si="120"/>
        <v>0.23</v>
      </c>
      <c r="R141" s="54">
        <f t="shared" si="120"/>
        <v>0.23</v>
      </c>
      <c r="S141" s="54">
        <f t="shared" si="120"/>
        <v>0.23</v>
      </c>
      <c r="T141" s="54">
        <f t="shared" si="120"/>
        <v>0.23</v>
      </c>
      <c r="U141" s="54">
        <f t="shared" si="120"/>
        <v>0.23</v>
      </c>
    </row>
    <row r="142" spans="1:21" ht="16" customHeight="1" x14ac:dyDescent="0.2">
      <c r="B142" s="20" t="s">
        <v>66</v>
      </c>
      <c r="E142" s="52">
        <f t="shared" ref="E142:U142" si="121">E73</f>
        <v>3738</v>
      </c>
      <c r="F142" s="52">
        <f t="shared" si="121"/>
        <v>4544</v>
      </c>
      <c r="G142" s="52">
        <f t="shared" si="121"/>
        <v>2938</v>
      </c>
      <c r="H142" s="52">
        <f t="shared" si="121"/>
        <v>4972</v>
      </c>
      <c r="I142" s="52">
        <f t="shared" si="121"/>
        <v>7743</v>
      </c>
      <c r="J142" s="126">
        <f t="shared" si="121"/>
        <v>9327</v>
      </c>
      <c r="K142" s="52">
        <f t="shared" ca="1" si="121"/>
        <v>8348.0429255871022</v>
      </c>
      <c r="L142" s="52">
        <f t="shared" ca="1" si="121"/>
        <v>9726.8628702066744</v>
      </c>
      <c r="M142" s="52">
        <f t="shared" ca="1" si="121"/>
        <v>10130.684729138437</v>
      </c>
      <c r="N142" s="52">
        <f t="shared" ca="1" si="121"/>
        <v>10549.688517299888</v>
      </c>
      <c r="O142" s="52">
        <f t="shared" ca="1" si="121"/>
        <v>10984.412914600091</v>
      </c>
      <c r="P142" s="52">
        <f t="shared" ca="1" si="121"/>
        <v>11435.414994121178</v>
      </c>
      <c r="Q142" s="52">
        <f t="shared" ca="1" si="121"/>
        <v>11903.270832980284</v>
      </c>
      <c r="R142" s="52">
        <f t="shared" ca="1" si="121"/>
        <v>12388.576143051821</v>
      </c>
      <c r="S142" s="52">
        <f t="shared" ca="1" si="121"/>
        <v>12891.946922184832</v>
      </c>
      <c r="T142" s="52">
        <f t="shared" ca="1" si="121"/>
        <v>13414.020126570142</v>
      </c>
      <c r="U142" s="52">
        <f t="shared" ca="1" si="121"/>
        <v>13955.454364932653</v>
      </c>
    </row>
    <row r="143" spans="1:21" ht="16" customHeight="1" x14ac:dyDescent="0.2">
      <c r="B143" s="20" t="s">
        <v>97</v>
      </c>
      <c r="E143" s="52">
        <f>E136</f>
        <v>1453</v>
      </c>
      <c r="F143" s="52">
        <f t="shared" ref="F143:U143" si="122">F136</f>
        <v>1404</v>
      </c>
      <c r="G143" s="52">
        <f t="shared" si="122"/>
        <v>1477</v>
      </c>
      <c r="H143" s="52">
        <f t="shared" si="122"/>
        <v>1262</v>
      </c>
      <c r="I143" s="52">
        <f t="shared" si="122"/>
        <v>1399</v>
      </c>
      <c r="J143" s="126">
        <f t="shared" si="122"/>
        <v>1662</v>
      </c>
      <c r="K143" s="52">
        <f t="shared" si="122"/>
        <v>1803.3843987823439</v>
      </c>
      <c r="L143" s="52">
        <f t="shared" ca="1" si="122"/>
        <v>1717.4270515752141</v>
      </c>
      <c r="M143" s="52">
        <f t="shared" ca="1" si="122"/>
        <v>1733.1104909437302</v>
      </c>
      <c r="N143" s="52">
        <f t="shared" ca="1" si="122"/>
        <v>1738.3155794207041</v>
      </c>
      <c r="O143" s="52">
        <f t="shared" ca="1" si="122"/>
        <v>1789.4081324214706</v>
      </c>
      <c r="P143" s="52">
        <f t="shared" ca="1" si="122"/>
        <v>1874.9751930501957</v>
      </c>
      <c r="Q143" s="52">
        <f t="shared" ca="1" si="122"/>
        <v>1940.1006710647682</v>
      </c>
      <c r="R143" s="52">
        <f t="shared" ca="1" si="122"/>
        <v>1985.1153401986119</v>
      </c>
      <c r="S143" s="52">
        <f t="shared" ca="1" si="122"/>
        <v>2033.4820961211165</v>
      </c>
      <c r="T143" s="52">
        <f t="shared" ca="1" si="122"/>
        <v>2088.3465996285013</v>
      </c>
      <c r="U143" s="52">
        <f t="shared" ca="1" si="122"/>
        <v>2153.1405647869756</v>
      </c>
    </row>
    <row r="144" spans="1:21" ht="16" customHeight="1" x14ac:dyDescent="0.2">
      <c r="B144" s="20" t="s">
        <v>98</v>
      </c>
      <c r="E144" s="52">
        <f t="shared" ref="E144:U144" si="123">E80</f>
        <v>1167</v>
      </c>
      <c r="F144" s="52">
        <f t="shared" si="123"/>
        <v>1123</v>
      </c>
      <c r="G144" s="52">
        <f t="shared" si="123"/>
        <v>1174</v>
      </c>
      <c r="H144" s="52">
        <f t="shared" si="123"/>
        <v>1484</v>
      </c>
      <c r="I144" s="52">
        <f t="shared" si="123"/>
        <v>1791</v>
      </c>
      <c r="J144" s="126">
        <f t="shared" si="123"/>
        <v>1853</v>
      </c>
      <c r="K144" s="52">
        <f t="shared" si="123"/>
        <v>1906.6533282597668</v>
      </c>
      <c r="L144" s="52">
        <f t="shared" ca="1" si="123"/>
        <v>1794.9872908550026</v>
      </c>
      <c r="M144" s="52">
        <f t="shared" ca="1" si="123"/>
        <v>1899.0658663947099</v>
      </c>
      <c r="N144" s="52">
        <f t="shared" ca="1" si="123"/>
        <v>1937.1030810141615</v>
      </c>
      <c r="O144" s="52">
        <f t="shared" ca="1" si="123"/>
        <v>1984.1267757373566</v>
      </c>
      <c r="P144" s="52">
        <f t="shared" ca="1" si="123"/>
        <v>2045.9051206843419</v>
      </c>
      <c r="Q144" s="52">
        <f t="shared" ca="1" si="123"/>
        <v>2102.1640590640627</v>
      </c>
      <c r="R144" s="52">
        <f t="shared" ca="1" si="123"/>
        <v>2169.5654649527141</v>
      </c>
      <c r="S144" s="52">
        <f t="shared" ca="1" si="123"/>
        <v>2228.0937512566984</v>
      </c>
      <c r="T144" s="52">
        <f t="shared" ca="1" si="123"/>
        <v>2291.3299801528428</v>
      </c>
      <c r="U144" s="52">
        <f t="shared" ca="1" si="123"/>
        <v>2358.2472212410025</v>
      </c>
    </row>
    <row r="145" spans="2:21" ht="16" customHeight="1" x14ac:dyDescent="0.2">
      <c r="B145" s="20" t="s">
        <v>99</v>
      </c>
      <c r="E145" s="52">
        <f t="shared" ref="E145:U145" si="124">E84</f>
        <v>212</v>
      </c>
      <c r="F145" s="52">
        <f t="shared" si="124"/>
        <v>744</v>
      </c>
      <c r="G145" s="52">
        <f t="shared" si="124"/>
        <v>-583</v>
      </c>
      <c r="H145" s="52">
        <f t="shared" si="124"/>
        <v>1465</v>
      </c>
      <c r="I145" s="52">
        <f t="shared" si="124"/>
        <v>-2246</v>
      </c>
      <c r="J145" s="126">
        <f t="shared" si="124"/>
        <v>373</v>
      </c>
      <c r="K145" s="52">
        <f t="shared" si="124"/>
        <v>1183</v>
      </c>
      <c r="L145" s="52">
        <f t="shared" ca="1" si="124"/>
        <v>230.27576865156087</v>
      </c>
      <c r="M145" s="52">
        <f t="shared" ca="1" si="124"/>
        <v>225.91236951242072</v>
      </c>
      <c r="N145" s="52">
        <f t="shared" ca="1" si="124"/>
        <v>112.21514455757978</v>
      </c>
      <c r="O145" s="52">
        <f t="shared" ca="1" si="124"/>
        <v>250.95111912225988</v>
      </c>
      <c r="P145" s="52">
        <f t="shared" ca="1" si="124"/>
        <v>-9.0304738368189597</v>
      </c>
      <c r="Q145" s="52">
        <f t="shared" ca="1" si="124"/>
        <v>375.61269045246047</v>
      </c>
      <c r="R145" s="52">
        <f t="shared" ca="1" si="124"/>
        <v>380.20915069760855</v>
      </c>
      <c r="S145" s="52">
        <f t="shared" ca="1" si="124"/>
        <v>248.31277793640896</v>
      </c>
      <c r="T145" s="52">
        <f t="shared" ca="1" si="124"/>
        <v>250.6718025954045</v>
      </c>
      <c r="U145" s="52">
        <f t="shared" ca="1" si="124"/>
        <v>254.22788875891837</v>
      </c>
    </row>
    <row r="146" spans="2:21" ht="16" customHeight="1" x14ac:dyDescent="0.2">
      <c r="J146" s="56"/>
    </row>
    <row r="147" spans="2:21" ht="16" customHeight="1" x14ac:dyDescent="0.2">
      <c r="B147" s="102" t="s">
        <v>100</v>
      </c>
      <c r="C147" s="102"/>
      <c r="D147" s="102"/>
      <c r="E147" s="101">
        <f>E142+E143-E144-E145</f>
        <v>3812</v>
      </c>
      <c r="F147" s="101">
        <f t="shared" ref="F147:U147" si="125">F142+F143-F144-F145</f>
        <v>4081</v>
      </c>
      <c r="G147" s="101">
        <f t="shared" si="125"/>
        <v>3824</v>
      </c>
      <c r="H147" s="101">
        <f t="shared" si="125"/>
        <v>3285</v>
      </c>
      <c r="I147" s="101">
        <f t="shared" si="125"/>
        <v>9597</v>
      </c>
      <c r="J147" s="129">
        <f t="shared" si="125"/>
        <v>8763</v>
      </c>
      <c r="K147" s="101">
        <f t="shared" ca="1" si="125"/>
        <v>7061.7739961096795</v>
      </c>
      <c r="L147" s="101">
        <f t="shared" ca="1" si="125"/>
        <v>9419.0268622753247</v>
      </c>
      <c r="M147" s="101">
        <f t="shared" ca="1" si="125"/>
        <v>9738.8169841750369</v>
      </c>
      <c r="N147" s="101">
        <f t="shared" ca="1" si="125"/>
        <v>10238.685871148851</v>
      </c>
      <c r="O147" s="101">
        <f t="shared" ca="1" si="125"/>
        <v>10538.743152161946</v>
      </c>
      <c r="P147" s="101">
        <f t="shared" ca="1" si="125"/>
        <v>11273.515540323851</v>
      </c>
      <c r="Q147" s="101">
        <f t="shared" ca="1" si="125"/>
        <v>11365.594754528531</v>
      </c>
      <c r="R147" s="101">
        <f t="shared" ca="1" si="125"/>
        <v>11823.916867600112</v>
      </c>
      <c r="S147" s="101">
        <f t="shared" ca="1" si="125"/>
        <v>12449.022489112842</v>
      </c>
      <c r="T147" s="101">
        <f t="shared" ca="1" si="125"/>
        <v>12960.364943450395</v>
      </c>
      <c r="U147" s="101">
        <f t="shared" ca="1" si="125"/>
        <v>13496.119819719708</v>
      </c>
    </row>
    <row r="148" spans="2:21" ht="16" customHeight="1" x14ac:dyDescent="0.2">
      <c r="E148" s="52"/>
    </row>
  </sheetData>
  <sheetProtection algorithmName="SHA-512" hashValue="+gsB5xGJm3WSX6uyRpQfhQU4Q4FMGD6p73VJ0FdwHSYnhBiAcBhhC38ZeeniycKwSRKLNScao88cxONSplEJIw==" saltValue="Fsjf8Gpc6Pk/g7qpR2wLbQ==" spinCount="100000" sheet="1" objects="1" scenarios="1" selectLockedCells="1"/>
  <mergeCells count="4">
    <mergeCell ref="D121:H122"/>
    <mergeCell ref="L121:P122"/>
    <mergeCell ref="B124:B128"/>
    <mergeCell ref="J124:J128"/>
  </mergeCells>
  <pageMargins left="0.7" right="0.7" top="0.75" bottom="0.75" header="0.3" footer="0.3"/>
  <ignoredErrors>
    <ignoredError sqref="T9:T10 T20" unlocked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0E516-7F81-C940-8AA2-5EF465401B82}">
  <dimension ref="B1:AG72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AG11" sqref="AD9:AG11"/>
    </sheetView>
  </sheetViews>
  <sheetFormatPr baseColWidth="10" defaultRowHeight="16" x14ac:dyDescent="0.2"/>
  <cols>
    <col min="1" max="1" width="5.6640625" customWidth="1"/>
    <col min="2" max="2" width="34.1640625" customWidth="1"/>
    <col min="3" max="6" width="10.83203125" customWidth="1"/>
    <col min="12" max="15" width="10.83203125" customWidth="1"/>
    <col min="20" max="28" width="0" hidden="1" customWidth="1"/>
  </cols>
  <sheetData>
    <row r="1" spans="2:33" x14ac:dyDescent="0.2">
      <c r="B1" t="e" vm="1">
        <v>#VALUE!</v>
      </c>
      <c r="G1" s="150"/>
      <c r="H1" s="150"/>
      <c r="I1" s="150"/>
      <c r="J1" s="150"/>
      <c r="K1" s="150"/>
      <c r="R1" s="150">
        <v>44592</v>
      </c>
    </row>
    <row r="2" spans="2:33" x14ac:dyDescent="0.2">
      <c r="B2" t="s">
        <v>118</v>
      </c>
      <c r="C2" s="130" t="s">
        <v>101</v>
      </c>
      <c r="D2" s="130" t="s">
        <v>102</v>
      </c>
      <c r="E2" s="130" t="s">
        <v>103</v>
      </c>
      <c r="F2" s="130" t="s">
        <v>104</v>
      </c>
      <c r="G2" s="155" t="s">
        <v>105</v>
      </c>
      <c r="H2" s="155" t="s">
        <v>106</v>
      </c>
      <c r="I2" s="155" t="s">
        <v>107</v>
      </c>
      <c r="J2" s="155" t="s">
        <v>122</v>
      </c>
      <c r="K2" s="155"/>
      <c r="M2" s="1">
        <f t="shared" ref="M2:O2" si="0">N2-1</f>
        <v>2016</v>
      </c>
      <c r="N2" s="1">
        <f t="shared" si="0"/>
        <v>2017</v>
      </c>
      <c r="O2" s="1">
        <f t="shared" si="0"/>
        <v>2018</v>
      </c>
      <c r="P2" s="1">
        <f>Q2-1</f>
        <v>2019</v>
      </c>
      <c r="Q2" s="1">
        <f>R2-1</f>
        <v>2020</v>
      </c>
      <c r="R2" s="1">
        <v>2021</v>
      </c>
      <c r="S2" s="15">
        <v>2022</v>
      </c>
      <c r="T2" s="15">
        <f>S2+1</f>
        <v>2023</v>
      </c>
      <c r="U2" s="15">
        <f t="shared" ref="U2:AB2" si="1">T2+1</f>
        <v>2024</v>
      </c>
      <c r="V2" s="15">
        <f t="shared" si="1"/>
        <v>2025</v>
      </c>
      <c r="W2" s="15">
        <f t="shared" si="1"/>
        <v>2026</v>
      </c>
      <c r="X2" s="15">
        <f t="shared" si="1"/>
        <v>2027</v>
      </c>
      <c r="Y2" s="15">
        <f t="shared" si="1"/>
        <v>2028</v>
      </c>
      <c r="Z2" s="15">
        <f t="shared" si="1"/>
        <v>2029</v>
      </c>
      <c r="AA2" s="15">
        <f t="shared" si="1"/>
        <v>2030</v>
      </c>
      <c r="AB2" s="15">
        <f t="shared" si="1"/>
        <v>2031</v>
      </c>
    </row>
    <row r="3" spans="2:33" x14ac:dyDescent="0.2">
      <c r="B3" t="s">
        <v>23</v>
      </c>
      <c r="C3" s="133">
        <v>1972</v>
      </c>
      <c r="D3" s="133">
        <v>1973</v>
      </c>
      <c r="E3" s="133">
        <v>1973</v>
      </c>
      <c r="F3" s="2">
        <f>R3</f>
        <v>1971</v>
      </c>
      <c r="G3" s="2">
        <v>1971</v>
      </c>
      <c r="H3" s="2">
        <v>1969</v>
      </c>
      <c r="I3" s="2">
        <v>1969</v>
      </c>
      <c r="J3" s="131">
        <f>I3</f>
        <v>1969</v>
      </c>
      <c r="K3" s="2"/>
      <c r="M3" s="2">
        <v>2129</v>
      </c>
      <c r="N3" s="2">
        <v>2152</v>
      </c>
      <c r="O3" s="2">
        <v>2015</v>
      </c>
      <c r="P3" s="2">
        <v>1977</v>
      </c>
      <c r="Q3" s="2">
        <v>1974</v>
      </c>
      <c r="R3" s="2">
        <v>1971</v>
      </c>
      <c r="S3" s="2">
        <f>J3</f>
        <v>1969</v>
      </c>
    </row>
    <row r="4" spans="2:33" s="12" customFormat="1" x14ac:dyDescent="0.2">
      <c r="B4" s="12" t="s">
        <v>25</v>
      </c>
      <c r="G4" s="14">
        <f>G3/C3-1</f>
        <v>-5.0709939148074756E-4</v>
      </c>
      <c r="H4" s="14">
        <f t="shared" ref="H4:J4" si="2">H3/D3-1</f>
        <v>-2.0273694880892368E-3</v>
      </c>
      <c r="I4" s="14">
        <f t="shared" si="2"/>
        <v>-2.0273694880892368E-3</v>
      </c>
      <c r="J4" s="14">
        <f t="shared" si="2"/>
        <v>-1.0147133434804667E-3</v>
      </c>
      <c r="K4" s="14"/>
      <c r="N4" s="14">
        <f t="shared" ref="N4:P4" si="3">N3/M3-1</f>
        <v>1.0803193987787729E-2</v>
      </c>
      <c r="O4" s="14">
        <f t="shared" si="3"/>
        <v>-6.366171003717469E-2</v>
      </c>
      <c r="P4" s="14">
        <f t="shared" si="3"/>
        <v>-1.8858560794044688E-2</v>
      </c>
      <c r="Q4" s="14">
        <f>Q3/P3-1</f>
        <v>-1.5174506828528056E-3</v>
      </c>
      <c r="R4" s="14">
        <f>R3/Q3-1</f>
        <v>-1.5197568389058169E-3</v>
      </c>
      <c r="S4" s="14">
        <f>S3/R3-1</f>
        <v>-1.0147133434804667E-3</v>
      </c>
      <c r="T4" s="14">
        <f t="shared" ref="T4:AB4" si="4">T3/S3-1</f>
        <v>-1</v>
      </c>
      <c r="U4" s="14" t="e">
        <f t="shared" si="4"/>
        <v>#DIV/0!</v>
      </c>
      <c r="V4" s="14" t="e">
        <f t="shared" si="4"/>
        <v>#DIV/0!</v>
      </c>
      <c r="W4" s="14" t="e">
        <f t="shared" si="4"/>
        <v>#DIV/0!</v>
      </c>
      <c r="X4" s="14" t="e">
        <f t="shared" si="4"/>
        <v>#DIV/0!</v>
      </c>
      <c r="Y4" s="14" t="e">
        <f t="shared" si="4"/>
        <v>#DIV/0!</v>
      </c>
      <c r="Z4" s="14" t="e">
        <f t="shared" si="4"/>
        <v>#DIV/0!</v>
      </c>
      <c r="AA4" s="14" t="e">
        <f t="shared" si="4"/>
        <v>#DIV/0!</v>
      </c>
      <c r="AB4" s="14" t="e">
        <f t="shared" si="4"/>
        <v>#DIV/0!</v>
      </c>
    </row>
    <row r="5" spans="2:33" x14ac:dyDescent="0.2">
      <c r="B5" t="s">
        <v>24</v>
      </c>
      <c r="C5" s="2"/>
      <c r="D5" s="2">
        <f t="shared" ref="D5:H5" si="5">D3-C3</f>
        <v>1</v>
      </c>
      <c r="E5" s="2">
        <f t="shared" si="5"/>
        <v>0</v>
      </c>
      <c r="F5" s="2">
        <f t="shared" si="5"/>
        <v>-2</v>
      </c>
      <c r="G5" s="2">
        <f t="shared" si="5"/>
        <v>0</v>
      </c>
      <c r="H5" s="2">
        <f t="shared" si="5"/>
        <v>-2</v>
      </c>
      <c r="I5" s="2">
        <f>I3-H3</f>
        <v>0</v>
      </c>
      <c r="J5" s="2">
        <f>J3-I3</f>
        <v>0</v>
      </c>
      <c r="K5" s="2"/>
      <c r="M5" s="2"/>
      <c r="N5" s="2">
        <f t="shared" ref="N5:P5" si="6">N3-M3</f>
        <v>23</v>
      </c>
      <c r="O5" s="2">
        <f t="shared" si="6"/>
        <v>-137</v>
      </c>
      <c r="P5" s="2">
        <f t="shared" si="6"/>
        <v>-38</v>
      </c>
      <c r="Q5" s="2">
        <f>Q3-P3</f>
        <v>-3</v>
      </c>
      <c r="R5" s="2">
        <f>R3-Q3</f>
        <v>-3</v>
      </c>
      <c r="S5" s="2">
        <f t="shared" ref="S5:AB5" si="7">S3-R3</f>
        <v>-2</v>
      </c>
      <c r="T5" s="2">
        <f t="shared" si="7"/>
        <v>-1969</v>
      </c>
      <c r="U5" s="2">
        <f t="shared" si="7"/>
        <v>0</v>
      </c>
      <c r="V5" s="2">
        <f t="shared" si="7"/>
        <v>0</v>
      </c>
      <c r="W5" s="2">
        <f t="shared" si="7"/>
        <v>0</v>
      </c>
      <c r="X5" s="2">
        <f t="shared" si="7"/>
        <v>0</v>
      </c>
      <c r="Y5" s="2">
        <f t="shared" si="7"/>
        <v>0</v>
      </c>
      <c r="Z5" s="2">
        <f t="shared" si="7"/>
        <v>0</v>
      </c>
      <c r="AA5" s="2">
        <f t="shared" si="7"/>
        <v>0</v>
      </c>
      <c r="AB5" s="2">
        <f t="shared" si="7"/>
        <v>0</v>
      </c>
    </row>
    <row r="6" spans="2:33" s="12" customFormat="1" x14ac:dyDescent="0.2">
      <c r="B6" s="12" t="s">
        <v>25</v>
      </c>
      <c r="G6" s="14" t="e">
        <f>G5/C5-1</f>
        <v>#DIV/0!</v>
      </c>
      <c r="H6" s="14">
        <f t="shared" ref="H6:J6" si="8">H5/D5-1</f>
        <v>-3</v>
      </c>
      <c r="I6" s="14" t="e">
        <f t="shared" si="8"/>
        <v>#DIV/0!</v>
      </c>
      <c r="J6" s="14">
        <f t="shared" si="8"/>
        <v>-1</v>
      </c>
      <c r="K6" s="14"/>
      <c r="M6" s="14"/>
      <c r="N6" s="14"/>
      <c r="O6" s="14">
        <f t="shared" ref="O6:P6" si="9">O5/N5-1</f>
        <v>-6.9565217391304346</v>
      </c>
      <c r="P6" s="14">
        <f t="shared" si="9"/>
        <v>-0.72262773722627738</v>
      </c>
      <c r="Q6" s="14">
        <f>Q5/P5-1</f>
        <v>-0.92105263157894735</v>
      </c>
      <c r="R6" s="14">
        <f>R5/Q5-1</f>
        <v>0</v>
      </c>
      <c r="S6" s="14">
        <f t="shared" ref="S6:AB6" si="10">S5/R5-1</f>
        <v>-0.33333333333333337</v>
      </c>
      <c r="T6" s="14">
        <f t="shared" si="10"/>
        <v>983.5</v>
      </c>
      <c r="U6" s="14">
        <f t="shared" si="10"/>
        <v>-1</v>
      </c>
      <c r="V6" s="14" t="e">
        <f t="shared" si="10"/>
        <v>#DIV/0!</v>
      </c>
      <c r="W6" s="14" t="e">
        <f t="shared" si="10"/>
        <v>#DIV/0!</v>
      </c>
      <c r="X6" s="14" t="e">
        <f t="shared" si="10"/>
        <v>#DIV/0!</v>
      </c>
      <c r="Y6" s="14" t="e">
        <f t="shared" si="10"/>
        <v>#DIV/0!</v>
      </c>
      <c r="Z6" s="14" t="e">
        <f t="shared" si="10"/>
        <v>#DIV/0!</v>
      </c>
      <c r="AA6" s="14" t="e">
        <f t="shared" si="10"/>
        <v>#DIV/0!</v>
      </c>
      <c r="AB6" s="14" t="e">
        <f t="shared" si="10"/>
        <v>#DIV/0!</v>
      </c>
    </row>
    <row r="7" spans="2:33" s="12" customFormat="1" x14ac:dyDescent="0.2">
      <c r="G7" s="14"/>
      <c r="H7" s="14"/>
      <c r="I7" s="14"/>
      <c r="J7" s="14"/>
      <c r="K7" s="14"/>
      <c r="P7" s="13"/>
      <c r="Q7" s="14"/>
      <c r="R7" s="14"/>
      <c r="S7" s="13"/>
      <c r="T7" s="13"/>
      <c r="U7" s="13"/>
      <c r="V7" s="13"/>
    </row>
    <row r="8" spans="2:33" x14ac:dyDescent="0.2">
      <c r="B8" t="s">
        <v>26</v>
      </c>
      <c r="C8">
        <v>261</v>
      </c>
      <c r="D8">
        <v>287</v>
      </c>
      <c r="E8">
        <v>237</v>
      </c>
      <c r="F8" s="2">
        <f>R8-SUM(C8:E8)</f>
        <v>217</v>
      </c>
      <c r="G8" s="2">
        <v>226</v>
      </c>
      <c r="H8" s="2">
        <v>268</v>
      </c>
      <c r="I8" s="2">
        <v>225</v>
      </c>
      <c r="J8" s="2">
        <f>F8*(1+J9)</f>
        <v>210.48999999999998</v>
      </c>
      <c r="K8" s="2"/>
      <c r="M8">
        <v>945</v>
      </c>
      <c r="N8">
        <v>953</v>
      </c>
      <c r="O8">
        <v>941</v>
      </c>
      <c r="P8" s="2">
        <v>921</v>
      </c>
      <c r="Q8" s="2">
        <v>1046</v>
      </c>
      <c r="R8" s="2">
        <v>1002</v>
      </c>
      <c r="S8" s="2">
        <f>SUM(G8:J8)</f>
        <v>929.49</v>
      </c>
      <c r="T8" s="2"/>
      <c r="U8" s="2"/>
      <c r="V8" s="2"/>
    </row>
    <row r="9" spans="2:33" x14ac:dyDescent="0.2">
      <c r="B9" s="12" t="s">
        <v>25</v>
      </c>
      <c r="C9" s="12"/>
      <c r="D9" s="12"/>
      <c r="E9" s="12"/>
      <c r="F9" s="12"/>
      <c r="G9" s="14">
        <f>G8/C8-1</f>
        <v>-0.13409961685823757</v>
      </c>
      <c r="H9" s="14">
        <f t="shared" ref="H9:I9" si="11">H8/D8-1</f>
        <v>-6.6202090592334506E-2</v>
      </c>
      <c r="I9" s="14">
        <f t="shared" si="11"/>
        <v>-5.0632911392405111E-2</v>
      </c>
      <c r="J9" s="158">
        <v>-0.03</v>
      </c>
      <c r="K9" s="14"/>
      <c r="L9" s="12"/>
      <c r="M9" s="12"/>
      <c r="N9" s="14">
        <f t="shared" ref="N9:P9" si="12">N8/M8-1</f>
        <v>8.4656084656085095E-3</v>
      </c>
      <c r="O9" s="14">
        <f t="shared" si="12"/>
        <v>-1.2591815320041944E-2</v>
      </c>
      <c r="P9" s="14">
        <f t="shared" si="12"/>
        <v>-2.1253985122210439E-2</v>
      </c>
      <c r="Q9" s="14">
        <f>Q8/P8-1</f>
        <v>0.1357220412595006</v>
      </c>
      <c r="R9" s="14">
        <f>R8/Q8-1</f>
        <v>-4.2065009560229405E-2</v>
      </c>
      <c r="S9" s="14">
        <f t="shared" ref="S9:AB9" si="13">S8/R8-1</f>
        <v>-7.2365269461077797E-2</v>
      </c>
      <c r="T9" s="14">
        <f t="shared" si="13"/>
        <v>-1</v>
      </c>
      <c r="U9" s="14" t="e">
        <f t="shared" si="13"/>
        <v>#DIV/0!</v>
      </c>
      <c r="V9" s="14" t="e">
        <f t="shared" si="13"/>
        <v>#DIV/0!</v>
      </c>
      <c r="W9" s="14" t="e">
        <f t="shared" si="13"/>
        <v>#DIV/0!</v>
      </c>
      <c r="X9" s="14" t="e">
        <f t="shared" si="13"/>
        <v>#DIV/0!</v>
      </c>
      <c r="Y9" s="14" t="e">
        <f t="shared" si="13"/>
        <v>#DIV/0!</v>
      </c>
      <c r="Z9" s="14" t="e">
        <f t="shared" si="13"/>
        <v>#DIV/0!</v>
      </c>
      <c r="AA9" s="14" t="e">
        <f t="shared" si="13"/>
        <v>#DIV/0!</v>
      </c>
      <c r="AB9" s="14" t="e">
        <f t="shared" si="13"/>
        <v>#DIV/0!</v>
      </c>
    </row>
    <row r="10" spans="2:33" x14ac:dyDescent="0.2">
      <c r="B10" s="12" t="s">
        <v>27</v>
      </c>
      <c r="C10" s="6">
        <f t="shared" ref="C10:E10" si="14">C8/C3</f>
        <v>0.13235294117647059</v>
      </c>
      <c r="D10" s="6">
        <f t="shared" si="14"/>
        <v>0.14546376077040041</v>
      </c>
      <c r="E10" s="6">
        <f t="shared" si="14"/>
        <v>0.12012164216928535</v>
      </c>
      <c r="F10" s="6">
        <f>F8/F3</f>
        <v>0.11009639776763064</v>
      </c>
      <c r="G10" s="6">
        <f t="shared" ref="G10:J10" si="15">G8/G3</f>
        <v>0.11466260781329274</v>
      </c>
      <c r="H10" s="6">
        <f t="shared" si="15"/>
        <v>0.1361097003555104</v>
      </c>
      <c r="I10" s="6">
        <f t="shared" si="15"/>
        <v>0.11427120365667852</v>
      </c>
      <c r="J10" s="6">
        <f t="shared" si="15"/>
        <v>0.10690198070086337</v>
      </c>
      <c r="K10" s="6"/>
      <c r="L10" s="12"/>
      <c r="M10" s="6">
        <f t="shared" ref="M10:O10" si="16">M8/M3</f>
        <v>0.44387036167214655</v>
      </c>
      <c r="N10" s="6">
        <f t="shared" si="16"/>
        <v>0.44284386617100374</v>
      </c>
      <c r="O10" s="6">
        <f t="shared" si="16"/>
        <v>0.46699751861042182</v>
      </c>
      <c r="P10" s="6">
        <f>P8/P3</f>
        <v>0.46585735963581182</v>
      </c>
      <c r="Q10" s="6">
        <f t="shared" ref="Q10:R10" si="17">Q8/Q3</f>
        <v>0.52988855116514688</v>
      </c>
      <c r="R10" s="6">
        <f t="shared" si="17"/>
        <v>0.50837138508371382</v>
      </c>
      <c r="S10" s="6">
        <f t="shared" ref="S10:AB10" si="18">S8/S3</f>
        <v>0.47206196038598275</v>
      </c>
      <c r="T10" s="6" t="e">
        <f t="shared" si="18"/>
        <v>#DIV/0!</v>
      </c>
      <c r="U10" s="6" t="e">
        <f t="shared" si="18"/>
        <v>#DIV/0!</v>
      </c>
      <c r="V10" s="6" t="e">
        <f t="shared" si="18"/>
        <v>#DIV/0!</v>
      </c>
      <c r="W10" s="6" t="e">
        <f t="shared" si="18"/>
        <v>#DIV/0!</v>
      </c>
      <c r="X10" s="6" t="e">
        <f t="shared" si="18"/>
        <v>#DIV/0!</v>
      </c>
      <c r="Y10" s="6" t="e">
        <f t="shared" si="18"/>
        <v>#DIV/0!</v>
      </c>
      <c r="Z10" s="6" t="e">
        <f t="shared" si="18"/>
        <v>#DIV/0!</v>
      </c>
      <c r="AA10" s="6" t="e">
        <f t="shared" si="18"/>
        <v>#DIV/0!</v>
      </c>
      <c r="AB10" s="6" t="e">
        <f t="shared" si="18"/>
        <v>#DIV/0!</v>
      </c>
      <c r="AD10" s="2"/>
      <c r="AE10" s="186"/>
      <c r="AF10" s="2"/>
      <c r="AG10" s="187"/>
    </row>
    <row r="11" spans="2:33" x14ac:dyDescent="0.2">
      <c r="B11" s="12"/>
      <c r="C11" s="12"/>
      <c r="D11" s="12"/>
      <c r="E11" s="12"/>
      <c r="F11" s="12"/>
      <c r="G11" s="2"/>
      <c r="H11" s="2"/>
      <c r="I11" s="2"/>
      <c r="J11" s="2"/>
      <c r="K11" s="2"/>
      <c r="L11" s="12"/>
      <c r="M11" s="12"/>
      <c r="N11" s="12"/>
      <c r="O11" s="12"/>
      <c r="P11" s="2"/>
      <c r="Q11" s="2"/>
      <c r="R11" s="2"/>
      <c r="S11" s="2"/>
      <c r="T11" s="2"/>
      <c r="U11" s="2"/>
      <c r="V11" s="2"/>
      <c r="AD11" s="13"/>
      <c r="AE11" s="7"/>
      <c r="AF11" s="2"/>
      <c r="AG11" s="187"/>
    </row>
    <row r="12" spans="2:33" x14ac:dyDescent="0.2">
      <c r="B12" t="s">
        <v>21</v>
      </c>
      <c r="C12" s="11">
        <f t="shared" ref="C12:F12" si="19">C15/C8</f>
        <v>93.570881226053643</v>
      </c>
      <c r="D12" s="11">
        <f t="shared" si="19"/>
        <v>96.062717770034837</v>
      </c>
      <c r="E12" s="11">
        <f t="shared" si="19"/>
        <v>96.700421940928265</v>
      </c>
      <c r="F12" s="11">
        <f t="shared" si="19"/>
        <v>98.341013824884797</v>
      </c>
      <c r="G12" s="11">
        <f>G15/G8</f>
        <v>104.6858407079646</v>
      </c>
      <c r="H12" s="11">
        <f>H15/H8</f>
        <v>102.5223880597015</v>
      </c>
      <c r="I12" s="11">
        <f>I15/I8</f>
        <v>104.35111111111111</v>
      </c>
      <c r="J12" s="11">
        <f>F12*(1+J13)</f>
        <v>107.19170506912444</v>
      </c>
      <c r="K12" s="11"/>
      <c r="M12" s="11">
        <v>68.801058201058197</v>
      </c>
      <c r="N12" s="11">
        <v>72.003147953830009</v>
      </c>
      <c r="O12" s="11">
        <v>75.780021253985126</v>
      </c>
      <c r="P12" s="11">
        <v>78.336590662323559</v>
      </c>
      <c r="Q12" s="11">
        <v>85.656787762906305</v>
      </c>
      <c r="R12" s="11">
        <v>96.057884231536931</v>
      </c>
      <c r="S12" s="11">
        <f>S15/S8</f>
        <v>104.548496487321</v>
      </c>
      <c r="T12" s="2"/>
      <c r="U12" s="2"/>
      <c r="V12" s="2"/>
    </row>
    <row r="13" spans="2:33" x14ac:dyDescent="0.2">
      <c r="B13" s="12" t="s">
        <v>25</v>
      </c>
      <c r="C13" s="12"/>
      <c r="D13" s="12"/>
      <c r="E13" s="12"/>
      <c r="F13" s="12"/>
      <c r="G13" s="14">
        <f>G12/C12-1</f>
        <v>0.11878652136511181</v>
      </c>
      <c r="H13" s="14">
        <f t="shared" ref="H13" si="20">H12/D12-1</f>
        <v>6.7244300802841162E-2</v>
      </c>
      <c r="I13" s="14">
        <f t="shared" ref="I13" si="21">I12/E12-1</f>
        <v>7.9117433167524842E-2</v>
      </c>
      <c r="J13" s="158">
        <v>0.09</v>
      </c>
      <c r="K13" s="14"/>
      <c r="L13" s="12"/>
      <c r="M13" s="12"/>
      <c r="N13" s="14">
        <f t="shared" ref="N13:P13" si="22">N12/M12-1</f>
        <v>4.6541286376937663E-2</v>
      </c>
      <c r="O13" s="14">
        <f t="shared" si="22"/>
        <v>5.2454280229205175E-2</v>
      </c>
      <c r="P13" s="14">
        <f t="shared" si="22"/>
        <v>3.3736720655828334E-2</v>
      </c>
      <c r="Q13" s="14">
        <f>Q12/P12-1</f>
        <v>9.3445438953771554E-2</v>
      </c>
      <c r="R13" s="14">
        <f>R12/Q12-1</f>
        <v>0.12142758023357514</v>
      </c>
      <c r="S13" s="14">
        <f>S12/R12-1</f>
        <v>8.8390581613461139E-2</v>
      </c>
      <c r="T13" s="2"/>
      <c r="U13" s="2"/>
      <c r="V13" s="2"/>
    </row>
    <row r="14" spans="2:33" x14ac:dyDescent="0.2">
      <c r="B14" s="12"/>
      <c r="C14" s="12"/>
      <c r="D14" s="12"/>
      <c r="E14" s="12"/>
      <c r="F14" s="12"/>
      <c r="G14" s="14"/>
      <c r="H14" s="14"/>
      <c r="I14" s="14"/>
      <c r="J14" s="14"/>
      <c r="K14" s="14"/>
      <c r="L14" s="12"/>
      <c r="M14" s="12"/>
      <c r="N14" s="12"/>
      <c r="O14" s="12"/>
      <c r="P14" s="2"/>
      <c r="Q14" s="14"/>
      <c r="R14" s="14"/>
      <c r="S14" s="2"/>
      <c r="T14" s="2"/>
      <c r="U14" s="2"/>
      <c r="V14" s="2"/>
    </row>
    <row r="15" spans="2:33" s="3" customFormat="1" x14ac:dyDescent="0.2">
      <c r="B15" s="3" t="s">
        <v>0</v>
      </c>
      <c r="C15" s="4">
        <v>24422</v>
      </c>
      <c r="D15" s="4">
        <v>27570</v>
      </c>
      <c r="E15" s="156">
        <v>22918</v>
      </c>
      <c r="F15" s="4">
        <f>R15-SUM(C15:E15)</f>
        <v>21340</v>
      </c>
      <c r="G15" s="4">
        <v>23659</v>
      </c>
      <c r="H15" s="4">
        <v>27476</v>
      </c>
      <c r="I15" s="4">
        <v>23479</v>
      </c>
      <c r="J15" s="4">
        <f>J12*J10*J3</f>
        <v>22562.781999999999</v>
      </c>
      <c r="K15" s="4"/>
      <c r="M15" s="4">
        <f>M12*M10*M3</f>
        <v>65017</v>
      </c>
      <c r="N15" s="4">
        <f t="shared" ref="N15:R15" si="23">N12*N10*N3</f>
        <v>68619</v>
      </c>
      <c r="O15" s="4">
        <f t="shared" si="23"/>
        <v>71309</v>
      </c>
      <c r="P15" s="4">
        <f t="shared" si="23"/>
        <v>72148</v>
      </c>
      <c r="Q15" s="4">
        <f t="shared" si="23"/>
        <v>89597</v>
      </c>
      <c r="R15" s="4">
        <f t="shared" si="23"/>
        <v>96250</v>
      </c>
      <c r="S15" s="4">
        <f>SUM(G15:J15)</f>
        <v>97176.782000000007</v>
      </c>
      <c r="T15" s="4" t="e">
        <f t="shared" ref="T15:AB15" si="24">T12*T10*T3</f>
        <v>#DIV/0!</v>
      </c>
      <c r="U15" s="4" t="e">
        <f t="shared" si="24"/>
        <v>#DIV/0!</v>
      </c>
      <c r="V15" s="4" t="e">
        <f t="shared" si="24"/>
        <v>#DIV/0!</v>
      </c>
      <c r="W15" s="4" t="e">
        <f t="shared" si="24"/>
        <v>#DIV/0!</v>
      </c>
      <c r="X15" s="4" t="e">
        <f t="shared" si="24"/>
        <v>#DIV/0!</v>
      </c>
      <c r="Y15" s="4" t="e">
        <f t="shared" si="24"/>
        <v>#DIV/0!</v>
      </c>
      <c r="Z15" s="4" t="e">
        <f t="shared" si="24"/>
        <v>#DIV/0!</v>
      </c>
      <c r="AA15" s="4" t="e">
        <f t="shared" si="24"/>
        <v>#DIV/0!</v>
      </c>
      <c r="AB15" s="4" t="e">
        <f t="shared" si="24"/>
        <v>#DIV/0!</v>
      </c>
    </row>
    <row r="16" spans="2:33" x14ac:dyDescent="0.2">
      <c r="B16" t="s">
        <v>1</v>
      </c>
      <c r="C16" s="2">
        <f t="shared" ref="C16:F16" si="25">C15-C17</f>
        <v>16292</v>
      </c>
      <c r="D16" s="2">
        <f t="shared" si="25"/>
        <v>18258</v>
      </c>
      <c r="E16" s="157">
        <v>15331</v>
      </c>
      <c r="F16" s="2">
        <f t="shared" si="25"/>
        <v>14313</v>
      </c>
      <c r="G16" s="2">
        <f>G15-G17</f>
        <v>15609</v>
      </c>
      <c r="H16" s="2">
        <f>H15-H17</f>
        <v>18343</v>
      </c>
      <c r="I16" s="2">
        <f>I15-I17</f>
        <v>15661</v>
      </c>
      <c r="J16" s="2">
        <f>J45*J3</f>
        <v>14870.415464231355</v>
      </c>
      <c r="K16" s="2"/>
      <c r="M16" s="2">
        <f t="shared" ref="M16" si="26">M15-M17</f>
        <v>43343</v>
      </c>
      <c r="N16" s="2">
        <f t="shared" ref="N16" si="27">N15-N17</f>
        <v>46185</v>
      </c>
      <c r="O16" s="2">
        <f t="shared" ref="O16" si="28">O15-O17</f>
        <v>48401</v>
      </c>
      <c r="P16" s="2">
        <f t="shared" ref="P16:Q16" si="29">P15-P17</f>
        <v>49205</v>
      </c>
      <c r="Q16" s="2">
        <f t="shared" si="29"/>
        <v>60025</v>
      </c>
      <c r="R16" s="2">
        <f>R15-R17</f>
        <v>64194</v>
      </c>
      <c r="S16" s="2">
        <f>S15-S17</f>
        <v>64483.415464231366</v>
      </c>
      <c r="T16" s="2" t="e">
        <f t="shared" ref="T16:AB16" si="30">T15-T17</f>
        <v>#DIV/0!</v>
      </c>
      <c r="U16" s="2" t="e">
        <f t="shared" si="30"/>
        <v>#DIV/0!</v>
      </c>
      <c r="V16" s="2" t="e">
        <f t="shared" si="30"/>
        <v>#DIV/0!</v>
      </c>
      <c r="W16" s="2" t="e">
        <f t="shared" si="30"/>
        <v>#DIV/0!</v>
      </c>
      <c r="X16" s="2" t="e">
        <f t="shared" si="30"/>
        <v>#DIV/0!</v>
      </c>
      <c r="Y16" s="2" t="e">
        <f t="shared" si="30"/>
        <v>#DIV/0!</v>
      </c>
      <c r="Z16" s="2" t="e">
        <f t="shared" si="30"/>
        <v>#DIV/0!</v>
      </c>
      <c r="AA16" s="2" t="e">
        <f t="shared" si="30"/>
        <v>#DIV/0!</v>
      </c>
      <c r="AB16" s="2" t="e">
        <f t="shared" si="30"/>
        <v>#DIV/0!</v>
      </c>
    </row>
    <row r="17" spans="2:28" s="3" customFormat="1" x14ac:dyDescent="0.2">
      <c r="B17" s="3" t="s">
        <v>2</v>
      </c>
      <c r="C17" s="4">
        <v>8130</v>
      </c>
      <c r="D17" s="4">
        <v>9312</v>
      </c>
      <c r="E17" s="156">
        <v>7587</v>
      </c>
      <c r="F17" s="4">
        <f>R17-SUM(C17:E17)</f>
        <v>7027</v>
      </c>
      <c r="G17" s="4">
        <v>8050</v>
      </c>
      <c r="H17" s="4">
        <v>9133</v>
      </c>
      <c r="I17" s="4">
        <v>7818</v>
      </c>
      <c r="J17" s="4">
        <f>J15-J16</f>
        <v>7692.3665357686441</v>
      </c>
      <c r="K17" s="4"/>
      <c r="M17" s="151">
        <v>21674</v>
      </c>
      <c r="N17" s="151">
        <v>22434</v>
      </c>
      <c r="O17" s="151">
        <v>22908</v>
      </c>
      <c r="P17" s="4">
        <v>22943</v>
      </c>
      <c r="Q17" s="4">
        <v>29572</v>
      </c>
      <c r="R17" s="4">
        <v>32056</v>
      </c>
      <c r="S17" s="4">
        <f>SUM(G17:J17)</f>
        <v>32693.366535768644</v>
      </c>
      <c r="T17" s="4"/>
      <c r="U17" s="4"/>
      <c r="V17" s="4"/>
    </row>
    <row r="18" spans="2:28" x14ac:dyDescent="0.2">
      <c r="B18" t="s">
        <v>3</v>
      </c>
      <c r="C18" s="2">
        <v>4494</v>
      </c>
      <c r="D18" s="2">
        <v>4693</v>
      </c>
      <c r="E18" s="157">
        <v>4373</v>
      </c>
      <c r="F18" s="2">
        <f>R18-SUM(C18:E18)</f>
        <v>4741</v>
      </c>
      <c r="G18" s="2">
        <v>4303</v>
      </c>
      <c r="H18" s="2">
        <v>4455</v>
      </c>
      <c r="I18" s="2">
        <v>6443</v>
      </c>
      <c r="J18" s="2">
        <f>J15*J30</f>
        <v>4178.7349914485858</v>
      </c>
      <c r="K18" s="2"/>
      <c r="M18" s="133">
        <v>14375</v>
      </c>
      <c r="N18" s="133">
        <v>14444</v>
      </c>
      <c r="O18" s="133">
        <v>17413</v>
      </c>
      <c r="P18" s="2">
        <v>15367</v>
      </c>
      <c r="Q18" s="2">
        <v>18526</v>
      </c>
      <c r="R18" s="2">
        <v>18301</v>
      </c>
      <c r="S18" s="2">
        <f>SUM(G18:J18)</f>
        <v>19379.734991448586</v>
      </c>
      <c r="T18" s="2"/>
      <c r="U18" s="2"/>
      <c r="V18" s="2"/>
    </row>
    <row r="19" spans="2:28" x14ac:dyDescent="0.2">
      <c r="B19" t="s">
        <v>4</v>
      </c>
      <c r="C19" s="2">
        <v>391</v>
      </c>
      <c r="D19" s="2">
        <v>409</v>
      </c>
      <c r="E19" s="157">
        <v>425</v>
      </c>
      <c r="F19" s="2">
        <f>R19-SUM(C19:E19)</f>
        <v>437</v>
      </c>
      <c r="G19" s="2">
        <v>445</v>
      </c>
      <c r="H19" s="2">
        <v>449</v>
      </c>
      <c r="I19" s="2">
        <v>451</v>
      </c>
      <c r="J19" s="2">
        <f>J49*J3</f>
        <v>458.38439878234396</v>
      </c>
      <c r="K19" s="2"/>
      <c r="M19" s="133">
        <v>1453</v>
      </c>
      <c r="N19" s="133">
        <v>1404</v>
      </c>
      <c r="O19" s="133">
        <v>1477</v>
      </c>
      <c r="P19" s="2">
        <v>1262</v>
      </c>
      <c r="Q19" s="2">
        <v>1399</v>
      </c>
      <c r="R19" s="2">
        <v>1662</v>
      </c>
      <c r="S19" s="2">
        <f>SUM(G19:J19)</f>
        <v>1803.3843987823439</v>
      </c>
      <c r="T19" s="2"/>
      <c r="U19" s="2"/>
      <c r="V19" s="2"/>
    </row>
    <row r="20" spans="2:28" s="3" customFormat="1" x14ac:dyDescent="0.2">
      <c r="B20" s="3" t="s">
        <v>5</v>
      </c>
      <c r="C20" s="4">
        <f t="shared" ref="C20:F20" si="31">C17-SUM(C18:C19)</f>
        <v>3245</v>
      </c>
      <c r="D20" s="4">
        <f t="shared" si="31"/>
        <v>4210</v>
      </c>
      <c r="E20" s="156">
        <v>2789</v>
      </c>
      <c r="F20" s="4">
        <f t="shared" si="31"/>
        <v>1849</v>
      </c>
      <c r="G20" s="4">
        <f>G17-SUM(G18:G19)</f>
        <v>3302</v>
      </c>
      <c r="H20" s="4">
        <f>H17-SUM(H18:H19)</f>
        <v>4229</v>
      </c>
      <c r="I20" s="4">
        <f>I17-SUM(I18:I19)</f>
        <v>924</v>
      </c>
      <c r="J20" s="4">
        <f t="shared" ref="J20" si="32">J17-SUM(J18:J19)</f>
        <v>3055.2471455377145</v>
      </c>
      <c r="K20" s="4"/>
      <c r="M20" s="4">
        <f t="shared" ref="M20" si="33">M17-SUM(M18:M19)</f>
        <v>5846</v>
      </c>
      <c r="N20" s="4">
        <f t="shared" ref="N20" si="34">N17-SUM(N18:N19)</f>
        <v>6586</v>
      </c>
      <c r="O20" s="4">
        <f t="shared" ref="O20" si="35">O17-SUM(O18:O19)</f>
        <v>4018</v>
      </c>
      <c r="P20" s="4">
        <f t="shared" ref="P20:Q20" si="36">P17-SUM(P18:P19)</f>
        <v>6314</v>
      </c>
      <c r="Q20" s="4">
        <f t="shared" si="36"/>
        <v>9647</v>
      </c>
      <c r="R20" s="4">
        <f>R17-SUM(R18:R19)</f>
        <v>12093</v>
      </c>
      <c r="S20" s="4">
        <f t="shared" ref="S20:AA20" si="37">S17-SUM(S18:S19)</f>
        <v>11510.247145537713</v>
      </c>
      <c r="T20" s="4">
        <f t="shared" si="37"/>
        <v>0</v>
      </c>
      <c r="U20" s="4">
        <f t="shared" si="37"/>
        <v>0</v>
      </c>
      <c r="V20" s="4">
        <f t="shared" si="37"/>
        <v>0</v>
      </c>
      <c r="W20" s="4">
        <f t="shared" si="37"/>
        <v>0</v>
      </c>
      <c r="X20" s="4">
        <f t="shared" si="37"/>
        <v>0</v>
      </c>
      <c r="Y20" s="4">
        <f t="shared" si="37"/>
        <v>0</v>
      </c>
      <c r="Z20" s="4">
        <f t="shared" si="37"/>
        <v>0</v>
      </c>
      <c r="AA20" s="4">
        <f t="shared" si="37"/>
        <v>0</v>
      </c>
      <c r="AB20" s="4">
        <f>AB17-SUM(AB18:AB19)</f>
        <v>0</v>
      </c>
    </row>
    <row r="21" spans="2:28" x14ac:dyDescent="0.2">
      <c r="B21" t="s">
        <v>6</v>
      </c>
      <c r="C21" s="2">
        <v>211</v>
      </c>
      <c r="D21" s="2">
        <v>216</v>
      </c>
      <c r="E21" s="157">
        <v>223</v>
      </c>
      <c r="F21" s="2">
        <f>R21-SUM(C21:E21)</f>
        <v>235</v>
      </c>
      <c r="G21" s="2">
        <v>243</v>
      </c>
      <c r="H21" s="2">
        <v>264</v>
      </c>
      <c r="I21" s="2">
        <v>295</v>
      </c>
      <c r="J21" s="131">
        <f>I21+15</f>
        <v>310</v>
      </c>
      <c r="K21" s="2"/>
      <c r="M21">
        <v>645</v>
      </c>
      <c r="N21">
        <v>633</v>
      </c>
      <c r="O21">
        <v>624</v>
      </c>
      <c r="P21" s="2">
        <v>691</v>
      </c>
      <c r="Q21" s="2">
        <v>848</v>
      </c>
      <c r="R21" s="2">
        <v>885</v>
      </c>
      <c r="S21" s="2">
        <f>SUM(G21:J21)</f>
        <v>1112</v>
      </c>
      <c r="T21" s="2"/>
      <c r="U21" s="2"/>
      <c r="V21" s="2"/>
    </row>
    <row r="22" spans="2:28" x14ac:dyDescent="0.2">
      <c r="B22" t="s">
        <v>7</v>
      </c>
      <c r="C22" s="2">
        <f t="shared" ref="C22:F22" si="38">C20-C21</f>
        <v>3034</v>
      </c>
      <c r="D22" s="2">
        <f t="shared" si="38"/>
        <v>3994</v>
      </c>
      <c r="E22" s="2">
        <f t="shared" si="38"/>
        <v>2566</v>
      </c>
      <c r="F22" s="2">
        <f t="shared" si="38"/>
        <v>1614</v>
      </c>
      <c r="G22" s="2">
        <f>G20-G21</f>
        <v>3059</v>
      </c>
      <c r="H22" s="2">
        <f>H20-H21</f>
        <v>3965</v>
      </c>
      <c r="I22" s="2">
        <f>I20-I21</f>
        <v>629</v>
      </c>
      <c r="J22" s="2">
        <f>J20-J21</f>
        <v>2745.2471455377145</v>
      </c>
      <c r="K22" s="2"/>
      <c r="M22" s="2">
        <f t="shared" ref="M22" si="39">M20-M21</f>
        <v>5201</v>
      </c>
      <c r="N22" s="2">
        <f t="shared" ref="N22" si="40">N20-N21</f>
        <v>5953</v>
      </c>
      <c r="O22" s="2">
        <f t="shared" ref="O22" si="41">O20-O21</f>
        <v>3394</v>
      </c>
      <c r="P22" s="2">
        <f t="shared" ref="P22:Q22" si="42">P20-P21</f>
        <v>5623</v>
      </c>
      <c r="Q22" s="2">
        <f t="shared" si="42"/>
        <v>8799</v>
      </c>
      <c r="R22" s="2">
        <f>R20-R21</f>
        <v>11208</v>
      </c>
      <c r="S22" s="2">
        <f t="shared" ref="S22:AB22" si="43">S20-S21</f>
        <v>10398.247145537713</v>
      </c>
      <c r="T22" s="2">
        <f t="shared" si="43"/>
        <v>0</v>
      </c>
      <c r="U22" s="2">
        <f t="shared" si="43"/>
        <v>0</v>
      </c>
      <c r="V22" s="2">
        <f t="shared" si="43"/>
        <v>0</v>
      </c>
      <c r="W22" s="2">
        <f t="shared" si="43"/>
        <v>0</v>
      </c>
      <c r="X22" s="2">
        <f t="shared" si="43"/>
        <v>0</v>
      </c>
      <c r="Y22" s="2">
        <f t="shared" si="43"/>
        <v>0</v>
      </c>
      <c r="Z22" s="2">
        <f t="shared" si="43"/>
        <v>0</v>
      </c>
      <c r="AA22" s="2">
        <f t="shared" si="43"/>
        <v>0</v>
      </c>
      <c r="AB22" s="2">
        <f t="shared" si="43"/>
        <v>0</v>
      </c>
    </row>
    <row r="23" spans="2:28" x14ac:dyDescent="0.2">
      <c r="B23" t="s">
        <v>8</v>
      </c>
      <c r="C23" s="2">
        <v>713</v>
      </c>
      <c r="D23" s="2">
        <v>976</v>
      </c>
      <c r="E23" s="2">
        <v>670</v>
      </c>
      <c r="F23" s="2">
        <f>R23-SUM(C23:E23)</f>
        <v>407</v>
      </c>
      <c r="G23" s="2">
        <v>726</v>
      </c>
      <c r="H23" s="2">
        <v>973</v>
      </c>
      <c r="I23" s="2">
        <v>475</v>
      </c>
      <c r="J23" s="2">
        <f>J22*J33</f>
        <v>675.04476112363807</v>
      </c>
      <c r="K23" s="2"/>
      <c r="M23" s="133">
        <v>2108</v>
      </c>
      <c r="N23" s="133">
        <v>2042</v>
      </c>
      <c r="O23" s="133">
        <v>1080</v>
      </c>
      <c r="P23" s="2">
        <v>1342</v>
      </c>
      <c r="Q23" s="2">
        <v>1904</v>
      </c>
      <c r="R23" s="2">
        <v>2766</v>
      </c>
      <c r="S23" s="2">
        <f>SUM(G23:J23)</f>
        <v>2849.0447611236382</v>
      </c>
      <c r="T23" s="2"/>
      <c r="U23" s="2"/>
      <c r="V23" s="2"/>
    </row>
    <row r="24" spans="2:28" s="3" customFormat="1" x14ac:dyDescent="0.2">
      <c r="B24" s="3" t="s">
        <v>9</v>
      </c>
      <c r="C24" s="4">
        <f t="shared" ref="C24:F24" si="44">C22-C23</f>
        <v>2321</v>
      </c>
      <c r="D24" s="4">
        <f t="shared" si="44"/>
        <v>3018</v>
      </c>
      <c r="E24" s="4">
        <f t="shared" si="44"/>
        <v>1896</v>
      </c>
      <c r="F24" s="4">
        <f t="shared" si="44"/>
        <v>1207</v>
      </c>
      <c r="G24" s="4">
        <f>G22-G23</f>
        <v>2333</v>
      </c>
      <c r="H24" s="4">
        <f>H22-H23</f>
        <v>2992</v>
      </c>
      <c r="I24" s="4">
        <f>I22-I23</f>
        <v>154</v>
      </c>
      <c r="J24" s="4">
        <f>J22-J23</f>
        <v>2070.2023844140763</v>
      </c>
      <c r="K24" s="4"/>
      <c r="M24" s="4">
        <f t="shared" ref="M24" si="45">M22-M23</f>
        <v>3093</v>
      </c>
      <c r="N24" s="4">
        <f t="shared" ref="N24" si="46">N22-N23</f>
        <v>3911</v>
      </c>
      <c r="O24" s="4">
        <f t="shared" ref="O24" si="47">O22-O23</f>
        <v>2314</v>
      </c>
      <c r="P24" s="4">
        <f t="shared" ref="P24:Q24" si="48">P22-P23</f>
        <v>4281</v>
      </c>
      <c r="Q24" s="4">
        <f t="shared" si="48"/>
        <v>6895</v>
      </c>
      <c r="R24" s="4">
        <f>R22-R23</f>
        <v>8442</v>
      </c>
      <c r="S24" s="4">
        <f t="shared" ref="S24:AB24" si="49">S22-S23</f>
        <v>7549.2023844140749</v>
      </c>
      <c r="T24" s="4">
        <f t="shared" si="49"/>
        <v>0</v>
      </c>
      <c r="U24" s="4">
        <f t="shared" si="49"/>
        <v>0</v>
      </c>
      <c r="V24" s="4">
        <f t="shared" si="49"/>
        <v>0</v>
      </c>
      <c r="W24" s="4">
        <f t="shared" si="49"/>
        <v>0</v>
      </c>
      <c r="X24" s="4">
        <f t="shared" si="49"/>
        <v>0</v>
      </c>
      <c r="Y24" s="4">
        <f t="shared" si="49"/>
        <v>0</v>
      </c>
      <c r="Z24" s="4">
        <f t="shared" si="49"/>
        <v>0</v>
      </c>
      <c r="AA24" s="4">
        <f t="shared" si="49"/>
        <v>0</v>
      </c>
      <c r="AB24" s="4">
        <f t="shared" si="49"/>
        <v>0</v>
      </c>
    </row>
    <row r="25" spans="2:28" x14ac:dyDescent="0.2">
      <c r="B25" t="s">
        <v>17</v>
      </c>
      <c r="C25" s="10">
        <f t="shared" ref="C25" si="50">C24/C26</f>
        <v>3.2325905292479109</v>
      </c>
      <c r="D25" s="10">
        <f t="shared" ref="D25" si="51">D24/D26</f>
        <v>4.280851063829787</v>
      </c>
      <c r="E25" s="10">
        <f t="shared" ref="E25" si="52">E24/E26</f>
        <v>2.7478260869565219</v>
      </c>
      <c r="F25" s="10">
        <f t="shared" ref="F25" si="53">F24/F26</f>
        <v>1.7341954022988506</v>
      </c>
      <c r="G25" s="10">
        <f t="shared" ref="G25" si="54">G24/G26</f>
        <v>3.5348484848484847</v>
      </c>
      <c r="H25" s="10">
        <f t="shared" ref="H25" si="55">H24/H26</f>
        <v>4.6896551724137927</v>
      </c>
      <c r="I25" s="10">
        <f t="shared" ref="I25" si="56">I24/I26</f>
        <v>0.24919093851132687</v>
      </c>
      <c r="J25" s="10">
        <f t="shared" ref="J25" si="57">J24/J26</f>
        <v>3.3836788343206763</v>
      </c>
      <c r="K25" s="10"/>
      <c r="M25" s="10">
        <f t="shared" ref="M25:O25" si="58">M24/M26</f>
        <v>3.5147727272727272</v>
      </c>
      <c r="N25" s="10">
        <f t="shared" si="58"/>
        <v>4.6615017878426697</v>
      </c>
      <c r="O25" s="10">
        <f t="shared" si="58"/>
        <v>2.5400658616904499</v>
      </c>
      <c r="P25" s="10">
        <f>P24/P26</f>
        <v>5.5096525096525095</v>
      </c>
      <c r="Q25" s="10">
        <f t="shared" ref="Q25:R25" si="59">Q24/Q26</f>
        <v>9.2179144385026746</v>
      </c>
      <c r="R25" s="10">
        <f t="shared" si="59"/>
        <v>12.129310344827585</v>
      </c>
      <c r="S25" s="10">
        <f t="shared" ref="S25" si="60">S24/S26</f>
        <v>11.945791052233266</v>
      </c>
      <c r="T25" s="10" t="e">
        <f t="shared" ref="T25" si="61">T24/T26</f>
        <v>#DIV/0!</v>
      </c>
      <c r="U25" s="10" t="e">
        <f t="shared" ref="U25" si="62">U24/U26</f>
        <v>#DIV/0!</v>
      </c>
      <c r="V25" s="10" t="e">
        <f t="shared" ref="V25" si="63">V24/V26</f>
        <v>#DIV/0!</v>
      </c>
      <c r="W25" s="10" t="e">
        <f t="shared" ref="W25" si="64">W24/W26</f>
        <v>#DIV/0!</v>
      </c>
      <c r="X25" s="10" t="e">
        <f t="shared" ref="X25" si="65">X24/X26</f>
        <v>#DIV/0!</v>
      </c>
      <c r="Y25" s="10" t="e">
        <f t="shared" ref="Y25" si="66">Y24/Y26</f>
        <v>#DIV/0!</v>
      </c>
      <c r="Z25" s="10" t="e">
        <f t="shared" ref="Z25" si="67">Z24/Z26</f>
        <v>#DIV/0!</v>
      </c>
      <c r="AA25" s="10" t="e">
        <f t="shared" ref="AA25" si="68">AA24/AA26</f>
        <v>#DIV/0!</v>
      </c>
      <c r="AB25" s="10" t="e">
        <f t="shared" ref="AB25" si="69">AB24/AB26</f>
        <v>#DIV/0!</v>
      </c>
    </row>
    <row r="26" spans="2:28" x14ac:dyDescent="0.2">
      <c r="B26" t="s">
        <v>16</v>
      </c>
      <c r="C26">
        <v>718</v>
      </c>
      <c r="D26">
        <v>705</v>
      </c>
      <c r="E26">
        <v>690</v>
      </c>
      <c r="F26" s="2">
        <f>R26</f>
        <v>696</v>
      </c>
      <c r="G26" s="2">
        <v>660</v>
      </c>
      <c r="H26" s="2">
        <v>638</v>
      </c>
      <c r="I26" s="2">
        <v>618</v>
      </c>
      <c r="J26" s="2">
        <f>I26*(1+J35)</f>
        <v>611.82000000000005</v>
      </c>
      <c r="K26" s="2"/>
      <c r="M26">
        <v>880</v>
      </c>
      <c r="N26">
        <v>839</v>
      </c>
      <c r="O26">
        <v>911</v>
      </c>
      <c r="P26" s="2">
        <v>777</v>
      </c>
      <c r="Q26" s="2">
        <v>748</v>
      </c>
      <c r="R26" s="2">
        <v>696</v>
      </c>
      <c r="S26" s="2">
        <f>AVERAGE(G26:J26)</f>
        <v>631.95500000000004</v>
      </c>
      <c r="T26" s="2"/>
      <c r="U26" s="2"/>
      <c r="V26" s="2"/>
    </row>
    <row r="27" spans="2:28" x14ac:dyDescent="0.2">
      <c r="G27" s="2"/>
      <c r="H27" s="2"/>
      <c r="I27" s="2"/>
      <c r="J27" s="2"/>
      <c r="K27" s="2"/>
      <c r="P27" s="2"/>
      <c r="Q27" s="2"/>
      <c r="R27" s="2"/>
      <c r="S27" s="2"/>
      <c r="T27" s="2"/>
      <c r="U27" s="2"/>
      <c r="V27" s="2"/>
    </row>
    <row r="28" spans="2:28" s="3" customFormat="1" x14ac:dyDescent="0.2">
      <c r="B28" s="3" t="s">
        <v>10</v>
      </c>
      <c r="G28" s="8">
        <f>G15/C15-1</f>
        <v>-3.1242322496110031E-2</v>
      </c>
      <c r="H28" s="8">
        <f t="shared" ref="H28:J28" si="70">H15/D15-1</f>
        <v>-3.409503083061316E-3</v>
      </c>
      <c r="I28" s="8">
        <f t="shared" si="70"/>
        <v>2.4478575791953894E-2</v>
      </c>
      <c r="J28" s="8">
        <f t="shared" si="70"/>
        <v>5.7299999999999907E-2</v>
      </c>
      <c r="K28" s="8"/>
      <c r="N28" s="8">
        <f t="shared" ref="N28:P28" si="71">N15/M15-1</f>
        <v>5.5400895150499174E-2</v>
      </c>
      <c r="O28" s="8">
        <f t="shared" si="71"/>
        <v>3.9201970299771238E-2</v>
      </c>
      <c r="P28" s="8">
        <f t="shared" si="71"/>
        <v>1.176569577472697E-2</v>
      </c>
      <c r="Q28" s="8">
        <f>Q15/P15-1</f>
        <v>0.24185008593446811</v>
      </c>
      <c r="R28" s="8">
        <f>R15/Q15-1</f>
        <v>7.4254718349944682E-2</v>
      </c>
      <c r="S28" s="8">
        <f t="shared" ref="S28:AB28" si="72">S15/R15-1</f>
        <v>9.6289038961039353E-3</v>
      </c>
      <c r="T28" s="8" t="e">
        <f t="shared" si="72"/>
        <v>#DIV/0!</v>
      </c>
      <c r="U28" s="8" t="e">
        <f t="shared" si="72"/>
        <v>#DIV/0!</v>
      </c>
      <c r="V28" s="8" t="e">
        <f t="shared" si="72"/>
        <v>#DIV/0!</v>
      </c>
      <c r="W28" s="8" t="e">
        <f t="shared" si="72"/>
        <v>#DIV/0!</v>
      </c>
      <c r="X28" s="8" t="e">
        <f t="shared" si="72"/>
        <v>#DIV/0!</v>
      </c>
      <c r="Y28" s="8" t="e">
        <f t="shared" si="72"/>
        <v>#DIV/0!</v>
      </c>
      <c r="Z28" s="8" t="e">
        <f t="shared" si="72"/>
        <v>#DIV/0!</v>
      </c>
      <c r="AA28" s="8" t="e">
        <f t="shared" si="72"/>
        <v>#DIV/0!</v>
      </c>
      <c r="AB28" s="8" t="e">
        <f t="shared" si="72"/>
        <v>#DIV/0!</v>
      </c>
    </row>
    <row r="29" spans="2:28" x14ac:dyDescent="0.2">
      <c r="B29" t="s">
        <v>2</v>
      </c>
      <c r="C29" s="7">
        <f t="shared" ref="C29:H29" si="73">C17/C15</f>
        <v>0.33289656866759482</v>
      </c>
      <c r="D29" s="7">
        <f t="shared" si="73"/>
        <v>0.33775843307943415</v>
      </c>
      <c r="E29" s="7">
        <f t="shared" si="73"/>
        <v>0.33104982982808273</v>
      </c>
      <c r="F29" s="7">
        <f t="shared" si="73"/>
        <v>0.32928772258669164</v>
      </c>
      <c r="G29" s="7">
        <f t="shared" si="73"/>
        <v>0.34025106724713639</v>
      </c>
      <c r="H29" s="7">
        <f t="shared" si="73"/>
        <v>0.33239918474304847</v>
      </c>
      <c r="I29" s="7">
        <f t="shared" ref="I29:J29" si="74">I17/I15</f>
        <v>0.33297840623535924</v>
      </c>
      <c r="J29" s="7">
        <f t="shared" si="74"/>
        <v>0.34093165176921197</v>
      </c>
      <c r="K29" s="7"/>
      <c r="M29" s="7">
        <f t="shared" ref="M29:O29" si="75">M17/M15</f>
        <v>0.33335896765461343</v>
      </c>
      <c r="N29" s="7">
        <f t="shared" si="75"/>
        <v>0.32693568836619596</v>
      </c>
      <c r="O29" s="7">
        <f t="shared" si="75"/>
        <v>0.3212497721185264</v>
      </c>
      <c r="P29" s="7">
        <f>P17/P15</f>
        <v>0.31799911293452349</v>
      </c>
      <c r="Q29" s="7">
        <f t="shared" ref="Q29:R29" si="76">Q17/Q15</f>
        <v>0.33005569382903444</v>
      </c>
      <c r="R29" s="7">
        <f t="shared" si="76"/>
        <v>0.33304935064935065</v>
      </c>
      <c r="S29" s="7">
        <f t="shared" ref="S29:T29" si="77">S17/S15</f>
        <v>0.33643187048289624</v>
      </c>
      <c r="T29" s="7" t="e">
        <f t="shared" si="77"/>
        <v>#DIV/0!</v>
      </c>
      <c r="U29" s="7" t="e">
        <f t="shared" ref="U29:AB29" si="78">U17/U15</f>
        <v>#DIV/0!</v>
      </c>
      <c r="V29" s="7" t="e">
        <f t="shared" si="78"/>
        <v>#DIV/0!</v>
      </c>
      <c r="W29" s="7" t="e">
        <f t="shared" si="78"/>
        <v>#DIV/0!</v>
      </c>
      <c r="X29" s="7" t="e">
        <f t="shared" si="78"/>
        <v>#DIV/0!</v>
      </c>
      <c r="Y29" s="7" t="e">
        <f t="shared" si="78"/>
        <v>#DIV/0!</v>
      </c>
      <c r="Z29" s="7" t="e">
        <f t="shared" si="78"/>
        <v>#DIV/0!</v>
      </c>
      <c r="AA29" s="7" t="e">
        <f t="shared" si="78"/>
        <v>#DIV/0!</v>
      </c>
      <c r="AB29" s="7" t="e">
        <f t="shared" si="78"/>
        <v>#DIV/0!</v>
      </c>
    </row>
    <row r="30" spans="2:28" x14ac:dyDescent="0.2">
      <c r="B30" t="s">
        <v>11</v>
      </c>
      <c r="C30" s="7">
        <f t="shared" ref="C30:H32" si="79">C18/C$15</f>
        <v>0.18401441323396936</v>
      </c>
      <c r="D30" s="7">
        <f t="shared" si="79"/>
        <v>0.17022125498730503</v>
      </c>
      <c r="E30" s="7">
        <f t="shared" si="79"/>
        <v>0.19081071646740552</v>
      </c>
      <c r="F30" s="7">
        <f t="shared" si="79"/>
        <v>0.22216494845360824</v>
      </c>
      <c r="G30" s="7">
        <f t="shared" si="79"/>
        <v>0.18187581892725813</v>
      </c>
      <c r="H30" s="7">
        <f t="shared" si="79"/>
        <v>0.16214150531372834</v>
      </c>
      <c r="I30" s="7">
        <f t="shared" ref="I30:J32" si="80">I18/I$15</f>
        <v>0.27441543506963667</v>
      </c>
      <c r="J30" s="132">
        <f>AVERAGE(C30:H30)</f>
        <v>0.18520477623054576</v>
      </c>
      <c r="K30" s="7"/>
      <c r="M30" s="7">
        <f t="shared" ref="M30:O30" si="81">M18/M$15</f>
        <v>0.2210960210406509</v>
      </c>
      <c r="N30" s="7">
        <f t="shared" si="81"/>
        <v>0.21049563531966364</v>
      </c>
      <c r="O30" s="7">
        <f t="shared" si="81"/>
        <v>0.2441907753579492</v>
      </c>
      <c r="P30" s="7">
        <f>P18/P$15</f>
        <v>0.21299273715141098</v>
      </c>
      <c r="Q30" s="7">
        <f t="shared" ref="Q30:R30" si="82">Q18/Q$15</f>
        <v>0.2067703159704008</v>
      </c>
      <c r="R30" s="7">
        <f t="shared" si="82"/>
        <v>0.19014025974025975</v>
      </c>
      <c r="S30" s="7">
        <f t="shared" ref="S30:T30" si="83">S18/S$15</f>
        <v>0.19942762656463131</v>
      </c>
      <c r="T30" s="7" t="e">
        <f t="shared" si="83"/>
        <v>#DIV/0!</v>
      </c>
      <c r="U30" s="7" t="e">
        <f t="shared" ref="U30:AB30" si="84">U18/U$15</f>
        <v>#DIV/0!</v>
      </c>
      <c r="V30" s="7" t="e">
        <f t="shared" si="84"/>
        <v>#DIV/0!</v>
      </c>
      <c r="W30" s="7" t="e">
        <f t="shared" si="84"/>
        <v>#DIV/0!</v>
      </c>
      <c r="X30" s="7" t="e">
        <f t="shared" si="84"/>
        <v>#DIV/0!</v>
      </c>
      <c r="Y30" s="7" t="e">
        <f t="shared" si="84"/>
        <v>#DIV/0!</v>
      </c>
      <c r="Z30" s="7" t="e">
        <f t="shared" si="84"/>
        <v>#DIV/0!</v>
      </c>
      <c r="AA30" s="7" t="e">
        <f t="shared" si="84"/>
        <v>#DIV/0!</v>
      </c>
      <c r="AB30" s="7" t="e">
        <f t="shared" si="84"/>
        <v>#DIV/0!</v>
      </c>
    </row>
    <row r="31" spans="2:28" x14ac:dyDescent="0.2">
      <c r="B31" t="s">
        <v>12</v>
      </c>
      <c r="C31" s="7">
        <f t="shared" si="79"/>
        <v>1.6010154778478423E-2</v>
      </c>
      <c r="D31" s="7">
        <f t="shared" si="79"/>
        <v>1.4834965542256075E-2</v>
      </c>
      <c r="E31" s="7">
        <f t="shared" si="79"/>
        <v>1.8544375599965093E-2</v>
      </c>
      <c r="F31" s="7">
        <f t="shared" si="79"/>
        <v>2.0477975632614807E-2</v>
      </c>
      <c r="G31" s="7">
        <f t="shared" si="79"/>
        <v>1.8808909928568408E-2</v>
      </c>
      <c r="H31" s="7">
        <f t="shared" si="79"/>
        <v>1.6341534430048044E-2</v>
      </c>
      <c r="I31" s="7">
        <f t="shared" si="80"/>
        <v>1.9208654542356998E-2</v>
      </c>
      <c r="J31" s="9">
        <f>AVERAGE(C31:I31)</f>
        <v>1.7746652922041122E-2</v>
      </c>
      <c r="K31" s="7"/>
      <c r="M31" s="7">
        <f t="shared" ref="M31:O31" si="85">M19/M$15</f>
        <v>2.2348001291969791E-2</v>
      </c>
      <c r="N31" s="7">
        <f t="shared" si="85"/>
        <v>2.0460805316311809E-2</v>
      </c>
      <c r="O31" s="7">
        <f t="shared" si="85"/>
        <v>2.0712673014626485E-2</v>
      </c>
      <c r="P31" s="7">
        <f>P19/P$15</f>
        <v>1.7491822365138326E-2</v>
      </c>
      <c r="Q31" s="7">
        <f t="shared" ref="Q31:R31" si="86">Q19/Q$15</f>
        <v>1.561436208801634E-2</v>
      </c>
      <c r="R31" s="7">
        <f t="shared" si="86"/>
        <v>1.7267532467532466E-2</v>
      </c>
      <c r="S31" s="7">
        <f t="shared" ref="S31:T31" si="87">S19/S$15</f>
        <v>1.8557770299312274E-2</v>
      </c>
      <c r="T31" s="7" t="e">
        <f t="shared" si="87"/>
        <v>#DIV/0!</v>
      </c>
      <c r="U31" s="7" t="e">
        <f t="shared" ref="U31:AB31" si="88">U19/U$15</f>
        <v>#DIV/0!</v>
      </c>
      <c r="V31" s="7" t="e">
        <f t="shared" si="88"/>
        <v>#DIV/0!</v>
      </c>
      <c r="W31" s="7" t="e">
        <f t="shared" si="88"/>
        <v>#DIV/0!</v>
      </c>
      <c r="X31" s="7" t="e">
        <f t="shared" si="88"/>
        <v>#DIV/0!</v>
      </c>
      <c r="Y31" s="7" t="e">
        <f t="shared" si="88"/>
        <v>#DIV/0!</v>
      </c>
      <c r="Z31" s="7" t="e">
        <f t="shared" si="88"/>
        <v>#DIV/0!</v>
      </c>
      <c r="AA31" s="7" t="e">
        <f t="shared" si="88"/>
        <v>#DIV/0!</v>
      </c>
      <c r="AB31" s="7" t="e">
        <f t="shared" si="88"/>
        <v>#DIV/0!</v>
      </c>
    </row>
    <row r="32" spans="2:28" s="3" customFormat="1" x14ac:dyDescent="0.2">
      <c r="B32" s="3" t="s">
        <v>18</v>
      </c>
      <c r="C32" s="8">
        <f t="shared" si="79"/>
        <v>0.13287200065514701</v>
      </c>
      <c r="D32" s="8">
        <f t="shared" si="79"/>
        <v>0.15270221254987304</v>
      </c>
      <c r="E32" s="8">
        <f t="shared" si="79"/>
        <v>0.1216947377607121</v>
      </c>
      <c r="F32" s="8">
        <f t="shared" si="79"/>
        <v>8.6644798500468606E-2</v>
      </c>
      <c r="G32" s="8">
        <f t="shared" si="79"/>
        <v>0.13956633839130986</v>
      </c>
      <c r="H32" s="8">
        <f t="shared" si="79"/>
        <v>0.15391614499927209</v>
      </c>
      <c r="I32" s="8">
        <f t="shared" si="80"/>
        <v>3.9354316623365561E-2</v>
      </c>
      <c r="J32" s="8">
        <f t="shared" si="80"/>
        <v>0.13541092341971459</v>
      </c>
      <c r="K32" s="8"/>
      <c r="M32" s="8">
        <f t="shared" ref="M32:O32" si="89">M20/M$15</f>
        <v>8.9914945321992706E-2</v>
      </c>
      <c r="N32" s="8">
        <f t="shared" si="89"/>
        <v>9.5979247730220499E-2</v>
      </c>
      <c r="O32" s="8">
        <f t="shared" si="89"/>
        <v>5.6346323745950722E-2</v>
      </c>
      <c r="P32" s="8">
        <f>P20/P$15</f>
        <v>8.7514553417974164E-2</v>
      </c>
      <c r="Q32" s="8">
        <f t="shared" ref="Q32:R32" si="90">Q20/Q$15</f>
        <v>0.10767101577061731</v>
      </c>
      <c r="R32" s="8">
        <f t="shared" si="90"/>
        <v>0.12564155844155844</v>
      </c>
      <c r="S32" s="8">
        <f t="shared" ref="S32:T32" si="91">S20/S$15</f>
        <v>0.11844647361895264</v>
      </c>
      <c r="T32" s="8" t="e">
        <f t="shared" si="91"/>
        <v>#DIV/0!</v>
      </c>
      <c r="U32" s="8" t="e">
        <f t="shared" ref="U32:AB32" si="92">U20/U$15</f>
        <v>#DIV/0!</v>
      </c>
      <c r="V32" s="8" t="e">
        <f t="shared" si="92"/>
        <v>#DIV/0!</v>
      </c>
      <c r="W32" s="8" t="e">
        <f t="shared" si="92"/>
        <v>#DIV/0!</v>
      </c>
      <c r="X32" s="8" t="e">
        <f t="shared" si="92"/>
        <v>#DIV/0!</v>
      </c>
      <c r="Y32" s="8" t="e">
        <f t="shared" si="92"/>
        <v>#DIV/0!</v>
      </c>
      <c r="Z32" s="8" t="e">
        <f t="shared" si="92"/>
        <v>#DIV/0!</v>
      </c>
      <c r="AA32" s="8" t="e">
        <f t="shared" si="92"/>
        <v>#DIV/0!</v>
      </c>
      <c r="AB32" s="8" t="e">
        <f t="shared" si="92"/>
        <v>#DIV/0!</v>
      </c>
    </row>
    <row r="33" spans="2:28" x14ac:dyDescent="0.2">
      <c r="B33" t="s">
        <v>8</v>
      </c>
      <c r="C33" s="9">
        <f t="shared" ref="C33:H33" si="93">C23/C22</f>
        <v>0.23500329597890574</v>
      </c>
      <c r="D33" s="9">
        <f t="shared" si="93"/>
        <v>0.2443665498247371</v>
      </c>
      <c r="E33" s="9">
        <f t="shared" si="93"/>
        <v>0.26110678098207324</v>
      </c>
      <c r="F33" s="9">
        <f t="shared" si="93"/>
        <v>0.25216852540272616</v>
      </c>
      <c r="G33" s="9">
        <f t="shared" si="93"/>
        <v>0.23733246158875448</v>
      </c>
      <c r="H33" s="9">
        <f t="shared" si="93"/>
        <v>0.24539722572509456</v>
      </c>
      <c r="I33" s="9">
        <f t="shared" ref="I33" si="94">I23/I22</f>
        <v>0.75516693163751991</v>
      </c>
      <c r="J33" s="132">
        <f>AVERAGE(C33:H33)</f>
        <v>0.24589580658371521</v>
      </c>
      <c r="K33" s="9"/>
      <c r="M33" s="9">
        <f t="shared" ref="M33:O33" si="95">M23/M22</f>
        <v>0.4053066717938858</v>
      </c>
      <c r="N33" s="9">
        <f t="shared" si="95"/>
        <v>0.34302032588610787</v>
      </c>
      <c r="O33" s="9">
        <f t="shared" si="95"/>
        <v>0.31820860341779611</v>
      </c>
      <c r="P33" s="9">
        <f>P23/P22</f>
        <v>0.23866263560377024</v>
      </c>
      <c r="Q33" s="9">
        <f t="shared" ref="Q33:R33" si="96">Q23/Q22</f>
        <v>0.21638822593476531</v>
      </c>
      <c r="R33" s="9">
        <f t="shared" si="96"/>
        <v>0.2467880085653105</v>
      </c>
      <c r="S33" s="9">
        <f t="shared" ref="S33:T33" si="97">S23/S22</f>
        <v>0.2739927914048737</v>
      </c>
      <c r="T33" s="9" t="e">
        <f t="shared" si="97"/>
        <v>#DIV/0!</v>
      </c>
      <c r="U33" s="9" t="e">
        <f t="shared" ref="U33:AB33" si="98">U23/U22</f>
        <v>#DIV/0!</v>
      </c>
      <c r="V33" s="9" t="e">
        <f t="shared" si="98"/>
        <v>#DIV/0!</v>
      </c>
      <c r="W33" s="9" t="e">
        <f t="shared" si="98"/>
        <v>#DIV/0!</v>
      </c>
      <c r="X33" s="9" t="e">
        <f t="shared" si="98"/>
        <v>#DIV/0!</v>
      </c>
      <c r="Y33" s="9" t="e">
        <f t="shared" si="98"/>
        <v>#DIV/0!</v>
      </c>
      <c r="Z33" s="9" t="e">
        <f t="shared" si="98"/>
        <v>#DIV/0!</v>
      </c>
      <c r="AA33" s="9" t="e">
        <f t="shared" si="98"/>
        <v>#DIV/0!</v>
      </c>
      <c r="AB33" s="9" t="e">
        <f t="shared" si="98"/>
        <v>#DIV/0!</v>
      </c>
    </row>
    <row r="34" spans="2:28" x14ac:dyDescent="0.2">
      <c r="B34" t="s">
        <v>19</v>
      </c>
      <c r="C34" s="9">
        <f t="shared" ref="C34:H34" si="99">C24/C15</f>
        <v>9.5037261485545824E-2</v>
      </c>
      <c r="D34" s="9">
        <f t="shared" si="99"/>
        <v>0.10946681175190424</v>
      </c>
      <c r="E34" s="9">
        <f t="shared" si="99"/>
        <v>8.2729732088314856E-2</v>
      </c>
      <c r="F34" s="9">
        <f t="shared" si="99"/>
        <v>5.6560449859418931E-2</v>
      </c>
      <c r="G34" s="9">
        <f t="shared" si="99"/>
        <v>9.860940868168562E-2</v>
      </c>
      <c r="H34" s="9">
        <f t="shared" si="99"/>
        <v>0.10889503566749163</v>
      </c>
      <c r="I34" s="9">
        <f t="shared" ref="I34:J34" si="100">I24/I15</f>
        <v>6.5590527705609268E-3</v>
      </c>
      <c r="J34" s="9">
        <f t="shared" si="100"/>
        <v>9.1752975515788621E-2</v>
      </c>
      <c r="K34" s="9"/>
      <c r="M34" s="9">
        <f t="shared" ref="M34:O34" si="101">M24/M15</f>
        <v>4.7572173431564051E-2</v>
      </c>
      <c r="N34" s="9">
        <f t="shared" si="101"/>
        <v>5.6995875777845789E-2</v>
      </c>
      <c r="O34" s="9">
        <f t="shared" si="101"/>
        <v>3.2450321838758081E-2</v>
      </c>
      <c r="P34" s="9">
        <f>P24/P15</f>
        <v>5.9336364140378114E-2</v>
      </c>
      <c r="Q34" s="9">
        <f t="shared" ref="Q34:R34" si="102">Q24/Q15</f>
        <v>7.6955701641796048E-2</v>
      </c>
      <c r="R34" s="9">
        <f t="shared" si="102"/>
        <v>8.7709090909090903E-2</v>
      </c>
      <c r="S34" s="9">
        <f t="shared" ref="S34:T34" si="103">S24/S15</f>
        <v>7.7685247741729857E-2</v>
      </c>
      <c r="T34" s="9" t="e">
        <f t="shared" si="103"/>
        <v>#DIV/0!</v>
      </c>
      <c r="U34" s="9" t="e">
        <f t="shared" ref="U34:AB34" si="104">U24/U15</f>
        <v>#DIV/0!</v>
      </c>
      <c r="V34" s="9" t="e">
        <f t="shared" si="104"/>
        <v>#DIV/0!</v>
      </c>
      <c r="W34" s="9" t="e">
        <f t="shared" si="104"/>
        <v>#DIV/0!</v>
      </c>
      <c r="X34" s="9" t="e">
        <f t="shared" si="104"/>
        <v>#DIV/0!</v>
      </c>
      <c r="Y34" s="9" t="e">
        <f t="shared" si="104"/>
        <v>#DIV/0!</v>
      </c>
      <c r="Z34" s="9" t="e">
        <f t="shared" si="104"/>
        <v>#DIV/0!</v>
      </c>
      <c r="AA34" s="9" t="e">
        <f t="shared" si="104"/>
        <v>#DIV/0!</v>
      </c>
      <c r="AB34" s="9" t="e">
        <f t="shared" si="104"/>
        <v>#DIV/0!</v>
      </c>
    </row>
    <row r="35" spans="2:28" x14ac:dyDescent="0.2">
      <c r="B35" t="s">
        <v>20</v>
      </c>
      <c r="D35" s="7">
        <f>D26/C26-1</f>
        <v>-1.8105849582172651E-2</v>
      </c>
      <c r="E35" s="7">
        <f t="shared" ref="E35:I35" si="105">E26/D26-1</f>
        <v>-2.1276595744680882E-2</v>
      </c>
      <c r="F35" s="7">
        <f t="shared" si="105"/>
        <v>8.6956521739129933E-3</v>
      </c>
      <c r="G35" s="7">
        <f t="shared" si="105"/>
        <v>-5.1724137931034475E-2</v>
      </c>
      <c r="H35" s="7">
        <f t="shared" si="105"/>
        <v>-3.3333333333333326E-2</v>
      </c>
      <c r="I35" s="7">
        <f t="shared" si="105"/>
        <v>-3.1347962382445194E-2</v>
      </c>
      <c r="J35" s="132">
        <v>-0.01</v>
      </c>
      <c r="K35" s="9"/>
      <c r="N35" s="9">
        <f t="shared" ref="N35:P35" si="106">N26/M26-1</f>
        <v>-4.6590909090909127E-2</v>
      </c>
      <c r="O35" s="9">
        <f t="shared" si="106"/>
        <v>8.5816448152562508E-2</v>
      </c>
      <c r="P35" s="9">
        <f t="shared" si="106"/>
        <v>-0.14709110867178921</v>
      </c>
      <c r="Q35" s="9">
        <f>Q26/P26-1</f>
        <v>-3.7323037323037322E-2</v>
      </c>
      <c r="R35" s="9">
        <f>R26/Q26-1</f>
        <v>-6.9518716577540052E-2</v>
      </c>
      <c r="S35" s="9">
        <f>S26/R26-1</f>
        <v>-9.2018678160919465E-2</v>
      </c>
      <c r="T35" s="9">
        <f t="shared" ref="T35:AB35" si="107">T26/S26-1</f>
        <v>-1</v>
      </c>
      <c r="U35" s="9" t="e">
        <f t="shared" si="107"/>
        <v>#DIV/0!</v>
      </c>
      <c r="V35" s="9" t="e">
        <f t="shared" si="107"/>
        <v>#DIV/0!</v>
      </c>
      <c r="W35" s="9" t="e">
        <f t="shared" si="107"/>
        <v>#DIV/0!</v>
      </c>
      <c r="X35" s="9" t="e">
        <f t="shared" si="107"/>
        <v>#DIV/0!</v>
      </c>
      <c r="Y35" s="9" t="e">
        <f t="shared" si="107"/>
        <v>#DIV/0!</v>
      </c>
      <c r="Z35" s="9" t="e">
        <f t="shared" si="107"/>
        <v>#DIV/0!</v>
      </c>
      <c r="AA35" s="9" t="e">
        <f t="shared" si="107"/>
        <v>#DIV/0!</v>
      </c>
      <c r="AB35" s="9" t="e">
        <f t="shared" si="107"/>
        <v>#DIV/0!</v>
      </c>
    </row>
    <row r="36" spans="2:28" x14ac:dyDescent="0.2">
      <c r="G36" s="9"/>
      <c r="H36" s="9"/>
      <c r="I36" s="9"/>
      <c r="J36" s="9"/>
      <c r="K36" s="9"/>
      <c r="N36" s="9"/>
      <c r="O36" s="9"/>
      <c r="P36" s="9"/>
      <c r="Q36" s="9"/>
      <c r="R36" s="9"/>
      <c r="S36" s="2"/>
      <c r="T36" s="2"/>
      <c r="U36" s="3"/>
      <c r="V36" s="2"/>
    </row>
    <row r="37" spans="2:28" s="3" customFormat="1" x14ac:dyDescent="0.2">
      <c r="B37" s="3" t="s">
        <v>66</v>
      </c>
      <c r="G37" s="4"/>
      <c r="H37" s="4"/>
      <c r="I37" s="4"/>
      <c r="J37" s="4"/>
      <c r="K37" s="4"/>
      <c r="M37" s="4">
        <f>M20-M23</f>
        <v>3738</v>
      </c>
      <c r="N37" s="4">
        <f t="shared" ref="N37:S37" si="108">N20-N23</f>
        <v>4544</v>
      </c>
      <c r="O37" s="4">
        <f t="shared" si="108"/>
        <v>2938</v>
      </c>
      <c r="P37" s="4">
        <f t="shared" si="108"/>
        <v>4972</v>
      </c>
      <c r="Q37" s="4">
        <f t="shared" si="108"/>
        <v>7743</v>
      </c>
      <c r="R37" s="4">
        <f t="shared" si="108"/>
        <v>9327</v>
      </c>
      <c r="S37" s="4">
        <f t="shared" si="108"/>
        <v>8661.2023844140749</v>
      </c>
      <c r="T37" s="4"/>
      <c r="U37" s="4"/>
    </row>
    <row r="38" spans="2:28" x14ac:dyDescent="0.2">
      <c r="B38" t="s">
        <v>4</v>
      </c>
      <c r="G38" s="2"/>
      <c r="H38" s="2"/>
      <c r="I38" s="2"/>
      <c r="J38" s="2"/>
      <c r="K38" s="2"/>
      <c r="M38" s="2">
        <f>M19</f>
        <v>1453</v>
      </c>
      <c r="N38" s="2">
        <f t="shared" ref="N38:R38" si="109">N19</f>
        <v>1404</v>
      </c>
      <c r="O38" s="2">
        <f t="shared" si="109"/>
        <v>1477</v>
      </c>
      <c r="P38" s="2">
        <f t="shared" si="109"/>
        <v>1262</v>
      </c>
      <c r="Q38" s="2">
        <f t="shared" si="109"/>
        <v>1399</v>
      </c>
      <c r="R38" s="2">
        <f t="shared" si="109"/>
        <v>1662</v>
      </c>
      <c r="S38" s="2">
        <f>S19</f>
        <v>1803.3843987823439</v>
      </c>
      <c r="T38" s="2"/>
      <c r="U38" s="2"/>
      <c r="X38" s="2"/>
    </row>
    <row r="39" spans="2:28" x14ac:dyDescent="0.2">
      <c r="B39" t="s">
        <v>68</v>
      </c>
      <c r="G39" s="2"/>
      <c r="H39" s="2"/>
      <c r="I39" s="2"/>
      <c r="J39" s="2"/>
      <c r="K39" s="2"/>
      <c r="M39" s="133">
        <v>1167</v>
      </c>
      <c r="N39" s="133">
        <v>1123</v>
      </c>
      <c r="O39" s="133">
        <v>1174</v>
      </c>
      <c r="P39" s="2">
        <v>1484</v>
      </c>
      <c r="Q39" s="2">
        <v>1791</v>
      </c>
      <c r="R39" s="2">
        <v>1853</v>
      </c>
      <c r="S39" s="2">
        <f>S51*S3</f>
        <v>1906.6533282597668</v>
      </c>
      <c r="T39" s="2"/>
      <c r="U39" s="2"/>
      <c r="V39" s="2"/>
    </row>
    <row r="40" spans="2:28" x14ac:dyDescent="0.2">
      <c r="B40" t="s">
        <v>69</v>
      </c>
      <c r="G40" s="9"/>
      <c r="H40" s="9"/>
      <c r="I40" s="9"/>
      <c r="J40" s="9"/>
      <c r="K40" s="9"/>
      <c r="M40" s="2">
        <v>212</v>
      </c>
      <c r="N40" s="160">
        <v>744</v>
      </c>
      <c r="O40" s="160">
        <v>-583</v>
      </c>
      <c r="P40" s="160">
        <v>1465</v>
      </c>
      <c r="Q40" s="160">
        <v>-2246</v>
      </c>
      <c r="R40" s="160">
        <v>373</v>
      </c>
      <c r="S40" s="2">
        <v>1183</v>
      </c>
      <c r="T40" s="2"/>
      <c r="U40" s="2"/>
      <c r="V40" s="2"/>
    </row>
    <row r="41" spans="2:28" s="3" customFormat="1" x14ac:dyDescent="0.2">
      <c r="B41" s="3" t="s">
        <v>121</v>
      </c>
      <c r="G41" s="8"/>
      <c r="H41" s="8"/>
      <c r="I41" s="8"/>
      <c r="J41" s="8"/>
      <c r="K41" s="8"/>
      <c r="M41" s="4">
        <f>M37+M38-M39-M40</f>
        <v>3812</v>
      </c>
      <c r="N41" s="4">
        <f t="shared" ref="N41:S41" si="110">N37+N38-N39-N40</f>
        <v>4081</v>
      </c>
      <c r="O41" s="4">
        <f t="shared" si="110"/>
        <v>3824</v>
      </c>
      <c r="P41" s="4">
        <f t="shared" si="110"/>
        <v>3285</v>
      </c>
      <c r="Q41" s="4">
        <f t="shared" si="110"/>
        <v>9597</v>
      </c>
      <c r="R41" s="4">
        <f t="shared" si="110"/>
        <v>8763</v>
      </c>
      <c r="S41" s="4">
        <f t="shared" si="110"/>
        <v>7374.9334549366522</v>
      </c>
      <c r="T41" s="4"/>
      <c r="U41" s="4"/>
      <c r="V41" s="4"/>
    </row>
    <row r="42" spans="2:28" x14ac:dyDescent="0.2">
      <c r="G42" s="2"/>
      <c r="H42" s="2"/>
      <c r="I42" s="2"/>
      <c r="J42" s="2"/>
      <c r="K42" s="2"/>
      <c r="P42" s="2"/>
      <c r="Q42" s="2"/>
      <c r="R42" s="2"/>
      <c r="S42" s="2"/>
      <c r="T42" s="2"/>
      <c r="U42" s="2"/>
      <c r="V42" s="2"/>
    </row>
    <row r="43" spans="2:28" x14ac:dyDescent="0.2">
      <c r="B43" t="s">
        <v>119</v>
      </c>
      <c r="C43" s="153">
        <f t="shared" ref="C43" si="111">C15/C3</f>
        <v>12.384381338742394</v>
      </c>
      <c r="D43" s="153">
        <f t="shared" ref="D43:I43" si="112">D15/D3</f>
        <v>13.97364419665484</v>
      </c>
      <c r="E43" s="153">
        <f t="shared" si="112"/>
        <v>11.615813482007097</v>
      </c>
      <c r="F43" s="153">
        <f t="shared" si="112"/>
        <v>10.826991374936581</v>
      </c>
      <c r="G43" s="153">
        <f t="shared" si="112"/>
        <v>12.003551496702181</v>
      </c>
      <c r="H43" s="153">
        <f t="shared" si="112"/>
        <v>13.954291518537328</v>
      </c>
      <c r="I43" s="153">
        <f t="shared" si="112"/>
        <v>11.924327069578466</v>
      </c>
      <c r="J43" s="153">
        <f t="shared" ref="J43" si="113">J15/J3</f>
        <v>11.459005586592179</v>
      </c>
      <c r="K43" s="153"/>
      <c r="M43" s="153">
        <f>M15/M3</f>
        <v>30.538750587130107</v>
      </c>
      <c r="N43" s="153">
        <f t="shared" ref="N43:R43" si="114">N15/N3</f>
        <v>31.886152416356879</v>
      </c>
      <c r="O43" s="153">
        <f t="shared" si="114"/>
        <v>35.389081885856079</v>
      </c>
      <c r="P43" s="153">
        <f t="shared" si="114"/>
        <v>36.493677288821445</v>
      </c>
      <c r="Q43" s="153">
        <f t="shared" si="114"/>
        <v>45.388551165146907</v>
      </c>
      <c r="R43" s="153">
        <f t="shared" si="114"/>
        <v>48.833079654997462</v>
      </c>
      <c r="S43" s="153">
        <f t="shared" ref="S43" si="115">S15/S3</f>
        <v>49.353368207211787</v>
      </c>
      <c r="T43" s="2"/>
      <c r="U43" s="2"/>
      <c r="V43" s="2"/>
    </row>
    <row r="44" spans="2:28" x14ac:dyDescent="0.2">
      <c r="B44" s="12" t="s">
        <v>25</v>
      </c>
      <c r="C44" s="14"/>
      <c r="D44" s="14"/>
      <c r="E44" s="14"/>
      <c r="F44" s="14"/>
      <c r="G44" s="14">
        <f>G43/C43-1</f>
        <v>-3.0750816825128924E-2</v>
      </c>
      <c r="H44" s="14">
        <f t="shared" ref="H44" si="116">H43/D43-1</f>
        <v>-1.3849413828745938E-3</v>
      </c>
      <c r="I44" s="14">
        <f t="shared" ref="I44:J44" si="117">I43/E43-1</f>
        <v>2.6559791791531229E-2</v>
      </c>
      <c r="J44" s="14">
        <f t="shared" si="117"/>
        <v>5.8373946165566126E-2</v>
      </c>
      <c r="K44" s="14"/>
      <c r="L44" s="12"/>
      <c r="N44" s="14">
        <f>N43/M43-1</f>
        <v>4.4121052869615651E-2</v>
      </c>
      <c r="O44" s="14">
        <f t="shared" ref="O44:S44" si="118">O43/N43-1</f>
        <v>0.1098573896204007</v>
      </c>
      <c r="P44" s="14">
        <f t="shared" si="118"/>
        <v>3.1212886689971908E-2</v>
      </c>
      <c r="Q44" s="14">
        <f t="shared" si="118"/>
        <v>0.24373739609546274</v>
      </c>
      <c r="R44" s="14">
        <f t="shared" si="118"/>
        <v>7.588980924545452E-2</v>
      </c>
      <c r="S44" s="14">
        <f t="shared" si="118"/>
        <v>1.0654428430279861E-2</v>
      </c>
      <c r="T44" s="2"/>
      <c r="U44" s="2"/>
      <c r="V44" s="2"/>
    </row>
    <row r="45" spans="2:28" x14ac:dyDescent="0.2">
      <c r="B45" t="s">
        <v>15</v>
      </c>
      <c r="C45" s="5">
        <f t="shared" ref="C45" si="119">C16/C3</f>
        <v>8.2616632860040564</v>
      </c>
      <c r="D45" s="5">
        <f t="shared" ref="D45:H45" si="120">D16/D3</f>
        <v>9.2539280283831733</v>
      </c>
      <c r="E45" s="5">
        <f t="shared" si="120"/>
        <v>7.7704004054738975</v>
      </c>
      <c r="F45" s="5">
        <f t="shared" si="120"/>
        <v>7.2617960426179602</v>
      </c>
      <c r="G45" s="5">
        <f t="shared" si="120"/>
        <v>7.9193302891933026</v>
      </c>
      <c r="H45" s="5">
        <f t="shared" si="120"/>
        <v>9.3158963941086839</v>
      </c>
      <c r="I45" s="5">
        <f>I16/I3</f>
        <v>7.9537836465210763</v>
      </c>
      <c r="J45" s="5">
        <f>F45*(1+J46)</f>
        <v>7.5522678843226787</v>
      </c>
      <c r="K45" s="5"/>
      <c r="M45" s="5">
        <f t="shared" ref="M45:O45" si="121">M16/M3</f>
        <v>20.358384217942696</v>
      </c>
      <c r="N45" s="5">
        <f t="shared" si="121"/>
        <v>21.4614312267658</v>
      </c>
      <c r="O45" s="5">
        <f t="shared" si="121"/>
        <v>24.020347394540941</v>
      </c>
      <c r="P45" s="5">
        <f>P16/P3</f>
        <v>24.888720283257459</v>
      </c>
      <c r="Q45" s="5">
        <f t="shared" ref="Q45:R45" si="122">Q16/Q3</f>
        <v>30.407801418439718</v>
      </c>
      <c r="R45" s="5">
        <f t="shared" si="122"/>
        <v>32.569254185692543</v>
      </c>
      <c r="S45" s="5">
        <f t="shared" ref="S45" si="123">S16/S3</f>
        <v>32.749322226628422</v>
      </c>
      <c r="T45" s="2"/>
      <c r="U45" s="2"/>
      <c r="V45" s="2"/>
    </row>
    <row r="46" spans="2:28" s="12" customFormat="1" x14ac:dyDescent="0.2">
      <c r="B46" s="12" t="s">
        <v>25</v>
      </c>
      <c r="C46" s="14"/>
      <c r="D46" s="14"/>
      <c r="E46" s="14"/>
      <c r="F46" s="14"/>
      <c r="G46" s="14">
        <f>G45/C45-1</f>
        <v>-4.1436328855315896E-2</v>
      </c>
      <c r="H46" s="14">
        <f t="shared" ref="H46" si="124">H45/D45-1</f>
        <v>6.6964391267625434E-3</v>
      </c>
      <c r="I46" s="14">
        <f t="shared" ref="I46" si="125">I45/E45-1</f>
        <v>2.360023055156768E-2</v>
      </c>
      <c r="J46" s="158">
        <v>0.04</v>
      </c>
      <c r="K46" s="14"/>
      <c r="M46" s="152"/>
      <c r="N46" s="14">
        <f>N45/M45-1</f>
        <v>5.4181461407479592E-2</v>
      </c>
      <c r="O46" s="14">
        <f t="shared" ref="O46:S46" si="126">O45/N45-1</f>
        <v>0.11923324873989616</v>
      </c>
      <c r="P46" s="14">
        <f t="shared" si="126"/>
        <v>3.6151554115902318E-2</v>
      </c>
      <c r="Q46" s="14">
        <f t="shared" si="126"/>
        <v>0.22175029782045175</v>
      </c>
      <c r="R46" s="14">
        <f t="shared" si="126"/>
        <v>7.1082178468256263E-2</v>
      </c>
      <c r="S46" s="14">
        <f t="shared" si="126"/>
        <v>5.5287738524569807E-3</v>
      </c>
      <c r="T46" s="13"/>
      <c r="U46" s="13"/>
      <c r="V46" s="13"/>
    </row>
    <row r="47" spans="2:28" x14ac:dyDescent="0.2">
      <c r="B47" t="s">
        <v>14</v>
      </c>
      <c r="C47" s="5">
        <f t="shared" ref="C47" si="127">C18/C3</f>
        <v>2.2789046653144016</v>
      </c>
      <c r="D47" s="5">
        <f t="shared" ref="D47:I47" si="128">D18/D3</f>
        <v>2.3786112519006588</v>
      </c>
      <c r="E47" s="5">
        <f t="shared" si="128"/>
        <v>2.2164216928535225</v>
      </c>
      <c r="F47" s="5">
        <f t="shared" si="128"/>
        <v>2.4053779807204463</v>
      </c>
      <c r="G47" s="5">
        <f t="shared" si="128"/>
        <v>2.1831557584982244</v>
      </c>
      <c r="H47" s="5">
        <f t="shared" si="128"/>
        <v>2.2625698324022347</v>
      </c>
      <c r="I47" s="5">
        <f t="shared" si="128"/>
        <v>3.272219400711021</v>
      </c>
      <c r="J47" s="5">
        <f t="shared" ref="J47" si="129">J18/J3</f>
        <v>2.1222625654893781</v>
      </c>
      <c r="K47" s="5"/>
      <c r="M47" s="5">
        <f t="shared" ref="M47:O47" si="130">M18/M3</f>
        <v>6.7519962423673086</v>
      </c>
      <c r="N47" s="5">
        <f t="shared" si="130"/>
        <v>6.7118959107806688</v>
      </c>
      <c r="O47" s="5">
        <f t="shared" si="130"/>
        <v>8.6416873449131515</v>
      </c>
      <c r="P47" s="5">
        <f>P18/P3</f>
        <v>7.7728882144663629</v>
      </c>
      <c r="Q47" s="5">
        <f t="shared" ref="Q47:R47" si="131">Q18/Q3</f>
        <v>9.385005065856129</v>
      </c>
      <c r="R47" s="5">
        <f t="shared" si="131"/>
        <v>9.2851344495180115</v>
      </c>
      <c r="S47" s="5">
        <f t="shared" ref="S47" si="132">S18/S3</f>
        <v>9.8424250845345789</v>
      </c>
      <c r="T47" s="2"/>
      <c r="U47" s="2"/>
      <c r="V47" s="2"/>
    </row>
    <row r="48" spans="2:28" s="12" customFormat="1" x14ac:dyDescent="0.2">
      <c r="B48" s="12" t="s">
        <v>25</v>
      </c>
      <c r="C48" s="14"/>
      <c r="D48" s="14"/>
      <c r="E48" s="14"/>
      <c r="F48" s="14"/>
      <c r="G48" s="14">
        <f>G47/C47-1</f>
        <v>-4.2015319145861429E-2</v>
      </c>
      <c r="H48" s="14">
        <f t="shared" ref="H48" si="133">H47/D47-1</f>
        <v>-4.8785365580735318E-2</v>
      </c>
      <c r="I48" s="14">
        <f t="shared" ref="I48:J48" si="134">I47/E47-1</f>
        <v>0.47635236167455863</v>
      </c>
      <c r="J48" s="14">
        <f t="shared" si="134"/>
        <v>-0.1177010089475713</v>
      </c>
      <c r="K48" s="14"/>
      <c r="M48" s="152"/>
      <c r="N48" s="14">
        <f>N47/M47-1</f>
        <v>-5.9390334572491099E-3</v>
      </c>
      <c r="O48" s="14">
        <f t="shared" ref="O48:S48" si="135">O47/N47-1</f>
        <v>0.28751808129694711</v>
      </c>
      <c r="P48" s="14">
        <f t="shared" si="135"/>
        <v>-0.1005358208149244</v>
      </c>
      <c r="Q48" s="14">
        <f t="shared" si="135"/>
        <v>0.20740255190977863</v>
      </c>
      <c r="R48" s="14">
        <f t="shared" si="135"/>
        <v>-1.0641509049521991E-2</v>
      </c>
      <c r="S48" s="14">
        <f t="shared" si="135"/>
        <v>6.0019662401926466E-2</v>
      </c>
      <c r="T48" s="13"/>
      <c r="U48" s="13"/>
      <c r="V48" s="13"/>
    </row>
    <row r="49" spans="2:22" x14ac:dyDescent="0.2">
      <c r="B49" t="s">
        <v>13</v>
      </c>
      <c r="C49" s="5">
        <f t="shared" ref="C49" si="136">C19/C3</f>
        <v>0.19827586206896552</v>
      </c>
      <c r="D49" s="5">
        <f t="shared" ref="D49:I49" si="137">D19/D3</f>
        <v>0.20729853015712113</v>
      </c>
      <c r="E49" s="5">
        <f t="shared" si="137"/>
        <v>0.21540800810947794</v>
      </c>
      <c r="F49" s="5">
        <f t="shared" si="137"/>
        <v>0.22171486555048198</v>
      </c>
      <c r="G49" s="5">
        <f t="shared" si="137"/>
        <v>0.22577371892440384</v>
      </c>
      <c r="H49" s="5">
        <f t="shared" si="137"/>
        <v>0.22803453529710513</v>
      </c>
      <c r="I49" s="5">
        <f t="shared" si="137"/>
        <v>0.22905027932960895</v>
      </c>
      <c r="J49" s="159">
        <f>F49*(1+J50)</f>
        <v>0.23280060882800607</v>
      </c>
      <c r="K49" s="5"/>
      <c r="M49" s="5">
        <f t="shared" ref="M49:O49" si="138">M19/M3</f>
        <v>0.68248003757632691</v>
      </c>
      <c r="N49" s="5">
        <f t="shared" si="138"/>
        <v>0.65241635687732347</v>
      </c>
      <c r="O49" s="5">
        <f t="shared" si="138"/>
        <v>0.73300248138957813</v>
      </c>
      <c r="P49" s="5">
        <f>P19/P3</f>
        <v>0.63834092058674763</v>
      </c>
      <c r="Q49" s="5">
        <f t="shared" ref="Q49:R49" si="139">Q19/Q3</f>
        <v>0.70871327254305982</v>
      </c>
      <c r="R49" s="5">
        <f t="shared" si="139"/>
        <v>0.84322678843226784</v>
      </c>
      <c r="S49" s="5">
        <f t="shared" ref="S49" si="140">S19/S3</f>
        <v>0.91588847068681756</v>
      </c>
      <c r="T49" s="2"/>
      <c r="U49" s="2"/>
      <c r="V49" s="2"/>
    </row>
    <row r="50" spans="2:22" x14ac:dyDescent="0.2">
      <c r="B50" s="12" t="s">
        <v>25</v>
      </c>
      <c r="C50" s="14"/>
      <c r="D50" s="14"/>
      <c r="E50" s="14"/>
      <c r="F50" s="14"/>
      <c r="G50" s="14">
        <f>G49/C49-1</f>
        <v>0.13868484327090624</v>
      </c>
      <c r="H50" s="14">
        <f t="shared" ref="H50" si="141">H49/D49-1</f>
        <v>0.10002967760681769</v>
      </c>
      <c r="I50" s="14">
        <f t="shared" ref="I50" si="142">I49/E49-1</f>
        <v>6.3332237923102275E-2</v>
      </c>
      <c r="J50" s="158">
        <v>0.05</v>
      </c>
      <c r="K50" s="14"/>
      <c r="L50" s="12"/>
      <c r="N50" s="14">
        <f>N49/M49-1</f>
        <v>-4.405063744540838E-2</v>
      </c>
      <c r="O50" s="14">
        <f t="shared" ref="O50:S50" si="143">O49/N49-1</f>
        <v>0.12351947289912535</v>
      </c>
      <c r="P50" s="14">
        <f t="shared" si="143"/>
        <v>-0.12914221057393604</v>
      </c>
      <c r="Q50" s="14">
        <f t="shared" si="143"/>
        <v>0.11024258305675838</v>
      </c>
      <c r="R50" s="14">
        <f t="shared" si="143"/>
        <v>0.18979962856704535</v>
      </c>
      <c r="S50" s="14">
        <f t="shared" si="143"/>
        <v>8.6170984189962496E-2</v>
      </c>
      <c r="T50" s="2"/>
      <c r="U50" s="2"/>
      <c r="V50" s="2"/>
    </row>
    <row r="51" spans="2:22" x14ac:dyDescent="0.2">
      <c r="B51" t="s">
        <v>120</v>
      </c>
      <c r="C51" s="154"/>
      <c r="D51" s="154"/>
      <c r="E51" s="154"/>
      <c r="F51" s="154"/>
      <c r="G51" s="154"/>
      <c r="H51" s="154"/>
      <c r="I51" s="154"/>
      <c r="J51" s="154"/>
      <c r="K51" s="154"/>
      <c r="M51" s="154">
        <f t="shared" ref="M51:R51" si="144">M39/M3</f>
        <v>0.54814466885861912</v>
      </c>
      <c r="N51" s="154">
        <f t="shared" si="144"/>
        <v>0.52184014869888473</v>
      </c>
      <c r="O51" s="154">
        <f t="shared" si="144"/>
        <v>0.58263027295285363</v>
      </c>
      <c r="P51" s="154">
        <f t="shared" si="144"/>
        <v>0.75063227111785535</v>
      </c>
      <c r="Q51" s="154">
        <f t="shared" si="144"/>
        <v>0.90729483282674772</v>
      </c>
      <c r="R51" s="154">
        <f t="shared" si="144"/>
        <v>0.94013191273465246</v>
      </c>
      <c r="S51" s="154">
        <f>R51*(1+S52)</f>
        <v>0.96833587011669209</v>
      </c>
      <c r="T51" s="2"/>
      <c r="U51" s="2"/>
      <c r="V51" s="2"/>
    </row>
    <row r="52" spans="2:22" x14ac:dyDescent="0.2">
      <c r="B52" s="12" t="s">
        <v>25</v>
      </c>
      <c r="C52" s="14"/>
      <c r="D52" s="14"/>
      <c r="E52" s="14"/>
      <c r="F52" s="14"/>
      <c r="G52" s="14"/>
      <c r="H52" s="14"/>
      <c r="I52" s="14"/>
      <c r="J52" s="14"/>
      <c r="K52" s="14"/>
      <c r="L52" s="12"/>
      <c r="M52" s="154"/>
      <c r="N52" s="14">
        <f>N51/M51-1</f>
        <v>-4.7988280565616548E-2</v>
      </c>
      <c r="O52" s="14">
        <f t="shared" ref="O52:R52" si="145">O51/N51-1</f>
        <v>0.11649184986156813</v>
      </c>
      <c r="P52" s="14">
        <f t="shared" si="145"/>
        <v>0.28835095937178745</v>
      </c>
      <c r="Q52" s="14">
        <f t="shared" si="145"/>
        <v>0.20870746933859863</v>
      </c>
      <c r="R52" s="14">
        <f t="shared" si="145"/>
        <v>3.6192292427807971E-2</v>
      </c>
      <c r="S52" s="158">
        <v>0.03</v>
      </c>
      <c r="T52" s="2"/>
      <c r="U52" s="2"/>
      <c r="V52" s="2"/>
    </row>
    <row r="53" spans="2:22" x14ac:dyDescent="0.2">
      <c r="G53" s="2"/>
      <c r="H53" s="2"/>
      <c r="I53" s="2"/>
      <c r="J53" s="2"/>
      <c r="K53" s="2"/>
      <c r="P53" s="2"/>
      <c r="Q53" s="2"/>
      <c r="R53" s="2"/>
      <c r="S53" s="2"/>
      <c r="T53" s="2"/>
      <c r="U53" s="2"/>
      <c r="V53" s="2"/>
    </row>
    <row r="54" spans="2:22" x14ac:dyDescent="0.2">
      <c r="G54" s="2"/>
      <c r="H54" s="2"/>
      <c r="I54" s="2"/>
      <c r="J54" s="2"/>
      <c r="K54" s="2"/>
      <c r="P54" s="2"/>
      <c r="Q54" s="2"/>
      <c r="R54" s="2"/>
      <c r="S54" s="2"/>
      <c r="T54" s="2"/>
      <c r="U54" s="2"/>
      <c r="V54" s="2"/>
    </row>
    <row r="55" spans="2:22" x14ac:dyDescent="0.2">
      <c r="G55" s="2"/>
      <c r="H55" s="2"/>
      <c r="I55" s="2"/>
      <c r="J55" s="2"/>
      <c r="K55" s="2"/>
      <c r="P55" s="2"/>
      <c r="Q55" s="2"/>
      <c r="R55" s="2"/>
      <c r="S55" s="2"/>
      <c r="T55" s="2"/>
      <c r="U55" s="2"/>
      <c r="V55" s="2"/>
    </row>
    <row r="56" spans="2:22" x14ac:dyDescent="0.2">
      <c r="G56" s="2"/>
      <c r="H56" s="2"/>
      <c r="I56" s="2"/>
      <c r="J56" s="2"/>
      <c r="K56" s="2"/>
      <c r="P56" s="2"/>
      <c r="Q56" s="2"/>
      <c r="R56" s="2"/>
      <c r="S56" s="2"/>
      <c r="T56" s="2"/>
      <c r="U56" s="2"/>
      <c r="V56" s="2"/>
    </row>
    <row r="57" spans="2:22" x14ac:dyDescent="0.2">
      <c r="G57" s="2"/>
      <c r="H57" s="2"/>
      <c r="I57" s="2"/>
      <c r="J57" s="2"/>
      <c r="K57" s="2"/>
      <c r="P57" s="2"/>
      <c r="Q57" s="2"/>
      <c r="R57" s="2"/>
      <c r="S57" s="2"/>
      <c r="T57" s="2"/>
      <c r="U57" s="2"/>
      <c r="V57" s="2"/>
    </row>
    <row r="58" spans="2:22" x14ac:dyDescent="0.2">
      <c r="G58" s="2"/>
      <c r="H58" s="2"/>
      <c r="I58" s="2"/>
      <c r="J58" s="2"/>
      <c r="K58" s="2"/>
      <c r="P58" s="2"/>
      <c r="Q58" s="2"/>
      <c r="R58" s="2"/>
      <c r="S58" s="2"/>
      <c r="T58" s="2"/>
      <c r="U58" s="2"/>
      <c r="V58" s="2"/>
    </row>
    <row r="59" spans="2:22" x14ac:dyDescent="0.2">
      <c r="G59" s="2"/>
      <c r="H59" s="2"/>
      <c r="I59" s="2"/>
      <c r="J59" s="2"/>
      <c r="K59" s="2"/>
      <c r="P59" s="2"/>
      <c r="Q59" s="2"/>
      <c r="R59" s="2"/>
      <c r="S59" s="2"/>
      <c r="T59" s="2"/>
      <c r="U59" s="2"/>
      <c r="V59" s="2"/>
    </row>
    <row r="60" spans="2:22" x14ac:dyDescent="0.2">
      <c r="G60" s="2"/>
      <c r="H60" s="2"/>
      <c r="I60" s="2"/>
      <c r="J60" s="2"/>
      <c r="K60" s="2"/>
      <c r="P60" s="2"/>
      <c r="Q60" s="2"/>
      <c r="R60" s="2"/>
      <c r="S60" s="2"/>
      <c r="T60" s="2"/>
      <c r="U60" s="2"/>
      <c r="V60" s="2"/>
    </row>
    <row r="61" spans="2:22" x14ac:dyDescent="0.2">
      <c r="G61" s="2"/>
      <c r="H61" s="2"/>
      <c r="I61" s="2"/>
      <c r="J61" s="2"/>
      <c r="K61" s="2"/>
      <c r="P61" s="2"/>
      <c r="Q61" s="2"/>
      <c r="R61" s="2"/>
      <c r="S61" s="2"/>
      <c r="T61" s="2"/>
      <c r="U61" s="2"/>
      <c r="V61" s="2"/>
    </row>
    <row r="62" spans="2:22" x14ac:dyDescent="0.2">
      <c r="G62" s="2"/>
      <c r="H62" s="2"/>
      <c r="I62" s="2"/>
      <c r="J62" s="2"/>
      <c r="K62" s="2"/>
      <c r="P62" s="2"/>
      <c r="Q62" s="2"/>
      <c r="R62" s="2"/>
      <c r="S62" s="2"/>
      <c r="T62" s="2"/>
      <c r="U62" s="2"/>
      <c r="V62" s="2"/>
    </row>
    <row r="63" spans="2:22" x14ac:dyDescent="0.2">
      <c r="G63" s="2"/>
      <c r="H63" s="2"/>
      <c r="I63" s="2"/>
      <c r="J63" s="2"/>
      <c r="K63" s="2"/>
      <c r="P63" s="2"/>
      <c r="Q63" s="2"/>
      <c r="R63" s="2"/>
      <c r="S63" s="2"/>
      <c r="T63" s="2"/>
      <c r="U63" s="2"/>
      <c r="V63" s="2"/>
    </row>
    <row r="64" spans="2:22" x14ac:dyDescent="0.2">
      <c r="G64" s="2"/>
      <c r="H64" s="2"/>
      <c r="I64" s="2"/>
      <c r="J64" s="2"/>
      <c r="K64" s="2"/>
      <c r="P64" s="2"/>
      <c r="Q64" s="2"/>
      <c r="R64" s="2"/>
      <c r="S64" s="2"/>
      <c r="T64" s="2"/>
      <c r="U64" s="2"/>
      <c r="V64" s="2"/>
    </row>
    <row r="65" spans="7:22" x14ac:dyDescent="0.2">
      <c r="G65" s="2"/>
      <c r="H65" s="2"/>
      <c r="I65" s="2"/>
      <c r="J65" s="2"/>
      <c r="K65" s="2"/>
      <c r="P65" s="2"/>
      <c r="Q65" s="2"/>
      <c r="R65" s="2"/>
      <c r="S65" s="2"/>
      <c r="T65" s="2"/>
      <c r="U65" s="2"/>
      <c r="V65" s="2"/>
    </row>
    <row r="66" spans="7:22" x14ac:dyDescent="0.2">
      <c r="G66" s="2"/>
      <c r="H66" s="2"/>
      <c r="I66" s="2"/>
      <c r="J66" s="2"/>
      <c r="K66" s="2"/>
      <c r="P66" s="2"/>
      <c r="Q66" s="2"/>
      <c r="R66" s="2"/>
      <c r="S66" s="2"/>
      <c r="T66" s="2"/>
      <c r="U66" s="2"/>
      <c r="V66" s="2"/>
    </row>
    <row r="67" spans="7:22" x14ac:dyDescent="0.2">
      <c r="G67" s="2"/>
      <c r="H67" s="2"/>
      <c r="I67" s="2"/>
      <c r="J67" s="2"/>
      <c r="K67" s="2"/>
      <c r="P67" s="2"/>
      <c r="Q67" s="2"/>
      <c r="R67" s="2"/>
      <c r="S67" s="2"/>
      <c r="T67" s="2"/>
      <c r="U67" s="2"/>
      <c r="V67" s="2"/>
    </row>
    <row r="68" spans="7:22" x14ac:dyDescent="0.2">
      <c r="G68" s="2"/>
      <c r="H68" s="2"/>
      <c r="I68" s="2"/>
      <c r="J68" s="2"/>
      <c r="K68" s="2"/>
      <c r="P68" s="2"/>
      <c r="Q68" s="2"/>
      <c r="R68" s="2"/>
      <c r="S68" s="2"/>
      <c r="T68" s="2"/>
      <c r="U68" s="2"/>
      <c r="V68" s="2"/>
    </row>
    <row r="69" spans="7:22" x14ac:dyDescent="0.2">
      <c r="G69" s="2"/>
      <c r="H69" s="2"/>
      <c r="I69" s="2"/>
      <c r="J69" s="2"/>
      <c r="K69" s="2"/>
      <c r="P69" s="2"/>
      <c r="Q69" s="2"/>
      <c r="R69" s="2"/>
      <c r="S69" s="2"/>
      <c r="T69" s="2"/>
      <c r="U69" s="2"/>
      <c r="V69" s="2"/>
    </row>
    <row r="70" spans="7:22" x14ac:dyDescent="0.2">
      <c r="G70" s="2"/>
      <c r="H70" s="2"/>
      <c r="I70" s="2"/>
      <c r="J70" s="2"/>
      <c r="K70" s="2"/>
      <c r="P70" s="2"/>
      <c r="Q70" s="2"/>
      <c r="R70" s="2"/>
      <c r="S70" s="2"/>
      <c r="T70" s="2"/>
      <c r="U70" s="2"/>
      <c r="V70" s="2"/>
    </row>
    <row r="71" spans="7:22" x14ac:dyDescent="0.2">
      <c r="G71" s="2"/>
      <c r="H71" s="2"/>
      <c r="I71" s="2"/>
      <c r="J71" s="2"/>
      <c r="K71" s="2"/>
      <c r="P71" s="2"/>
      <c r="Q71" s="2"/>
      <c r="R71" s="2"/>
      <c r="S71" s="2"/>
      <c r="T71" s="2"/>
      <c r="U71" s="2"/>
      <c r="V71" s="2"/>
    </row>
    <row r="72" spans="7:22" x14ac:dyDescent="0.2">
      <c r="G72" s="2"/>
      <c r="H72" s="2"/>
      <c r="I72" s="2"/>
      <c r="J72" s="2"/>
      <c r="K72" s="2"/>
      <c r="P72" s="2"/>
      <c r="Q72" s="2"/>
      <c r="R72" s="2"/>
      <c r="S72" s="2"/>
      <c r="T72" s="2"/>
      <c r="U72" s="2"/>
      <c r="V72" s="2"/>
    </row>
  </sheetData>
  <sheetProtection algorithmName="SHA-512" hashValue="g4PVCYLhYdOcFHrFrSAu+bfygz5jCU7sfvNDcOsNzme1pKWrhCoGYhIizIMjKqtYgnWzPtvZ/e9Ofm3KBvDXMQ==" saltValue="xtNwcPkxFR9jTfCQfRUp3Q==" spinCount="100000" sheet="1" scenarios="1" selectLockedCells="1" selectUnlockedCells="1"/>
  <phoneticPr fontId="25" type="noConversion"/>
  <pageMargins left="0.7" right="0.7" top="0.75" bottom="0.75" header="0.3" footer="0.3"/>
  <ignoredErrors>
    <ignoredError sqref="Q5:R5 O5:P5 N47:S47 N49:S49 N45:S45 N51:R51 D45:I45 D47:I47 D49:I49 J30 J23 S15" formula="1"/>
    <ignoredError sqref="Q6" evalError="1"/>
  </ignoredError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78BF6-0A48-D846-ACB5-6FC9EA992A93}">
  <dimension ref="A2:AD22"/>
  <sheetViews>
    <sheetView showGridLines="0" zoomScale="130" zoomScaleNormal="130" workbookViewId="0">
      <selection activeCell="I23" sqref="I23"/>
    </sheetView>
  </sheetViews>
  <sheetFormatPr baseColWidth="10" defaultColWidth="10.83203125" defaultRowHeight="16" x14ac:dyDescent="0.2"/>
  <cols>
    <col min="1" max="1" width="6.1640625" style="136" customWidth="1"/>
    <col min="2" max="5" width="10.83203125" style="136"/>
    <col min="6" max="6" width="12.83203125" style="136" customWidth="1"/>
    <col min="7" max="8" width="10.83203125" style="136"/>
    <col min="9" max="9" width="17" style="136" bestFit="1" customWidth="1"/>
    <col min="10" max="16384" width="10.83203125" style="136"/>
  </cols>
  <sheetData>
    <row r="2" spans="1:30" ht="22" thickBot="1" x14ac:dyDescent="0.3">
      <c r="A2" s="134"/>
      <c r="B2" s="135" t="s">
        <v>53</v>
      </c>
      <c r="C2" s="134"/>
      <c r="D2" s="134"/>
      <c r="E2" s="134"/>
      <c r="F2" s="134"/>
      <c r="G2" s="134"/>
      <c r="H2" s="134"/>
      <c r="I2" s="134"/>
      <c r="J2" s="134"/>
      <c r="K2" s="134"/>
      <c r="L2" s="134"/>
      <c r="M2" s="134"/>
      <c r="N2" s="134"/>
      <c r="O2" s="134"/>
      <c r="P2" s="134"/>
      <c r="Q2" s="134"/>
      <c r="R2" s="134"/>
      <c r="S2" s="134"/>
      <c r="T2" s="134"/>
      <c r="U2" s="134"/>
      <c r="V2" s="134"/>
      <c r="W2" s="134"/>
      <c r="X2" s="134"/>
      <c r="Y2" s="134"/>
      <c r="Z2" s="134"/>
      <c r="AA2" s="134"/>
      <c r="AB2" s="134"/>
      <c r="AC2" s="134"/>
      <c r="AD2" s="134"/>
    </row>
    <row r="4" spans="1:30" x14ac:dyDescent="0.2">
      <c r="B4" s="136" t="s">
        <v>108</v>
      </c>
    </row>
    <row r="5" spans="1:30" x14ac:dyDescent="0.2">
      <c r="B5" s="136" t="s">
        <v>109</v>
      </c>
    </row>
    <row r="7" spans="1:30" ht="20" customHeight="1" x14ac:dyDescent="0.2">
      <c r="B7" s="184" t="s">
        <v>110</v>
      </c>
      <c r="C7" s="185"/>
      <c r="D7" s="185"/>
      <c r="E7" s="185"/>
      <c r="F7" s="185"/>
    </row>
    <row r="9" spans="1:30" x14ac:dyDescent="0.2">
      <c r="B9" s="136" t="s">
        <v>86</v>
      </c>
      <c r="F9" s="137">
        <f>DCF!G5*DCF!D113</f>
        <v>129443.6</v>
      </c>
      <c r="I9" s="137"/>
    </row>
    <row r="10" spans="1:30" x14ac:dyDescent="0.2">
      <c r="B10" s="136" t="s">
        <v>132</v>
      </c>
      <c r="F10" s="138">
        <f>DCF!T10</f>
        <v>34164</v>
      </c>
    </row>
    <row r="11" spans="1:30" x14ac:dyDescent="0.2">
      <c r="B11" s="136" t="s">
        <v>45</v>
      </c>
      <c r="F11" s="139">
        <f>DCF!T13</f>
        <v>4.4999999999999998E-2</v>
      </c>
    </row>
    <row r="12" spans="1:30" x14ac:dyDescent="0.2">
      <c r="B12" s="136" t="s">
        <v>111</v>
      </c>
      <c r="F12" s="139">
        <f>DCF!K71</f>
        <v>0.2739927914048737</v>
      </c>
    </row>
    <row r="13" spans="1:30" x14ac:dyDescent="0.2">
      <c r="B13" s="140" t="s">
        <v>112</v>
      </c>
      <c r="C13" s="140"/>
      <c r="D13" s="140"/>
      <c r="E13" s="140"/>
      <c r="F13" s="141">
        <f>(F10)/(F10+F9)</f>
        <v>0.20881670533642691</v>
      </c>
    </row>
    <row r="14" spans="1:30" x14ac:dyDescent="0.2">
      <c r="B14" s="142" t="s">
        <v>113</v>
      </c>
      <c r="C14" s="143"/>
      <c r="D14" s="143"/>
      <c r="E14" s="143"/>
      <c r="F14" s="144">
        <f>F11*(1-F12)</f>
        <v>3.2670324386780684E-2</v>
      </c>
    </row>
    <row r="16" spans="1:30" x14ac:dyDescent="0.2">
      <c r="B16" s="136" t="s">
        <v>114</v>
      </c>
      <c r="F16" s="139">
        <v>3.6700000000000003E-2</v>
      </c>
    </row>
    <row r="17" spans="2:6" x14ac:dyDescent="0.2">
      <c r="B17" s="136" t="s">
        <v>115</v>
      </c>
      <c r="F17" s="145">
        <f>DCF!T18</f>
        <v>4.8899999999999999E-2</v>
      </c>
    </row>
    <row r="18" spans="2:6" x14ac:dyDescent="0.2">
      <c r="B18" s="136" t="s">
        <v>51</v>
      </c>
      <c r="F18" s="136">
        <v>1.1000000000000001</v>
      </c>
    </row>
    <row r="19" spans="2:6" x14ac:dyDescent="0.2">
      <c r="B19" s="140" t="s">
        <v>116</v>
      </c>
      <c r="C19" s="140"/>
      <c r="D19" s="140"/>
      <c r="E19" s="140"/>
      <c r="F19" s="141">
        <f>1-F13</f>
        <v>0.79118329466357307</v>
      </c>
    </row>
    <row r="20" spans="2:6" x14ac:dyDescent="0.2">
      <c r="B20" s="146" t="s">
        <v>117</v>
      </c>
      <c r="F20" s="145">
        <f>F16+F18*F17</f>
        <v>9.0490000000000015E-2</v>
      </c>
    </row>
    <row r="22" spans="2:6" ht="26" customHeight="1" x14ac:dyDescent="0.2">
      <c r="B22" s="147" t="s">
        <v>53</v>
      </c>
      <c r="C22" s="148"/>
      <c r="D22" s="148"/>
      <c r="E22" s="148"/>
      <c r="F22" s="149">
        <f>F14*F13+F20*F19</f>
        <v>7.8416285834826599E-2</v>
      </c>
    </row>
  </sheetData>
  <sheetProtection algorithmName="SHA-512" hashValue="TfPqZjDj5w5gAxgB4mbc5JGrMGdP7C0wyYlCtmvQE/sdU8t7sCKXCtsFv5z3BWABPYTG03bUsMFaFw1YMOLoyg==" saltValue="RQMKj+86JUOzVCYGdGtClQ==" spinCount="100000" sheet="1" objects="1" scenarios="1" selectLockedCells="1"/>
  <mergeCells count="1">
    <mergeCell ref="B7:F7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DCF</vt:lpstr>
      <vt:lpstr>Financials + KPIs</vt:lpstr>
      <vt:lpstr>WACC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2023-02-13T01:35:36Z</dcterms:created>
  <dcterms:modified xsi:type="dcterms:W3CDTF">2023-02-13T07:25:58Z</dcterms:modified>
</cp:coreProperties>
</file>