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
    </mc:Choice>
  </mc:AlternateContent>
  <xr:revisionPtr revIDLastSave="0" documentId="13_ncr:1_{82E70D7A-8CB8-A04D-96C0-98ED1AED00B6}" xr6:coauthVersionLast="47" xr6:coauthVersionMax="47" xr10:uidLastSave="{00000000-0000-0000-0000-000000000000}"/>
  <bookViews>
    <workbookView xWindow="0" yWindow="500" windowWidth="38400" windowHeight="19240" xr2:uid="{DF3C9A71-B735-5440-BC2F-E10312C52D3C}"/>
  </bookViews>
  <sheets>
    <sheet name="DCF" sheetId="1" r:id="rId1"/>
    <sheet name="Financials + KPIs" sheetId="2" r:id="rId2"/>
    <sheet name="WAC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3" i="1" l="1"/>
  <c r="D32" i="1"/>
  <c r="D34" i="1"/>
  <c r="G5" i="1" a="1"/>
  <c r="G5" i="1" s="1"/>
  <c r="H29" i="1"/>
  <c r="P29" i="1"/>
  <c r="F100" i="1"/>
  <c r="G100" i="1"/>
  <c r="H100" i="1"/>
  <c r="I100" i="1"/>
  <c r="J100" i="1"/>
  <c r="E100" i="1"/>
  <c r="F97" i="1"/>
  <c r="G97" i="1"/>
  <c r="H97" i="1"/>
  <c r="I97" i="1"/>
  <c r="J97" i="1"/>
  <c r="E97" i="1"/>
  <c r="F93" i="1"/>
  <c r="G93" i="1"/>
  <c r="H93" i="1"/>
  <c r="I93" i="1"/>
  <c r="J93" i="1"/>
  <c r="E93" i="1"/>
  <c r="E91" i="1"/>
  <c r="L89" i="1"/>
  <c r="K89" i="1"/>
  <c r="L84" i="1"/>
  <c r="K84" i="1"/>
  <c r="F88" i="1"/>
  <c r="G88" i="1"/>
  <c r="H88" i="1"/>
  <c r="I88" i="1"/>
  <c r="J88" i="1"/>
  <c r="E88" i="1"/>
  <c r="F81" i="1"/>
  <c r="G81" i="1"/>
  <c r="H81" i="1"/>
  <c r="I81" i="1"/>
  <c r="J81" i="1"/>
  <c r="E81" i="1"/>
  <c r="U70" i="1"/>
  <c r="U69" i="1"/>
  <c r="U68" i="1"/>
  <c r="M70" i="1"/>
  <c r="M69" i="1"/>
  <c r="M68" i="1"/>
  <c r="L70" i="1" l="1"/>
  <c r="L67" i="1" s="1"/>
  <c r="L56" i="1"/>
  <c r="M54" i="1"/>
  <c r="M56" i="1"/>
  <c r="M55" i="1"/>
  <c r="H10" i="1"/>
  <c r="P10" i="1"/>
  <c r="L69" i="1"/>
  <c r="K69" i="1"/>
  <c r="L62" i="1"/>
  <c r="K62" i="1"/>
  <c r="L55" i="1"/>
  <c r="L54" i="1" s="1"/>
  <c r="K55" i="1"/>
  <c r="L48" i="1"/>
  <c r="K48" i="1"/>
  <c r="L41" i="1"/>
  <c r="K41" i="1"/>
  <c r="E73" i="1"/>
  <c r="F66" i="1"/>
  <c r="G66" i="1"/>
  <c r="H66" i="1"/>
  <c r="I66" i="1"/>
  <c r="J66" i="1"/>
  <c r="F59" i="1"/>
  <c r="G59" i="1"/>
  <c r="H59" i="1"/>
  <c r="I59" i="1"/>
  <c r="J59" i="1"/>
  <c r="F52" i="1"/>
  <c r="G52" i="1"/>
  <c r="H52" i="1"/>
  <c r="I52" i="1"/>
  <c r="I73" i="1" s="1"/>
  <c r="J52" i="1"/>
  <c r="F45" i="1"/>
  <c r="F73" i="1" s="1"/>
  <c r="G45" i="1"/>
  <c r="H45" i="1"/>
  <c r="I45" i="1"/>
  <c r="J45" i="1"/>
  <c r="F38" i="1"/>
  <c r="G38" i="1"/>
  <c r="G73" i="1" s="1"/>
  <c r="H38" i="1"/>
  <c r="H73" i="1" s="1"/>
  <c r="I38" i="1"/>
  <c r="J38" i="1"/>
  <c r="R37" i="2"/>
  <c r="S37" i="2"/>
  <c r="T37" i="2"/>
  <c r="U37" i="2"/>
  <c r="V37" i="2"/>
  <c r="W37" i="2"/>
  <c r="Y37" i="2"/>
  <c r="Z37" i="2"/>
  <c r="AA37" i="2"/>
  <c r="AB37" i="2"/>
  <c r="AC37" i="2"/>
  <c r="AD37" i="2"/>
  <c r="AE37" i="2"/>
  <c r="AF37" i="2"/>
  <c r="AG37" i="2"/>
  <c r="AH37" i="2"/>
  <c r="R38" i="2"/>
  <c r="S38" i="2"/>
  <c r="T38" i="2"/>
  <c r="U38" i="2"/>
  <c r="V38" i="2"/>
  <c r="W38" i="2"/>
  <c r="X38" i="2"/>
  <c r="Y38" i="2"/>
  <c r="Z38" i="2"/>
  <c r="AA38" i="2"/>
  <c r="AB38" i="2"/>
  <c r="AC38" i="2"/>
  <c r="AD38" i="2"/>
  <c r="AE38" i="2"/>
  <c r="AF38" i="2"/>
  <c r="AG38" i="2"/>
  <c r="AH38" i="2"/>
  <c r="Q37" i="2"/>
  <c r="R31" i="2"/>
  <c r="S31" i="2"/>
  <c r="T31" i="2"/>
  <c r="U31" i="2"/>
  <c r="V31" i="2"/>
  <c r="W31" i="2"/>
  <c r="Y31" i="2"/>
  <c r="Z31" i="2"/>
  <c r="AA31" i="2"/>
  <c r="AB31" i="2"/>
  <c r="AC31" i="2"/>
  <c r="AD31" i="2"/>
  <c r="AE31" i="2"/>
  <c r="AF31" i="2"/>
  <c r="AG31" i="2"/>
  <c r="AH31" i="2"/>
  <c r="R32" i="2"/>
  <c r="S32" i="2"/>
  <c r="T32" i="2"/>
  <c r="U32" i="2"/>
  <c r="V32" i="2"/>
  <c r="W32" i="2"/>
  <c r="Y32" i="2"/>
  <c r="Z32" i="2"/>
  <c r="AA32" i="2"/>
  <c r="AB32" i="2"/>
  <c r="AC32" i="2"/>
  <c r="AD32" i="2"/>
  <c r="AE32" i="2"/>
  <c r="AF32" i="2"/>
  <c r="AG32" i="2"/>
  <c r="AH32" i="2"/>
  <c r="R33" i="2"/>
  <c r="S33" i="2"/>
  <c r="T33" i="2"/>
  <c r="U33" i="2"/>
  <c r="V33" i="2"/>
  <c r="W33" i="2"/>
  <c r="Y33" i="2"/>
  <c r="Z33" i="2"/>
  <c r="AA33" i="2"/>
  <c r="AB33" i="2"/>
  <c r="AC33" i="2"/>
  <c r="AD33" i="2"/>
  <c r="AE33" i="2"/>
  <c r="AF33" i="2"/>
  <c r="AG33" i="2"/>
  <c r="AH33" i="2"/>
  <c r="R34" i="2"/>
  <c r="S34" i="2"/>
  <c r="T34" i="2"/>
  <c r="U34" i="2"/>
  <c r="V34" i="2"/>
  <c r="W34" i="2"/>
  <c r="Y34" i="2"/>
  <c r="Z34" i="2"/>
  <c r="AA34" i="2"/>
  <c r="AB34" i="2"/>
  <c r="AC34" i="2"/>
  <c r="AD34" i="2"/>
  <c r="AE34" i="2"/>
  <c r="AF34" i="2"/>
  <c r="AG34" i="2"/>
  <c r="AH34" i="2"/>
  <c r="R35" i="2"/>
  <c r="S35" i="2"/>
  <c r="T35" i="2"/>
  <c r="U35" i="2"/>
  <c r="V35" i="2"/>
  <c r="W35" i="2"/>
  <c r="Y35" i="2"/>
  <c r="Z35" i="2"/>
  <c r="AA35" i="2"/>
  <c r="AB35" i="2"/>
  <c r="AC35" i="2"/>
  <c r="AD35" i="2"/>
  <c r="AE35" i="2"/>
  <c r="AF35" i="2"/>
  <c r="AG35" i="2"/>
  <c r="AH35" i="2"/>
  <c r="Q35" i="2"/>
  <c r="Q34" i="2"/>
  <c r="Q33" i="2"/>
  <c r="Q32" i="2"/>
  <c r="Q31" i="2"/>
  <c r="X22" i="2"/>
  <c r="X17" i="2"/>
  <c r="X9" i="2"/>
  <c r="X8" i="2"/>
  <c r="X7" i="2"/>
  <c r="X6" i="2"/>
  <c r="X5" i="2"/>
  <c r="X3" i="2"/>
  <c r="W22" i="2"/>
  <c r="W19" i="2"/>
  <c r="W17" i="2"/>
  <c r="W15" i="2"/>
  <c r="W14" i="2"/>
  <c r="W13" i="2"/>
  <c r="W11" i="2"/>
  <c r="W9" i="2"/>
  <c r="W8" i="2"/>
  <c r="W7" i="2"/>
  <c r="W6" i="2"/>
  <c r="X27" i="2" s="1"/>
  <c r="W5" i="2"/>
  <c r="W26" i="2" s="1"/>
  <c r="W4" i="2"/>
  <c r="W3" i="2"/>
  <c r="X24" i="2" s="1"/>
  <c r="T29" i="2"/>
  <c r="U29" i="2"/>
  <c r="V29" i="2"/>
  <c r="T24" i="2"/>
  <c r="U24" i="2"/>
  <c r="V24" i="2"/>
  <c r="T25" i="2"/>
  <c r="U25" i="2"/>
  <c r="V25" i="2"/>
  <c r="T26" i="2"/>
  <c r="U26" i="2"/>
  <c r="V26" i="2"/>
  <c r="T27" i="2"/>
  <c r="U27" i="2"/>
  <c r="V27" i="2"/>
  <c r="T28" i="2"/>
  <c r="U28" i="2"/>
  <c r="V28" i="2"/>
  <c r="W28" i="2"/>
  <c r="R29" i="2"/>
  <c r="S29" i="2"/>
  <c r="S25" i="2"/>
  <c r="S26" i="2"/>
  <c r="S27" i="2"/>
  <c r="S28" i="2"/>
  <c r="S24" i="2"/>
  <c r="V16" i="2"/>
  <c r="S17" i="2"/>
  <c r="R17" i="2"/>
  <c r="K7" i="2"/>
  <c r="K3" i="2"/>
  <c r="L3" i="2"/>
  <c r="M3" i="2"/>
  <c r="K4" i="2"/>
  <c r="K10" i="2" s="1"/>
  <c r="L4" i="2"/>
  <c r="M4" i="2"/>
  <c r="K5" i="2"/>
  <c r="L5" i="2"/>
  <c r="M5" i="2"/>
  <c r="K6" i="2"/>
  <c r="L6" i="2"/>
  <c r="M6" i="2"/>
  <c r="L7" i="2"/>
  <c r="M7" i="2"/>
  <c r="J22" i="2"/>
  <c r="K22" i="2" s="1"/>
  <c r="L22" i="2" s="1"/>
  <c r="M22" i="2" s="1"/>
  <c r="N22" i="2" s="1"/>
  <c r="J10" i="2"/>
  <c r="J4" i="2"/>
  <c r="N4" i="2" s="1"/>
  <c r="J5" i="2"/>
  <c r="N5" i="2" s="1"/>
  <c r="J6" i="2"/>
  <c r="N6" i="2" s="1"/>
  <c r="J7" i="2"/>
  <c r="N7" i="2" s="1"/>
  <c r="J3" i="2"/>
  <c r="N3" i="2" s="1"/>
  <c r="J73" i="1" l="1"/>
  <c r="X4" i="2"/>
  <c r="X25" i="2" s="1"/>
  <c r="X28" i="2"/>
  <c r="W27" i="2"/>
  <c r="X26" i="2"/>
  <c r="W25" i="2"/>
  <c r="W24" i="2"/>
  <c r="E38" i="2"/>
  <c r="F38" i="2"/>
  <c r="G38" i="2"/>
  <c r="H38" i="2"/>
  <c r="I38" i="2"/>
  <c r="D38" i="2"/>
  <c r="L134" i="1"/>
  <c r="G33" i="2"/>
  <c r="D134" i="1"/>
  <c r="H24" i="2"/>
  <c r="I24" i="2"/>
  <c r="H25" i="2"/>
  <c r="I25" i="2"/>
  <c r="H26" i="2"/>
  <c r="I26" i="2"/>
  <c r="H27" i="2"/>
  <c r="I27" i="2"/>
  <c r="H28" i="2"/>
  <c r="I28" i="2"/>
  <c r="G25" i="2"/>
  <c r="G26" i="2"/>
  <c r="G27" i="2"/>
  <c r="G28" i="2"/>
  <c r="G24" i="2"/>
  <c r="F21" i="2"/>
  <c r="G21" i="2"/>
  <c r="C21" i="2"/>
  <c r="Y20" i="2"/>
  <c r="Z20" i="2"/>
  <c r="AA20" i="2"/>
  <c r="AB20" i="2"/>
  <c r="AC20" i="2"/>
  <c r="AD20" i="2"/>
  <c r="AE20" i="2"/>
  <c r="AF20" i="2"/>
  <c r="AG20" i="2"/>
  <c r="AH20" i="2"/>
  <c r="Y12" i="2"/>
  <c r="Y16" i="2" s="1"/>
  <c r="Z12" i="2"/>
  <c r="Z16" i="2" s="1"/>
  <c r="AA12" i="2"/>
  <c r="AA16" i="2" s="1"/>
  <c r="AB12" i="2"/>
  <c r="AB16" i="2" s="1"/>
  <c r="AC12" i="2"/>
  <c r="AC16" i="2" s="1"/>
  <c r="AD12" i="2"/>
  <c r="AD16" i="2" s="1"/>
  <c r="AE12" i="2"/>
  <c r="AE16" i="2" s="1"/>
  <c r="AF12" i="2"/>
  <c r="AF16" i="2" s="1"/>
  <c r="AG12" i="2"/>
  <c r="AG16" i="2" s="1"/>
  <c r="AH12" i="2"/>
  <c r="AH16" i="2" s="1"/>
  <c r="I10" i="2"/>
  <c r="D10" i="2"/>
  <c r="D12" i="2" s="1"/>
  <c r="E10" i="2"/>
  <c r="E12" i="2" s="1"/>
  <c r="F10" i="2"/>
  <c r="F12" i="2" s="1"/>
  <c r="G10" i="2"/>
  <c r="G12" i="2" s="1"/>
  <c r="G34" i="2" s="1"/>
  <c r="H10" i="2"/>
  <c r="L10" i="2"/>
  <c r="M10" i="2"/>
  <c r="N10" i="2"/>
  <c r="C10" i="2"/>
  <c r="C12" i="2" s="1"/>
  <c r="W10" i="2"/>
  <c r="X10" i="2"/>
  <c r="Q12" i="2"/>
  <c r="R10" i="2"/>
  <c r="R12" i="2" s="1"/>
  <c r="R16" i="2" s="1"/>
  <c r="R18" i="2" s="1"/>
  <c r="R20" i="2" s="1"/>
  <c r="R21" i="2" s="1"/>
  <c r="S10" i="2"/>
  <c r="S12" i="2" s="1"/>
  <c r="S16" i="2" s="1"/>
  <c r="S18" i="2" s="1"/>
  <c r="S20" i="2" s="1"/>
  <c r="S21" i="2" s="1"/>
  <c r="V6" i="2"/>
  <c r="U10" i="2"/>
  <c r="U12" i="2" s="1"/>
  <c r="U16" i="2" s="1"/>
  <c r="U18" i="2" s="1"/>
  <c r="U20" i="2" s="1"/>
  <c r="U21" i="2" s="1"/>
  <c r="T10" i="2"/>
  <c r="T12" i="2" s="1"/>
  <c r="T15" i="2"/>
  <c r="V15" i="2"/>
  <c r="V14" i="2"/>
  <c r="V13" i="2"/>
  <c r="V11" i="2"/>
  <c r="V9" i="2"/>
  <c r="V8" i="2"/>
  <c r="V7" i="2"/>
  <c r="V3" i="2"/>
  <c r="V4" i="2"/>
  <c r="V5" i="2"/>
  <c r="F18" i="3"/>
  <c r="F17" i="3"/>
  <c r="F11" i="3"/>
  <c r="Y2" i="2"/>
  <c r="Z2" i="2" s="1"/>
  <c r="AA2" i="2" s="1"/>
  <c r="AB2" i="2" s="1"/>
  <c r="AC2" i="2" s="1"/>
  <c r="AD2" i="2" s="1"/>
  <c r="AE2" i="2" s="1"/>
  <c r="AF2" i="2" s="1"/>
  <c r="AG2" i="2" s="1"/>
  <c r="AH2" i="2" s="1"/>
  <c r="U2" i="2"/>
  <c r="V2" i="2" s="1"/>
  <c r="L147" i="1"/>
  <c r="M147" i="1" s="1"/>
  <c r="N147" i="1" s="1"/>
  <c r="O147" i="1" s="1"/>
  <c r="P147" i="1" s="1"/>
  <c r="Q147" i="1" s="1"/>
  <c r="R147" i="1" s="1"/>
  <c r="S147" i="1" s="1"/>
  <c r="T147" i="1" s="1"/>
  <c r="U147" i="1" s="1"/>
  <c r="J147" i="1"/>
  <c r="I147" i="1" s="1"/>
  <c r="H147" i="1" s="1"/>
  <c r="G147" i="1" s="1"/>
  <c r="F147" i="1" s="1"/>
  <c r="E147" i="1" s="1"/>
  <c r="L146" i="1"/>
  <c r="M146" i="1" s="1"/>
  <c r="N146" i="1" s="1"/>
  <c r="O146" i="1" s="1"/>
  <c r="P146" i="1" s="1"/>
  <c r="Q146" i="1" s="1"/>
  <c r="R146" i="1" s="1"/>
  <c r="S146" i="1" s="1"/>
  <c r="T146" i="1" s="1"/>
  <c r="U146" i="1" s="1"/>
  <c r="F146" i="1"/>
  <c r="G146" i="1" s="1"/>
  <c r="H146" i="1" s="1"/>
  <c r="I146" i="1" s="1"/>
  <c r="J146" i="1" s="1"/>
  <c r="N139" i="1"/>
  <c r="M139" i="1" s="1"/>
  <c r="L139" i="1" s="1"/>
  <c r="F139" i="1"/>
  <c r="G139" i="1" s="1"/>
  <c r="H139" i="1" s="1"/>
  <c r="D129" i="1"/>
  <c r="D126" i="1"/>
  <c r="D125" i="1"/>
  <c r="D124" i="1"/>
  <c r="D123" i="1"/>
  <c r="L109" i="1"/>
  <c r="M109" i="1" s="1"/>
  <c r="N109" i="1" s="1"/>
  <c r="O109" i="1" s="1"/>
  <c r="P109" i="1" s="1"/>
  <c r="Q109" i="1" s="1"/>
  <c r="R109" i="1" s="1"/>
  <c r="S109" i="1" s="1"/>
  <c r="T109" i="1" s="1"/>
  <c r="L108" i="1"/>
  <c r="M108" i="1" s="1"/>
  <c r="N108" i="1" s="1"/>
  <c r="O108" i="1" s="1"/>
  <c r="P108" i="1" s="1"/>
  <c r="Q108" i="1" s="1"/>
  <c r="R108" i="1" s="1"/>
  <c r="S108" i="1" s="1"/>
  <c r="T108" i="1" s="1"/>
  <c r="J161" i="1"/>
  <c r="I161" i="1"/>
  <c r="F161" i="1"/>
  <c r="J160" i="1"/>
  <c r="H160" i="1"/>
  <c r="G160" i="1"/>
  <c r="F160" i="1"/>
  <c r="E160" i="1"/>
  <c r="U89" i="1"/>
  <c r="U157" i="1" s="1"/>
  <c r="H156" i="1"/>
  <c r="G156" i="1"/>
  <c r="F156" i="1"/>
  <c r="E156" i="1"/>
  <c r="U85" i="1"/>
  <c r="U82" i="1" s="1"/>
  <c r="U155" i="1" s="1"/>
  <c r="U84" i="1"/>
  <c r="U83" i="1"/>
  <c r="I154" i="1"/>
  <c r="E154" i="1"/>
  <c r="L77" i="1"/>
  <c r="M77" i="1" s="1"/>
  <c r="N77" i="1" s="1"/>
  <c r="O77" i="1" s="1"/>
  <c r="P77" i="1" s="1"/>
  <c r="Q77" i="1" s="1"/>
  <c r="R77" i="1" s="1"/>
  <c r="S77" i="1" s="1"/>
  <c r="T77" i="1" s="1"/>
  <c r="U77" i="1" s="1"/>
  <c r="J77" i="1"/>
  <c r="I77" i="1" s="1"/>
  <c r="H77" i="1" s="1"/>
  <c r="G77" i="1" s="1"/>
  <c r="F77" i="1" s="1"/>
  <c r="E77" i="1" s="1"/>
  <c r="L76" i="1"/>
  <c r="M76" i="1" s="1"/>
  <c r="N76" i="1" s="1"/>
  <c r="O76" i="1" s="1"/>
  <c r="P76" i="1" s="1"/>
  <c r="Q76" i="1" s="1"/>
  <c r="R76" i="1" s="1"/>
  <c r="S76" i="1" s="1"/>
  <c r="T76" i="1" s="1"/>
  <c r="U76" i="1" s="1"/>
  <c r="F76" i="1"/>
  <c r="G76" i="1" s="1"/>
  <c r="H76" i="1" s="1"/>
  <c r="I76" i="1" s="1"/>
  <c r="J76" i="1" s="1"/>
  <c r="U63" i="1"/>
  <c r="U62" i="1"/>
  <c r="U60" i="1" s="1"/>
  <c r="U61" i="1"/>
  <c r="U56" i="1"/>
  <c r="U55" i="1"/>
  <c r="U54" i="1"/>
  <c r="U49" i="1"/>
  <c r="M49" i="1"/>
  <c r="U48" i="1"/>
  <c r="U46" i="1" s="1"/>
  <c r="M48" i="1"/>
  <c r="M46" i="1" s="1"/>
  <c r="U47" i="1"/>
  <c r="M47" i="1"/>
  <c r="U42" i="1"/>
  <c r="M42" i="1"/>
  <c r="U41" i="1"/>
  <c r="U39" i="1" s="1"/>
  <c r="M41" i="1"/>
  <c r="M39" i="1" s="1"/>
  <c r="U40" i="1"/>
  <c r="M40" i="1"/>
  <c r="L37" i="1"/>
  <c r="M37" i="1" s="1"/>
  <c r="N37" i="1" s="1"/>
  <c r="O37" i="1" s="1"/>
  <c r="P37" i="1" s="1"/>
  <c r="Q37" i="1" s="1"/>
  <c r="R37" i="1" s="1"/>
  <c r="S37" i="1" s="1"/>
  <c r="T37" i="1" s="1"/>
  <c r="U37" i="1" s="1"/>
  <c r="J37" i="1"/>
  <c r="I37" i="1" s="1"/>
  <c r="H37" i="1" s="1"/>
  <c r="G37" i="1" s="1"/>
  <c r="F37" i="1" s="1"/>
  <c r="E37" i="1" s="1"/>
  <c r="L36" i="1"/>
  <c r="M36" i="1" s="1"/>
  <c r="N36" i="1" s="1"/>
  <c r="O36" i="1" s="1"/>
  <c r="P36" i="1" s="1"/>
  <c r="Q36" i="1" s="1"/>
  <c r="R36" i="1" s="1"/>
  <c r="S36" i="1" s="1"/>
  <c r="T36" i="1" s="1"/>
  <c r="U36" i="1" s="1"/>
  <c r="F36" i="1"/>
  <c r="G36" i="1" s="1"/>
  <c r="H36" i="1" s="1"/>
  <c r="I36" i="1" s="1"/>
  <c r="J36" i="1" s="1"/>
  <c r="P28" i="1"/>
  <c r="H28" i="1"/>
  <c r="F10" i="3"/>
  <c r="F9" i="3" l="1"/>
  <c r="N42" i="1"/>
  <c r="O42" i="1" s="1"/>
  <c r="P42" i="1" s="1"/>
  <c r="Q42" i="1" s="1"/>
  <c r="R42" i="1" s="1"/>
  <c r="S42" i="1" s="1"/>
  <c r="T42" i="1" s="1"/>
  <c r="N54" i="1"/>
  <c r="O54" i="1" s="1"/>
  <c r="P54" i="1" s="1"/>
  <c r="Q54" i="1" s="1"/>
  <c r="R54" i="1" s="1"/>
  <c r="S54" i="1" s="1"/>
  <c r="T54" i="1" s="1"/>
  <c r="N70" i="1"/>
  <c r="O70" i="1" s="1"/>
  <c r="P70" i="1" s="1"/>
  <c r="Q70" i="1" s="1"/>
  <c r="R70" i="1" s="1"/>
  <c r="S70" i="1" s="1"/>
  <c r="T70" i="1" s="1"/>
  <c r="N69" i="1"/>
  <c r="O69" i="1" s="1"/>
  <c r="P69" i="1" s="1"/>
  <c r="Q69" i="1" s="1"/>
  <c r="R69" i="1" s="1"/>
  <c r="S69" i="1" s="1"/>
  <c r="T69" i="1" s="1"/>
  <c r="N68" i="1"/>
  <c r="O68" i="1" s="1"/>
  <c r="P68" i="1" s="1"/>
  <c r="Q68" i="1" s="1"/>
  <c r="R68" i="1" s="1"/>
  <c r="S68" i="1" s="1"/>
  <c r="T68" i="1" s="1"/>
  <c r="N56" i="1"/>
  <c r="O56" i="1" s="1"/>
  <c r="P56" i="1" s="1"/>
  <c r="Q56" i="1" s="1"/>
  <c r="R56" i="1" s="1"/>
  <c r="S56" i="1" s="1"/>
  <c r="T56" i="1" s="1"/>
  <c r="F20" i="3"/>
  <c r="U53" i="1"/>
  <c r="N55" i="1"/>
  <c r="O55" i="1" s="1"/>
  <c r="P55" i="1" s="1"/>
  <c r="Q55" i="1" s="1"/>
  <c r="R55" i="1" s="1"/>
  <c r="S55" i="1" s="1"/>
  <c r="T55" i="1" s="1"/>
  <c r="W12" i="2"/>
  <c r="W16" i="2" s="1"/>
  <c r="W18" i="2" s="1"/>
  <c r="W20" i="2" s="1"/>
  <c r="W21" i="2" s="1"/>
  <c r="X29" i="2"/>
  <c r="W29" i="2"/>
  <c r="Q16" i="2"/>
  <c r="Q18" i="2" s="1"/>
  <c r="Q20" i="2" s="1"/>
  <c r="Q21" i="2" s="1"/>
  <c r="O139" i="1"/>
  <c r="P139" i="1" s="1"/>
  <c r="F16" i="2"/>
  <c r="F18" i="2" s="1"/>
  <c r="F20" i="2" s="1"/>
  <c r="F31" i="2"/>
  <c r="E16" i="2"/>
  <c r="E31" i="2"/>
  <c r="C16" i="2"/>
  <c r="C35" i="2" s="1"/>
  <c r="C31" i="2"/>
  <c r="D16" i="2"/>
  <c r="D18" i="2" s="1"/>
  <c r="D20" i="2" s="1"/>
  <c r="D31" i="2"/>
  <c r="G29" i="2"/>
  <c r="F33" i="2"/>
  <c r="I12" i="2"/>
  <c r="I29" i="2"/>
  <c r="C32" i="2"/>
  <c r="E33" i="2"/>
  <c r="F32" i="2"/>
  <c r="E32" i="2"/>
  <c r="H12" i="2"/>
  <c r="H29" i="2"/>
  <c r="F34" i="2"/>
  <c r="G16" i="2"/>
  <c r="G18" i="2" s="1"/>
  <c r="G20" i="2" s="1"/>
  <c r="G31" i="2"/>
  <c r="E34" i="2"/>
  <c r="L34" i="2" s="1"/>
  <c r="M29" i="2"/>
  <c r="L29" i="2"/>
  <c r="K29" i="2"/>
  <c r="J29" i="2"/>
  <c r="N29" i="2"/>
  <c r="D37" i="2"/>
  <c r="H34" i="2"/>
  <c r="D32" i="2"/>
  <c r="I34" i="2"/>
  <c r="D33" i="2"/>
  <c r="D35" i="2"/>
  <c r="G37" i="2"/>
  <c r="C34" i="2"/>
  <c r="J34" i="2" s="1"/>
  <c r="D34" i="2"/>
  <c r="K34" i="2" s="1"/>
  <c r="N34" i="2" s="1"/>
  <c r="H32" i="2"/>
  <c r="F37" i="2"/>
  <c r="C33" i="2"/>
  <c r="G32" i="2"/>
  <c r="F35" i="2"/>
  <c r="T16" i="2"/>
  <c r="T18" i="2" s="1"/>
  <c r="T20" i="2" s="1"/>
  <c r="T21" i="2" s="1"/>
  <c r="V10" i="2"/>
  <c r="V12" i="2" s="1"/>
  <c r="V18" i="2" s="1"/>
  <c r="J78" i="1"/>
  <c r="J98" i="1" s="1"/>
  <c r="G67" i="1"/>
  <c r="H60" i="1"/>
  <c r="J60" i="1"/>
  <c r="I67" i="1"/>
  <c r="I39" i="1"/>
  <c r="H53" i="1"/>
  <c r="G95" i="1"/>
  <c r="G153" i="1" s="1"/>
  <c r="E78" i="1"/>
  <c r="E101" i="1" s="1"/>
  <c r="I95" i="1"/>
  <c r="I153" i="1" s="1"/>
  <c r="G60" i="1"/>
  <c r="G46" i="1"/>
  <c r="J53" i="1"/>
  <c r="E89" i="1"/>
  <c r="E157" i="1" s="1"/>
  <c r="I78" i="1"/>
  <c r="I148" i="1" s="1"/>
  <c r="E158" i="1"/>
  <c r="G39" i="1"/>
  <c r="H39" i="1"/>
  <c r="N40" i="1"/>
  <c r="O40" i="1" s="1"/>
  <c r="P40" i="1" s="1"/>
  <c r="Q40" i="1" s="1"/>
  <c r="R40" i="1" s="1"/>
  <c r="S40" i="1" s="1"/>
  <c r="T40" i="1" s="1"/>
  <c r="N47" i="1"/>
  <c r="O47" i="1" s="1"/>
  <c r="P47" i="1" s="1"/>
  <c r="Q47" i="1" s="1"/>
  <c r="R47" i="1" s="1"/>
  <c r="S47" i="1" s="1"/>
  <c r="T47" i="1" s="1"/>
  <c r="N49" i="1"/>
  <c r="O49" i="1" s="1"/>
  <c r="P49" i="1" s="1"/>
  <c r="Q49" i="1" s="1"/>
  <c r="R49" i="1" s="1"/>
  <c r="S49" i="1" s="1"/>
  <c r="T49" i="1" s="1"/>
  <c r="I46" i="1"/>
  <c r="J46" i="1"/>
  <c r="H67" i="1"/>
  <c r="H152" i="1"/>
  <c r="H159" i="1" s="1"/>
  <c r="E161" i="1"/>
  <c r="N48" i="1"/>
  <c r="G53" i="1"/>
  <c r="H95" i="1"/>
  <c r="H153" i="1" s="1"/>
  <c r="N41" i="1"/>
  <c r="F13" i="3"/>
  <c r="F19" i="3" s="1"/>
  <c r="H46" i="1"/>
  <c r="I53" i="1"/>
  <c r="F152" i="1"/>
  <c r="F159" i="1" s="1"/>
  <c r="F95" i="1"/>
  <c r="F153" i="1" s="1"/>
  <c r="I160" i="1"/>
  <c r="J67" i="1"/>
  <c r="I91" i="1"/>
  <c r="I150" i="1"/>
  <c r="E139" i="1"/>
  <c r="D139" i="1" s="1"/>
  <c r="I152" i="1"/>
  <c r="I159" i="1" s="1"/>
  <c r="G161" i="1"/>
  <c r="I156" i="1"/>
  <c r="I89" i="1"/>
  <c r="I157" i="1" s="1"/>
  <c r="E152" i="1"/>
  <c r="E159" i="1" s="1"/>
  <c r="E150" i="1"/>
  <c r="E95" i="1"/>
  <c r="E153" i="1" s="1"/>
  <c r="H161" i="1"/>
  <c r="G152" i="1"/>
  <c r="G159" i="1" s="1"/>
  <c r="K54" i="1" l="1"/>
  <c r="J32" i="2"/>
  <c r="K32" i="2" s="1"/>
  <c r="M34" i="2"/>
  <c r="I16" i="2"/>
  <c r="I31" i="2"/>
  <c r="J31" i="2"/>
  <c r="J11" i="2" s="1"/>
  <c r="J12" i="2" s="1"/>
  <c r="I33" i="2"/>
  <c r="E18" i="2"/>
  <c r="E35" i="2"/>
  <c r="I32" i="2"/>
  <c r="H16" i="2"/>
  <c r="H31" i="2"/>
  <c r="H33" i="2"/>
  <c r="C18" i="2"/>
  <c r="C37" i="2" s="1"/>
  <c r="J37" i="2" s="1"/>
  <c r="M37" i="2"/>
  <c r="G35" i="2"/>
  <c r="C20" i="2"/>
  <c r="J39" i="1"/>
  <c r="I74" i="1"/>
  <c r="I79" i="1" s="1"/>
  <c r="I149" i="1" s="1"/>
  <c r="I60" i="1"/>
  <c r="I101" i="1"/>
  <c r="E82" i="1"/>
  <c r="E155" i="1" s="1"/>
  <c r="E148" i="1"/>
  <c r="E151" i="1" s="1"/>
  <c r="I98" i="1"/>
  <c r="I82" i="1"/>
  <c r="I155" i="1" s="1"/>
  <c r="E94" i="1"/>
  <c r="I94" i="1"/>
  <c r="E98" i="1"/>
  <c r="I151" i="1"/>
  <c r="E104" i="1"/>
  <c r="E105" i="1" s="1"/>
  <c r="J74" i="1"/>
  <c r="J79" i="1" s="1"/>
  <c r="J149" i="1" s="1"/>
  <c r="K49" i="1"/>
  <c r="K47" i="1"/>
  <c r="K46" i="1"/>
  <c r="K45" i="1" s="1"/>
  <c r="N46" i="1"/>
  <c r="O48" i="1"/>
  <c r="O41" i="1"/>
  <c r="N39" i="1"/>
  <c r="K39" i="1"/>
  <c r="K38" i="1" s="1"/>
  <c r="K40" i="1"/>
  <c r="K42" i="1"/>
  <c r="J148" i="1"/>
  <c r="J102" i="1"/>
  <c r="J101" i="1"/>
  <c r="K68" i="1"/>
  <c r="K70" i="1"/>
  <c r="K67" i="1"/>
  <c r="K66" i="1" s="1"/>
  <c r="F78" i="1"/>
  <c r="F74" i="1"/>
  <c r="F79" i="1" s="1"/>
  <c r="F149" i="1" s="1"/>
  <c r="I104" i="1"/>
  <c r="I105" i="1" s="1"/>
  <c r="I158" i="1"/>
  <c r="I163" i="1" s="1"/>
  <c r="G78" i="1"/>
  <c r="G74" i="1"/>
  <c r="G79" i="1" s="1"/>
  <c r="G149" i="1" s="1"/>
  <c r="E163" i="1"/>
  <c r="K56" i="1" l="1"/>
  <c r="K53" i="1"/>
  <c r="K52" i="1" s="1"/>
  <c r="K31" i="2"/>
  <c r="H18" i="2"/>
  <c r="H35" i="2"/>
  <c r="I18" i="2"/>
  <c r="I35" i="2"/>
  <c r="L33" i="2"/>
  <c r="M33" i="2" s="1"/>
  <c r="N33" i="2" s="1"/>
  <c r="K33" i="2"/>
  <c r="J13" i="2"/>
  <c r="J14" i="2"/>
  <c r="J16" i="2" s="1"/>
  <c r="J15" i="2"/>
  <c r="L32" i="2"/>
  <c r="M32" i="2" s="1"/>
  <c r="E20" i="2"/>
  <c r="E37" i="2"/>
  <c r="H74" i="1"/>
  <c r="H79" i="1" s="1"/>
  <c r="H149" i="1" s="1"/>
  <c r="H78" i="1"/>
  <c r="H98" i="1" s="1"/>
  <c r="K98" i="1" s="1"/>
  <c r="J156" i="1"/>
  <c r="K61" i="1"/>
  <c r="K63" i="1"/>
  <c r="K60" i="1"/>
  <c r="K59" i="1" s="1"/>
  <c r="O46" i="1"/>
  <c r="P48" i="1"/>
  <c r="H154" i="1"/>
  <c r="H91" i="1"/>
  <c r="H89" i="1"/>
  <c r="H157" i="1" s="1"/>
  <c r="H150" i="1"/>
  <c r="F82" i="1"/>
  <c r="F155" i="1" s="1"/>
  <c r="F154" i="1"/>
  <c r="F89" i="1"/>
  <c r="F157" i="1" s="1"/>
  <c r="F91" i="1"/>
  <c r="F150" i="1"/>
  <c r="L40" i="1"/>
  <c r="L42" i="1"/>
  <c r="L39" i="1"/>
  <c r="L38" i="1" s="1"/>
  <c r="M38" i="1" s="1"/>
  <c r="N38" i="1" s="1"/>
  <c r="G154" i="1"/>
  <c r="G82" i="1"/>
  <c r="G155" i="1" s="1"/>
  <c r="G91" i="1"/>
  <c r="G89" i="1"/>
  <c r="G157" i="1" s="1"/>
  <c r="G150" i="1"/>
  <c r="I102" i="1"/>
  <c r="G148" i="1"/>
  <c r="G98" i="1"/>
  <c r="G94" i="1"/>
  <c r="G101" i="1"/>
  <c r="G102" i="1"/>
  <c r="F148" i="1"/>
  <c r="F98" i="1"/>
  <c r="F101" i="1"/>
  <c r="F102" i="1"/>
  <c r="F94" i="1"/>
  <c r="O39" i="1"/>
  <c r="P41" i="1"/>
  <c r="J152" i="1"/>
  <c r="J159" i="1" s="1"/>
  <c r="J94" i="1"/>
  <c r="J95" i="1"/>
  <c r="J153" i="1" s="1"/>
  <c r="L101" i="1" l="1"/>
  <c r="M101" i="1" s="1"/>
  <c r="L98" i="1"/>
  <c r="M98" i="1" s="1"/>
  <c r="K73" i="1"/>
  <c r="H94" i="1"/>
  <c r="K94" i="1" s="1"/>
  <c r="H101" i="1"/>
  <c r="H82" i="1"/>
  <c r="H155" i="1" s="1"/>
  <c r="H148" i="1"/>
  <c r="H151" i="1" s="1"/>
  <c r="H102" i="1"/>
  <c r="L37" i="2"/>
  <c r="K37" i="2"/>
  <c r="I20" i="2"/>
  <c r="I21" i="2" s="1"/>
  <c r="I37" i="2"/>
  <c r="H20" i="2"/>
  <c r="H21" i="2" s="1"/>
  <c r="H37" i="2"/>
  <c r="N37" i="2" s="1"/>
  <c r="J35" i="2"/>
  <c r="J18" i="2"/>
  <c r="J19" i="2" s="1"/>
  <c r="V20" i="2" s="1"/>
  <c r="V21" i="2" s="1"/>
  <c r="L31" i="2"/>
  <c r="K11" i="2"/>
  <c r="K12" i="2" s="1"/>
  <c r="N32" i="2"/>
  <c r="O38" i="1"/>
  <c r="J154" i="1"/>
  <c r="J91" i="1"/>
  <c r="J82" i="1"/>
  <c r="J155" i="1" s="1"/>
  <c r="P46" i="1"/>
  <c r="Q48" i="1"/>
  <c r="F158" i="1"/>
  <c r="F163" i="1" s="1"/>
  <c r="F104" i="1"/>
  <c r="F105" i="1" s="1"/>
  <c r="G158" i="1"/>
  <c r="G163" i="1" s="1"/>
  <c r="G104" i="1"/>
  <c r="G105" i="1" s="1"/>
  <c r="P39" i="1"/>
  <c r="Q41" i="1"/>
  <c r="J150" i="1"/>
  <c r="J151" i="1" s="1"/>
  <c r="L61" i="1"/>
  <c r="L63" i="1"/>
  <c r="M63" i="1" s="1"/>
  <c r="N63" i="1" s="1"/>
  <c r="O63" i="1" s="1"/>
  <c r="P63" i="1" s="1"/>
  <c r="Q63" i="1" s="1"/>
  <c r="R63" i="1" s="1"/>
  <c r="S63" i="1" s="1"/>
  <c r="T63" i="1" s="1"/>
  <c r="L60" i="1"/>
  <c r="L59" i="1" s="1"/>
  <c r="M62" i="1"/>
  <c r="G151" i="1"/>
  <c r="F151" i="1"/>
  <c r="H104" i="1"/>
  <c r="H105" i="1" s="1"/>
  <c r="H158" i="1"/>
  <c r="H163" i="1" s="1"/>
  <c r="J89" i="1"/>
  <c r="J157" i="1" s="1"/>
  <c r="N98" i="1" l="1"/>
  <c r="O101" i="1"/>
  <c r="N101" i="1"/>
  <c r="M61" i="1"/>
  <c r="N61" i="1" s="1"/>
  <c r="O61" i="1" s="1"/>
  <c r="P61" i="1" s="1"/>
  <c r="Q61" i="1" s="1"/>
  <c r="R61" i="1" s="1"/>
  <c r="S61" i="1" s="1"/>
  <c r="T61" i="1" s="1"/>
  <c r="K14" i="2"/>
  <c r="K13" i="2"/>
  <c r="K15" i="2"/>
  <c r="K16" i="2"/>
  <c r="J20" i="2"/>
  <c r="J21" i="2" s="1"/>
  <c r="M31" i="2"/>
  <c r="L11" i="2"/>
  <c r="P38" i="1"/>
  <c r="R48" i="1"/>
  <c r="Q46" i="1"/>
  <c r="J158" i="1"/>
  <c r="J163" i="1" s="1"/>
  <c r="J104" i="1"/>
  <c r="J105" i="1" s="1"/>
  <c r="K78" i="1"/>
  <c r="K74" i="1"/>
  <c r="K79" i="1" s="1"/>
  <c r="K149" i="1" s="1"/>
  <c r="M60" i="1"/>
  <c r="M59" i="1" s="1"/>
  <c r="N62" i="1"/>
  <c r="L94" i="1"/>
  <c r="M94" i="1" s="1"/>
  <c r="Q39" i="1"/>
  <c r="R41" i="1"/>
  <c r="P101" i="1" l="1"/>
  <c r="Q101" i="1"/>
  <c r="O98" i="1"/>
  <c r="L12" i="2"/>
  <c r="M11" i="2"/>
  <c r="M12" i="2" s="1"/>
  <c r="N31" i="2"/>
  <c r="N11" i="2" s="1"/>
  <c r="N12" i="2" s="1"/>
  <c r="K35" i="2"/>
  <c r="K18" i="2"/>
  <c r="K19" i="2" s="1"/>
  <c r="K20" i="2" s="1"/>
  <c r="K21" i="2" s="1"/>
  <c r="L15" i="2"/>
  <c r="L14" i="2"/>
  <c r="L13" i="2"/>
  <c r="Q38" i="1"/>
  <c r="K93" i="1"/>
  <c r="K148" i="1"/>
  <c r="K100" i="1"/>
  <c r="K97" i="1"/>
  <c r="K160" i="1" s="1"/>
  <c r="F12" i="3"/>
  <c r="F14" i="3" s="1"/>
  <c r="F22" i="3" s="1"/>
  <c r="L27" i="1" s="1"/>
  <c r="K157" i="1"/>
  <c r="N60" i="1"/>
  <c r="N59" i="1" s="1"/>
  <c r="O62" i="1"/>
  <c r="R39" i="1"/>
  <c r="S41" i="1"/>
  <c r="K85" i="1"/>
  <c r="K82" i="1" s="1"/>
  <c r="K155" i="1" s="1"/>
  <c r="K83" i="1"/>
  <c r="R46" i="1"/>
  <c r="S48" i="1"/>
  <c r="N94" i="1"/>
  <c r="O94" i="1" s="1"/>
  <c r="R101" i="1" l="1"/>
  <c r="S101" i="1"/>
  <c r="P98" i="1"/>
  <c r="X11" i="2"/>
  <c r="X12" i="2" s="1"/>
  <c r="L16" i="2"/>
  <c r="X31" i="2"/>
  <c r="P94" i="1"/>
  <c r="Q94" i="1" s="1"/>
  <c r="R94" i="1" s="1"/>
  <c r="L18" i="2"/>
  <c r="L19" i="2" s="1"/>
  <c r="L35" i="2"/>
  <c r="N15" i="2"/>
  <c r="N13" i="2"/>
  <c r="X13" i="2" s="1"/>
  <c r="X32" i="2" s="1"/>
  <c r="N14" i="2"/>
  <c r="M15" i="2"/>
  <c r="X15" i="2" s="1"/>
  <c r="X34" i="2" s="1"/>
  <c r="M14" i="2"/>
  <c r="M13" i="2"/>
  <c r="R38" i="1"/>
  <c r="S46" i="1"/>
  <c r="T48" i="1"/>
  <c r="T46" i="1" s="1"/>
  <c r="T41" i="1"/>
  <c r="T39" i="1" s="1"/>
  <c r="S39" i="1"/>
  <c r="L83" i="1"/>
  <c r="M83" i="1" s="1"/>
  <c r="N83" i="1" s="1"/>
  <c r="O83" i="1" s="1"/>
  <c r="P83" i="1" s="1"/>
  <c r="Q83" i="1" s="1"/>
  <c r="R83" i="1" s="1"/>
  <c r="S83" i="1" s="1"/>
  <c r="T83" i="1" s="1"/>
  <c r="L85" i="1"/>
  <c r="M84" i="1"/>
  <c r="N84" i="1" s="1"/>
  <c r="O84" i="1" s="1"/>
  <c r="P84" i="1" s="1"/>
  <c r="Q84" i="1" s="1"/>
  <c r="R84" i="1" s="1"/>
  <c r="S84" i="1" s="1"/>
  <c r="T84" i="1" s="1"/>
  <c r="K161" i="1"/>
  <c r="K102" i="1"/>
  <c r="K152" i="1"/>
  <c r="K159" i="1" s="1"/>
  <c r="K95" i="1"/>
  <c r="K153" i="1" s="1"/>
  <c r="K142" i="1"/>
  <c r="C142" i="1"/>
  <c r="H27" i="1"/>
  <c r="P27" i="1"/>
  <c r="O60" i="1"/>
  <c r="O59" i="1" s="1"/>
  <c r="P62" i="1"/>
  <c r="K81" i="1"/>
  <c r="T101" i="1" l="1"/>
  <c r="U101" i="1" s="1"/>
  <c r="Q98" i="1"/>
  <c r="R98" i="1"/>
  <c r="N16" i="2"/>
  <c r="N18" i="2" s="1"/>
  <c r="N19" i="2" s="1"/>
  <c r="N20" i="2" s="1"/>
  <c r="N21" i="2" s="1"/>
  <c r="M16" i="2"/>
  <c r="X14" i="2"/>
  <c r="L20" i="2"/>
  <c r="L21" i="2" s="1"/>
  <c r="S94" i="1"/>
  <c r="T94" i="1" s="1"/>
  <c r="M18" i="2"/>
  <c r="M19" i="2" s="1"/>
  <c r="M20" i="2" s="1"/>
  <c r="M21" i="2" s="1"/>
  <c r="M35" i="2"/>
  <c r="N35" i="2"/>
  <c r="S38" i="1"/>
  <c r="T38" i="1" s="1"/>
  <c r="U38" i="1" s="1"/>
  <c r="C141" i="1"/>
  <c r="C140" i="1" s="1"/>
  <c r="C143" i="1"/>
  <c r="C144" i="1" s="1"/>
  <c r="L82" i="1"/>
  <c r="M85" i="1"/>
  <c r="K154" i="1"/>
  <c r="K88" i="1"/>
  <c r="K156" i="1" s="1"/>
  <c r="K143" i="1"/>
  <c r="K144" i="1" s="1"/>
  <c r="K141" i="1"/>
  <c r="K140" i="1" s="1"/>
  <c r="D135" i="1"/>
  <c r="K115" i="1"/>
  <c r="L135" i="1"/>
  <c r="K150" i="1"/>
  <c r="K151" i="1" s="1"/>
  <c r="P60" i="1"/>
  <c r="P59" i="1" s="1"/>
  <c r="Q62" i="1"/>
  <c r="S98" i="1" l="1"/>
  <c r="T98" i="1" s="1"/>
  <c r="U98" i="1" s="1"/>
  <c r="X19" i="2"/>
  <c r="X33" i="2"/>
  <c r="X16" i="2"/>
  <c r="U94" i="1"/>
  <c r="K91" i="1"/>
  <c r="K158" i="1" s="1"/>
  <c r="K163" i="1" s="1"/>
  <c r="M82" i="1"/>
  <c r="M155" i="1" s="1"/>
  <c r="N85" i="1"/>
  <c r="R62" i="1"/>
  <c r="Q60" i="1"/>
  <c r="Q59" i="1" s="1"/>
  <c r="L155" i="1"/>
  <c r="T22" i="1"/>
  <c r="T115" i="1" s="1"/>
  <c r="L115" i="1" s="1"/>
  <c r="M115" i="1" s="1"/>
  <c r="N115" i="1" s="1"/>
  <c r="O115" i="1" s="1"/>
  <c r="P115" i="1" s="1"/>
  <c r="Q115" i="1" s="1"/>
  <c r="R115" i="1" s="1"/>
  <c r="S115" i="1" s="1"/>
  <c r="K116" i="1"/>
  <c r="X18" i="2" l="1"/>
  <c r="X35" i="2"/>
  <c r="L157" i="1"/>
  <c r="M89" i="1"/>
  <c r="L47" i="1"/>
  <c r="L49" i="1"/>
  <c r="L46" i="1"/>
  <c r="L45" i="1" s="1"/>
  <c r="K104" i="1"/>
  <c r="K105" i="1" s="1"/>
  <c r="L116" i="1"/>
  <c r="N82" i="1"/>
  <c r="N155" i="1" s="1"/>
  <c r="O85" i="1"/>
  <c r="R60" i="1"/>
  <c r="R59" i="1" s="1"/>
  <c r="S62" i="1"/>
  <c r="M157" i="1" l="1"/>
  <c r="N89" i="1"/>
  <c r="X37" i="2"/>
  <c r="X20" i="2"/>
  <c r="M45" i="1"/>
  <c r="N45" i="1" s="1"/>
  <c r="O45" i="1" s="1"/>
  <c r="P45" i="1" s="1"/>
  <c r="Q45" i="1" s="1"/>
  <c r="R45" i="1" s="1"/>
  <c r="S45" i="1" s="1"/>
  <c r="T45" i="1" s="1"/>
  <c r="O82" i="1"/>
  <c r="O155" i="1" s="1"/>
  <c r="P85" i="1"/>
  <c r="S60" i="1"/>
  <c r="S59" i="1" s="1"/>
  <c r="T62" i="1"/>
  <c r="T60" i="1" s="1"/>
  <c r="M116" i="1"/>
  <c r="X21" i="2" l="1"/>
  <c r="N157" i="1"/>
  <c r="O89" i="1"/>
  <c r="Q85" i="1"/>
  <c r="P82" i="1"/>
  <c r="P155" i="1" s="1"/>
  <c r="U45" i="1"/>
  <c r="N116" i="1"/>
  <c r="T59" i="1"/>
  <c r="P89" i="1" l="1"/>
  <c r="O157" i="1"/>
  <c r="L68" i="1"/>
  <c r="L66" i="1"/>
  <c r="L53" i="1"/>
  <c r="L52" i="1" s="1"/>
  <c r="U59" i="1"/>
  <c r="R85" i="1"/>
  <c r="Q82" i="1"/>
  <c r="Q155" i="1" s="1"/>
  <c r="O116" i="1"/>
  <c r="L73" i="1" l="1"/>
  <c r="L78" i="1" s="1"/>
  <c r="M53" i="1"/>
  <c r="M52" i="1" s="1"/>
  <c r="Q89" i="1"/>
  <c r="P157" i="1"/>
  <c r="S85" i="1"/>
  <c r="R82" i="1"/>
  <c r="R155" i="1" s="1"/>
  <c r="P116" i="1"/>
  <c r="L74" i="1" l="1"/>
  <c r="L79" i="1" s="1"/>
  <c r="L149" i="1" s="1"/>
  <c r="N53" i="1"/>
  <c r="N52" i="1" s="1"/>
  <c r="Q157" i="1"/>
  <c r="R89" i="1"/>
  <c r="M67" i="1"/>
  <c r="M66" i="1" s="1"/>
  <c r="M73" i="1" s="1"/>
  <c r="L97" i="1"/>
  <c r="L160" i="1" s="1"/>
  <c r="L100" i="1"/>
  <c r="L81" i="1"/>
  <c r="L93" i="1"/>
  <c r="L148" i="1"/>
  <c r="S82" i="1"/>
  <c r="S155" i="1" s="1"/>
  <c r="T85" i="1"/>
  <c r="T82" i="1" s="1"/>
  <c r="T155" i="1" s="1"/>
  <c r="Q116" i="1"/>
  <c r="M78" i="1" l="1"/>
  <c r="M74" i="1"/>
  <c r="M79" i="1" s="1"/>
  <c r="M149" i="1" s="1"/>
  <c r="R157" i="1"/>
  <c r="S89" i="1"/>
  <c r="L152" i="1"/>
  <c r="L159" i="1" s="1"/>
  <c r="L95" i="1"/>
  <c r="L153" i="1" s="1"/>
  <c r="L150" i="1"/>
  <c r="L151" i="1" s="1"/>
  <c r="L154" i="1"/>
  <c r="L88" i="1"/>
  <c r="L156" i="1" s="1"/>
  <c r="N67" i="1"/>
  <c r="N66" i="1" s="1"/>
  <c r="N73" i="1" s="1"/>
  <c r="L161" i="1"/>
  <c r="L102" i="1"/>
  <c r="O53" i="1"/>
  <c r="O52" i="1" s="1"/>
  <c r="R116" i="1"/>
  <c r="L91" i="1" l="1"/>
  <c r="L158" i="1" s="1"/>
  <c r="L163" i="1" s="1"/>
  <c r="O67" i="1"/>
  <c r="O66" i="1" s="1"/>
  <c r="O73" i="1" s="1"/>
  <c r="N78" i="1"/>
  <c r="N74" i="1"/>
  <c r="N79" i="1" s="1"/>
  <c r="N149" i="1" s="1"/>
  <c r="S157" i="1"/>
  <c r="T89" i="1"/>
  <c r="T157" i="1" s="1"/>
  <c r="P53" i="1"/>
  <c r="P52" i="1" s="1"/>
  <c r="M100" i="1"/>
  <c r="M148" i="1"/>
  <c r="M97" i="1"/>
  <c r="M160" i="1" s="1"/>
  <c r="M81" i="1"/>
  <c r="M93" i="1"/>
  <c r="S116" i="1"/>
  <c r="L104" i="1" l="1"/>
  <c r="L105" i="1" s="1"/>
  <c r="M95" i="1"/>
  <c r="M153" i="1" s="1"/>
  <c r="M150" i="1"/>
  <c r="M151" i="1" s="1"/>
  <c r="M152" i="1"/>
  <c r="M159" i="1" s="1"/>
  <c r="M88" i="1"/>
  <c r="M156" i="1" s="1"/>
  <c r="M154" i="1"/>
  <c r="M161" i="1"/>
  <c r="M102" i="1"/>
  <c r="N93" i="1"/>
  <c r="N148" i="1"/>
  <c r="N81" i="1"/>
  <c r="N100" i="1"/>
  <c r="N97" i="1"/>
  <c r="N160" i="1" s="1"/>
  <c r="Q53" i="1"/>
  <c r="Q52" i="1" s="1"/>
  <c r="P67" i="1"/>
  <c r="P66" i="1" s="1"/>
  <c r="P73" i="1" s="1"/>
  <c r="O74" i="1"/>
  <c r="O79" i="1" s="1"/>
  <c r="O149" i="1" s="1"/>
  <c r="O78" i="1"/>
  <c r="T116" i="1"/>
  <c r="K110" i="1" l="1"/>
  <c r="K118" i="1" s="1"/>
  <c r="O81" i="1"/>
  <c r="O93" i="1"/>
  <c r="O100" i="1"/>
  <c r="O97" i="1"/>
  <c r="O160" i="1" s="1"/>
  <c r="O148" i="1"/>
  <c r="P74" i="1"/>
  <c r="P79" i="1" s="1"/>
  <c r="P149" i="1" s="1"/>
  <c r="P78" i="1"/>
  <c r="N161" i="1"/>
  <c r="N102" i="1"/>
  <c r="Q67" i="1"/>
  <c r="Q66" i="1" s="1"/>
  <c r="Q73" i="1" s="1"/>
  <c r="N154" i="1"/>
  <c r="N88" i="1"/>
  <c r="N156" i="1" s="1"/>
  <c r="R53" i="1"/>
  <c r="R52" i="1" s="1"/>
  <c r="N150" i="1"/>
  <c r="N151" i="1" s="1"/>
  <c r="N95" i="1"/>
  <c r="N153" i="1" s="1"/>
  <c r="N152" i="1"/>
  <c r="N159" i="1" s="1"/>
  <c r="M91" i="1"/>
  <c r="N91" i="1" l="1"/>
  <c r="N158" i="1" s="1"/>
  <c r="N163" i="1" s="1"/>
  <c r="P97" i="1"/>
  <c r="P160" i="1" s="1"/>
  <c r="P93" i="1"/>
  <c r="P148" i="1"/>
  <c r="P100" i="1"/>
  <c r="P81" i="1"/>
  <c r="Q78" i="1"/>
  <c r="Q74" i="1"/>
  <c r="Q79" i="1" s="1"/>
  <c r="Q149" i="1" s="1"/>
  <c r="O161" i="1"/>
  <c r="O102" i="1"/>
  <c r="O150" i="1"/>
  <c r="O151" i="1" s="1"/>
  <c r="O95" i="1"/>
  <c r="O153" i="1" s="1"/>
  <c r="O152" i="1"/>
  <c r="O159" i="1" s="1"/>
  <c r="R67" i="1"/>
  <c r="R66" i="1" s="1"/>
  <c r="R73" i="1" s="1"/>
  <c r="M104" i="1"/>
  <c r="M158" i="1"/>
  <c r="M163" i="1" s="1"/>
  <c r="S53" i="1"/>
  <c r="S52" i="1" s="1"/>
  <c r="T53" i="1"/>
  <c r="O88" i="1"/>
  <c r="O156" i="1" s="1"/>
  <c r="O154" i="1"/>
  <c r="N104" i="1" l="1"/>
  <c r="N105" i="1" s="1"/>
  <c r="O91" i="1"/>
  <c r="O104" i="1" s="1"/>
  <c r="P102" i="1"/>
  <c r="P161" i="1"/>
  <c r="P88" i="1"/>
  <c r="P156" i="1" s="1"/>
  <c r="P154" i="1"/>
  <c r="R78" i="1"/>
  <c r="R74" i="1"/>
  <c r="R79" i="1" s="1"/>
  <c r="R149" i="1" s="1"/>
  <c r="P152" i="1"/>
  <c r="P159" i="1" s="1"/>
  <c r="P95" i="1"/>
  <c r="P153" i="1" s="1"/>
  <c r="P150" i="1"/>
  <c r="P151" i="1" s="1"/>
  <c r="Q100" i="1"/>
  <c r="Q97" i="1"/>
  <c r="Q160" i="1" s="1"/>
  <c r="Q148" i="1"/>
  <c r="Q93" i="1"/>
  <c r="Q81" i="1"/>
  <c r="T52" i="1"/>
  <c r="S67" i="1"/>
  <c r="S66" i="1" s="1"/>
  <c r="S73" i="1" s="1"/>
  <c r="M105" i="1"/>
  <c r="L110" i="1"/>
  <c r="M110" i="1" l="1"/>
  <c r="M118" i="1" s="1"/>
  <c r="P91" i="1"/>
  <c r="P158" i="1" s="1"/>
  <c r="P163" i="1" s="1"/>
  <c r="O158" i="1"/>
  <c r="O163" i="1" s="1"/>
  <c r="L111" i="1"/>
  <c r="L118" i="1"/>
  <c r="S78" i="1"/>
  <c r="S74" i="1"/>
  <c r="S79" i="1" s="1"/>
  <c r="S149" i="1" s="1"/>
  <c r="Q102" i="1"/>
  <c r="Q161" i="1"/>
  <c r="U52" i="1"/>
  <c r="T67" i="1"/>
  <c r="T66" i="1" s="1"/>
  <c r="T73" i="1" s="1"/>
  <c r="Q152" i="1"/>
  <c r="Q159" i="1" s="1"/>
  <c r="Q150" i="1"/>
  <c r="Q151" i="1" s="1"/>
  <c r="Q95" i="1"/>
  <c r="Q153" i="1" s="1"/>
  <c r="Q154" i="1"/>
  <c r="Q88" i="1"/>
  <c r="Q156" i="1" s="1"/>
  <c r="R100" i="1"/>
  <c r="R93" i="1"/>
  <c r="R81" i="1"/>
  <c r="R97" i="1"/>
  <c r="R160" i="1" s="1"/>
  <c r="R148" i="1"/>
  <c r="O105" i="1"/>
  <c r="N110" i="1"/>
  <c r="M111" i="1" l="1"/>
  <c r="P104" i="1"/>
  <c r="O110" i="1" s="1"/>
  <c r="O118" i="1" s="1"/>
  <c r="Q91" i="1"/>
  <c r="Q158" i="1" s="1"/>
  <c r="Q163" i="1" s="1"/>
  <c r="R102" i="1"/>
  <c r="R161" i="1"/>
  <c r="S100" i="1"/>
  <c r="S93" i="1"/>
  <c r="S97" i="1"/>
  <c r="S160" i="1" s="1"/>
  <c r="S148" i="1"/>
  <c r="S81" i="1"/>
  <c r="U67" i="1"/>
  <c r="U66" i="1" s="1"/>
  <c r="U73" i="1" s="1"/>
  <c r="R152" i="1"/>
  <c r="R159" i="1" s="1"/>
  <c r="R95" i="1"/>
  <c r="R153" i="1" s="1"/>
  <c r="R150" i="1"/>
  <c r="R151" i="1" s="1"/>
  <c r="T78" i="1"/>
  <c r="T74" i="1"/>
  <c r="T79" i="1" s="1"/>
  <c r="T149" i="1" s="1"/>
  <c r="R154" i="1"/>
  <c r="R88" i="1"/>
  <c r="N111" i="1"/>
  <c r="N118" i="1"/>
  <c r="O111" i="1" l="1"/>
  <c r="P105" i="1"/>
  <c r="Q104" i="1"/>
  <c r="Q105" i="1" s="1"/>
  <c r="T97" i="1"/>
  <c r="T160" i="1" s="1"/>
  <c r="T148" i="1"/>
  <c r="T93" i="1"/>
  <c r="T81" i="1"/>
  <c r="T100" i="1"/>
  <c r="S102" i="1"/>
  <c r="S161" i="1"/>
  <c r="S95" i="1"/>
  <c r="S153" i="1" s="1"/>
  <c r="S152" i="1"/>
  <c r="S159" i="1" s="1"/>
  <c r="S150" i="1"/>
  <c r="S151" i="1" s="1"/>
  <c r="U74" i="1"/>
  <c r="U79" i="1" s="1"/>
  <c r="U149" i="1" s="1"/>
  <c r="U78" i="1"/>
  <c r="S154" i="1"/>
  <c r="S88" i="1"/>
  <c r="S156" i="1" s="1"/>
  <c r="R156" i="1"/>
  <c r="R91" i="1"/>
  <c r="P110" i="1" l="1"/>
  <c r="P118" i="1" s="1"/>
  <c r="T88" i="1"/>
  <c r="T156" i="1" s="1"/>
  <c r="T154" i="1"/>
  <c r="T113" i="1"/>
  <c r="T161" i="1"/>
  <c r="T102" i="1"/>
  <c r="T95" i="1"/>
  <c r="T153" i="1" s="1"/>
  <c r="T152" i="1"/>
  <c r="T159" i="1" s="1"/>
  <c r="T150" i="1"/>
  <c r="T151" i="1" s="1"/>
  <c r="S91" i="1"/>
  <c r="U100" i="1"/>
  <c r="U97" i="1"/>
  <c r="U160" i="1" s="1"/>
  <c r="U81" i="1"/>
  <c r="U148" i="1"/>
  <c r="U93" i="1"/>
  <c r="R104" i="1"/>
  <c r="R158" i="1"/>
  <c r="R163" i="1" s="1"/>
  <c r="P111" i="1" l="1"/>
  <c r="T91" i="1"/>
  <c r="T104" i="1" s="1"/>
  <c r="T105" i="1" s="1"/>
  <c r="U95" i="1"/>
  <c r="U153" i="1" s="1"/>
  <c r="U152" i="1"/>
  <c r="U159" i="1" s="1"/>
  <c r="U150" i="1"/>
  <c r="U151" i="1" s="1"/>
  <c r="U154" i="1"/>
  <c r="U88" i="1"/>
  <c r="U156" i="1" s="1"/>
  <c r="R105" i="1"/>
  <c r="Q110" i="1"/>
  <c r="S158" i="1"/>
  <c r="S163" i="1" s="1"/>
  <c r="S104" i="1"/>
  <c r="R110" i="1" s="1"/>
  <c r="U161" i="1"/>
  <c r="U102" i="1"/>
  <c r="T158" i="1" l="1"/>
  <c r="T163" i="1" s="1"/>
  <c r="U91" i="1"/>
  <c r="U158" i="1" s="1"/>
  <c r="U163" i="1" s="1"/>
  <c r="R111" i="1"/>
  <c r="R118" i="1"/>
  <c r="S105" i="1"/>
  <c r="S110" i="1"/>
  <c r="Q118" i="1"/>
  <c r="Q111" i="1"/>
  <c r="U104" i="1" l="1"/>
  <c r="U105" i="1" s="1"/>
  <c r="S111" i="1"/>
  <c r="S118" i="1"/>
  <c r="T110" i="1" l="1"/>
  <c r="T112" i="1" l="1"/>
  <c r="T114" i="1" s="1"/>
  <c r="T119" i="1" s="1"/>
  <c r="T111" i="1"/>
  <c r="T118" i="1"/>
  <c r="D121" i="1" l="1"/>
  <c r="D127" i="1" s="1"/>
  <c r="D130" i="1" s="1"/>
  <c r="K139" i="1" s="1"/>
  <c r="G4" i="1" l="1"/>
  <c r="S4" i="1" s="1"/>
  <c r="S5" i="1" s="1"/>
  <c r="C139" i="1"/>
  <c r="O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<sst xmlns="http://schemas.openxmlformats.org/spreadsheetml/2006/main" count="304" uniqueCount="168">
  <si>
    <t>Recommendation: BUY</t>
  </si>
  <si>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</si>
  <si>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</si>
  <si>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</si>
  <si>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</si>
  <si>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</si>
  <si>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</si>
  <si>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</si>
  <si>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</si>
  <si>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</si>
  <si>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</si>
  <si>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</si>
  <si>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</si>
  <si>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</si>
  <si>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</si>
  <si>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</si>
  <si>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</si>
  <si>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</si>
  <si>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</si>
  <si>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Book Value of Debt</t>
  </si>
  <si>
    <t>Minority Interest</t>
  </si>
  <si>
    <t>Market Value of Debt</t>
  </si>
  <si>
    <t>Operating Leases</t>
  </si>
  <si>
    <t>Pre-tax Cost of Debt</t>
  </si>
  <si>
    <t>Outstanding Diluted Shares</t>
  </si>
  <si>
    <t>Other</t>
  </si>
  <si>
    <t>Other - 2023</t>
  </si>
  <si>
    <t>Market Numbers</t>
  </si>
  <si>
    <t>Other - 2033</t>
  </si>
  <si>
    <t>Riskfree Rate</t>
  </si>
  <si>
    <t>Equity Risk Premium</t>
  </si>
  <si>
    <t>Beta</t>
  </si>
  <si>
    <t>EBIT</t>
  </si>
  <si>
    <t>EBIT - 2023</t>
  </si>
  <si>
    <t>Terminal Cost of Capital</t>
  </si>
  <si>
    <t>EBIT - 2033</t>
  </si>
  <si>
    <t>Taxes</t>
  </si>
  <si>
    <t>Taxes - 2033</t>
  </si>
  <si>
    <t>WACC</t>
  </si>
  <si>
    <t>TGR</t>
  </si>
  <si>
    <t>EV/EBITDA</t>
  </si>
  <si>
    <t>Valuation Assumptions</t>
  </si>
  <si>
    <t>Manual</t>
  </si>
  <si>
    <t>Revenue Build (12/31 FYE)</t>
  </si>
  <si>
    <t>Ending</t>
  </si>
  <si>
    <t xml:space="preserve">  % growth</t>
  </si>
  <si>
    <t>Optimstic Case</t>
  </si>
  <si>
    <t>DCF (12/31 FYE)</t>
  </si>
  <si>
    <t>Revenue</t>
  </si>
  <si>
    <t>EBIT (Operating Income)</t>
  </si>
  <si>
    <t xml:space="preserve">  % of sales</t>
  </si>
  <si>
    <t xml:space="preserve">  % of EBIT</t>
  </si>
  <si>
    <t>EBIAT</t>
  </si>
  <si>
    <t>D&amp;A</t>
  </si>
  <si>
    <t xml:space="preserve">  % of CapEx</t>
  </si>
  <si>
    <t>CapEx</t>
  </si>
  <si>
    <t>dNWC</t>
  </si>
  <si>
    <t xml:space="preserve">  % of  change in sales</t>
  </si>
  <si>
    <t xml:space="preserve">Unlevered FCF </t>
  </si>
  <si>
    <t>Projection Period (9/30 YE)</t>
  </si>
  <si>
    <t>Adjusted Unlevered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</si>
  <si>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</si>
  <si>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</si>
  <si>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</si>
  <si>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</si>
  <si>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</si>
  <si>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</si>
  <si>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</si>
  <si>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</si>
  <si>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</si>
  <si>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</si>
  <si>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</si>
  <si>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</si>
  <si>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</si>
  <si>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</si>
  <si>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</si>
  <si>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</si>
  <si>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</si>
  <si>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</si>
  <si>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</si>
  <si>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</si>
  <si>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Summary Financials (12/31 FYE)</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</si>
  <si>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</si>
  <si>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</si>
  <si>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</si>
  <si>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</si>
  <si>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</si>
  <si>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</si>
  <si>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</si>
  <si>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</si>
  <si>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</si>
  <si>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</si>
  <si>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</si>
  <si>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</si>
  <si>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</si>
  <si>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</si>
  <si>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Q422E</t>
  </si>
  <si>
    <t>Q123E</t>
  </si>
  <si>
    <t>Q223E</t>
  </si>
  <si>
    <t>Q323E</t>
  </si>
  <si>
    <t>Q423E</t>
  </si>
  <si>
    <t>2016A</t>
  </si>
  <si>
    <t>2017A</t>
  </si>
  <si>
    <t>2018A</t>
  </si>
  <si>
    <t>2022E</t>
  </si>
  <si>
    <t>G&amp;A</t>
  </si>
  <si>
    <t>Net Income</t>
  </si>
  <si>
    <t>EPS</t>
  </si>
  <si>
    <t>Revenue y/y</t>
  </si>
  <si>
    <t>G&amp;A % of sales</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</si>
  <si>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</si>
  <si>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</si>
  <si>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</si>
  <si>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</si>
  <si>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</si>
  <si>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</si>
  <si>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</si>
  <si>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</si>
  <si>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E/(D+E)</t>
  </si>
  <si>
    <t>Cost of Equity</t>
  </si>
  <si>
    <t>Google DCF</t>
  </si>
  <si>
    <t>Other Bets</t>
  </si>
  <si>
    <t>Hedging gains (losses)</t>
  </si>
  <si>
    <t>Total Revenues</t>
  </si>
  <si>
    <t>COGS</t>
  </si>
  <si>
    <t>Gross Profit</t>
  </si>
  <si>
    <t>R&amp;D</t>
  </si>
  <si>
    <t>S&amp;M</t>
  </si>
  <si>
    <t>Operating Income</t>
  </si>
  <si>
    <t>Other Income (expense)</t>
  </si>
  <si>
    <t>Pretax Income</t>
  </si>
  <si>
    <t>Income Tax</t>
  </si>
  <si>
    <t>Shares</t>
  </si>
  <si>
    <t>Gross Margin</t>
  </si>
  <si>
    <t>Operating Margin</t>
  </si>
  <si>
    <t>EPS Consensus</t>
  </si>
  <si>
    <t>Search</t>
  </si>
  <si>
    <t>YouTube</t>
  </si>
  <si>
    <t>Network</t>
  </si>
  <si>
    <t>Cloud</t>
  </si>
  <si>
    <t>Search y/y</t>
  </si>
  <si>
    <t>YouTube y/y</t>
  </si>
  <si>
    <t>Network y/y</t>
  </si>
  <si>
    <t>Other y/y</t>
  </si>
  <si>
    <t>Cloud y/y</t>
  </si>
  <si>
    <t>R&amp;D % of sales</t>
  </si>
  <si>
    <t>S&amp;M % of sales</t>
  </si>
  <si>
    <t>Revenue Consensus ($ in B)</t>
  </si>
  <si>
    <t># of Analysts</t>
  </si>
  <si>
    <t>Total Revenue (excl. other bets &amp; hedging)</t>
  </si>
  <si>
    <t>n/a</t>
  </si>
  <si>
    <t>Revenue (excl. other bets &amp; hedging)</t>
  </si>
  <si>
    <t>Search - 2023</t>
  </si>
  <si>
    <t>Search - 2024</t>
  </si>
  <si>
    <t>Search - 2033</t>
  </si>
  <si>
    <t>YouTube - 2023</t>
  </si>
  <si>
    <t>YouTube - 2024</t>
  </si>
  <si>
    <t>YouTube - 2033</t>
  </si>
  <si>
    <t>Network - 2023</t>
  </si>
  <si>
    <t>Network - 2024</t>
  </si>
  <si>
    <t>Network - 2033</t>
  </si>
  <si>
    <t>Cloud - 2023</t>
  </si>
  <si>
    <t>Cloud - 2024</t>
  </si>
  <si>
    <t>Cloud - 2033</t>
  </si>
  <si>
    <t>GOOGL</t>
  </si>
  <si>
    <t>Price Target: $117.42</t>
  </si>
  <si>
    <t>10yr CAGR: 11.38%</t>
  </si>
  <si>
    <t>Implied Upside: 19.79%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</si>
</sst>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5"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sz val="12"/>
      <color theme="9"/>
      <name val="Calibri"/>
      <family val="2"/>
      <scheme val="minor"/>
    </font>
    <font>
      <i/>
      <sz val="12"/>
      <name val="Calibri"/>
      <family val="2"/>
      <scheme val="minor"/>
    </font>
    <font>
      <sz val="12"/>
      <color rgb="FF7030A0"/>
      <name val="Calibri"/>
      <family val="2"/>
      <scheme val="minor"/>
    </font>
    <font>
      <i/>
      <sz val="12"/>
      <color theme="1"/>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
      <b/>
      <sz val="18"/>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8" fillId="0" borderId="0"/>
    <xf numFmtId="9" fontId="8" fillId="0" borderId="0" applyFont="0" applyFill="0" applyBorder="0" applyAlignment="0" applyProtection="0"/>
    <xf numFmtId="0" fontId="1" fillId="0" borderId="0"/>
    <xf numFmtId="9" fontId="1" fillId="0" borderId="0" applyFont="0" applyFill="0" applyBorder="0" applyAlignment="0" applyProtection="0"/>
  </cellStyleXfs>
  <cellXfs count="170">
    <xf numFmtId="0" fontId="0" fillId="0" borderId="0" xfId="0"/>
    <xf numFmtId="0" fontId="9" fillId="0" borderId="2" xfId="4" applyFont="1" applyBorder="1"/>
    <xf numFmtId="0" fontId="10" fillId="0" borderId="2" xfId="4" applyFont="1" applyBorder="1"/>
    <xf numFmtId="0" fontId="11" fillId="0" borderId="2" xfId="4" applyFont="1" applyBorder="1"/>
    <xf numFmtId="0" fontId="12" fillId="0" borderId="2" xfId="4" applyFont="1" applyBorder="1"/>
    <xf numFmtId="0" fontId="9" fillId="0" borderId="0" xfId="4"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5" applyNumberFormat="1" applyFont="1" applyFill="1" applyBorder="1" applyAlignment="1" applyProtection="1">
      <alignment horizontal="center"/>
    </xf>
    <xf numFmtId="0" fontId="4" fillId="4" borderId="0" xfId="4" applyFont="1" applyFill="1"/>
    <xf numFmtId="0" fontId="13" fillId="4" borderId="0" xfId="4" applyFont="1" applyFill="1"/>
    <xf numFmtId="0" fontId="14" fillId="4" borderId="0" xfId="4" applyFont="1" applyFill="1"/>
    <xf numFmtId="0" fontId="9" fillId="4" borderId="0" xfId="4" applyFont="1" applyFill="1"/>
    <xf numFmtId="0" fontId="15" fillId="0" borderId="0" xfId="4" applyFont="1"/>
    <xf numFmtId="0" fontId="8" fillId="0" borderId="0" xfId="4"/>
    <xf numFmtId="0" fontId="3" fillId="3" borderId="1" xfId="3" applyAlignment="1" applyProtection="1">
      <alignment horizontal="center"/>
      <protection locked="0"/>
    </xf>
    <xf numFmtId="9" fontId="3" fillId="3" borderId="1" xfId="5" applyFont="1" applyFill="1" applyBorder="1" applyAlignment="1" applyProtection="1">
      <alignment horizontal="center"/>
    </xf>
    <xf numFmtId="0" fontId="8" fillId="0" borderId="0" xfId="4" applyAlignment="1">
      <alignment horizontal="center"/>
    </xf>
    <xf numFmtId="37" fontId="3" fillId="3" borderId="1" xfId="5" applyNumberFormat="1" applyFont="1" applyFill="1" applyBorder="1" applyAlignment="1" applyProtection="1">
      <alignment horizontal="center"/>
      <protection locked="0"/>
    </xf>
    <xf numFmtId="0" fontId="9" fillId="0" borderId="0" xfId="4" applyFont="1" applyAlignment="1">
      <alignment horizontal="center"/>
    </xf>
    <xf numFmtId="165" fontId="3" fillId="3" borderId="1" xfId="5" applyNumberFormat="1" applyFont="1" applyFill="1" applyBorder="1" applyAlignment="1" applyProtection="1">
      <alignment horizontal="center"/>
      <protection locked="0"/>
    </xf>
    <xf numFmtId="0" fontId="3" fillId="3" borderId="1" xfId="5" applyNumberFormat="1" applyFont="1" applyFill="1" applyBorder="1" applyAlignment="1" applyProtection="1">
      <alignment horizontal="center"/>
      <protection locked="0"/>
    </xf>
    <xf numFmtId="9" fontId="3" fillId="3" borderId="1" xfId="5" applyFont="1" applyFill="1" applyBorder="1" applyAlignment="1" applyProtection="1">
      <alignment horizontal="center"/>
      <protection locked="0"/>
    </xf>
    <xf numFmtId="165" fontId="3" fillId="3" borderId="1" xfId="5" applyNumberFormat="1" applyFont="1" applyFill="1" applyBorder="1" applyAlignment="1" applyProtection="1">
      <alignment horizontal="center"/>
    </xf>
    <xf numFmtId="165" fontId="16" fillId="3" borderId="1" xfId="3" applyNumberFormat="1" applyFont="1" applyAlignment="1" applyProtection="1">
      <alignment horizontal="center"/>
    </xf>
    <xf numFmtId="165" fontId="3" fillId="3" borderId="1" xfId="3" applyNumberFormat="1" applyAlignment="1" applyProtection="1">
      <alignment horizontal="center"/>
    </xf>
    <xf numFmtId="166" fontId="3" fillId="3" borderId="1" xfId="3" applyNumberFormat="1" applyAlignment="1" applyProtection="1">
      <alignment horizontal="center"/>
    </xf>
    <xf numFmtId="166" fontId="9" fillId="0" borderId="0" xfId="4" applyNumberFormat="1" applyFont="1"/>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167" fontId="4" fillId="4" borderId="0" xfId="4" applyNumberFormat="1" applyFont="1" applyFill="1"/>
    <xf numFmtId="168" fontId="4" fillId="4" borderId="0" xfId="4" applyNumberFormat="1" applyFont="1" applyFill="1"/>
    <xf numFmtId="17" fontId="4" fillId="4" borderId="0" xfId="4" applyNumberFormat="1" applyFont="1" applyFill="1"/>
    <xf numFmtId="37" fontId="16" fillId="0" borderId="0" xfId="4" applyNumberFormat="1" applyFont="1"/>
    <xf numFmtId="37" fontId="16" fillId="0" borderId="3" xfId="4" applyNumberFormat="1" applyFont="1" applyBorder="1"/>
    <xf numFmtId="37" fontId="9" fillId="0" borderId="0" xfId="4" applyNumberFormat="1" applyFont="1"/>
    <xf numFmtId="0" fontId="17" fillId="0" borderId="0" xfId="4" applyFont="1"/>
    <xf numFmtId="9" fontId="17" fillId="0" borderId="0" xfId="5" applyFont="1" applyProtection="1"/>
    <xf numFmtId="9" fontId="17" fillId="0" borderId="3" xfId="5" applyFont="1" applyBorder="1" applyProtection="1"/>
    <xf numFmtId="2" fontId="9" fillId="0" borderId="3" xfId="4" applyNumberFormat="1" applyFont="1" applyBorder="1"/>
    <xf numFmtId="9" fontId="18" fillId="3" borderId="4" xfId="3" applyNumberFormat="1" applyFont="1" applyBorder="1" applyProtection="1"/>
    <xf numFmtId="9" fontId="18" fillId="3" borderId="1" xfId="3" applyNumberFormat="1" applyFont="1" applyProtection="1"/>
    <xf numFmtId="9" fontId="3" fillId="3" borderId="1" xfId="3" applyNumberFormat="1" applyProtection="1"/>
    <xf numFmtId="0" fontId="9" fillId="0" borderId="3" xfId="4" applyFont="1" applyBorder="1"/>
    <xf numFmtId="9" fontId="16" fillId="3" borderId="4" xfId="3" applyNumberFormat="1" applyFont="1" applyBorder="1" applyProtection="1"/>
    <xf numFmtId="9" fontId="16" fillId="3" borderId="1" xfId="3" applyNumberFormat="1" applyFont="1" applyProtection="1"/>
    <xf numFmtId="9" fontId="3" fillId="3" borderId="4" xfId="3" applyNumberFormat="1" applyBorder="1" applyProtection="1">
      <protection locked="0"/>
    </xf>
    <xf numFmtId="9" fontId="3" fillId="3" borderId="1" xfId="3" applyNumberFormat="1" applyProtection="1">
      <protection locked="0"/>
    </xf>
    <xf numFmtId="37" fontId="1" fillId="0" borderId="0" xfId="4" applyNumberFormat="1" applyFont="1"/>
    <xf numFmtId="0" fontId="0" fillId="0" borderId="3" xfId="0" applyBorder="1"/>
    <xf numFmtId="0" fontId="15" fillId="0" borderId="5" xfId="4" applyFont="1" applyBorder="1"/>
    <xf numFmtId="0" fontId="9" fillId="0" borderId="5" xfId="4" applyFont="1" applyBorder="1"/>
    <xf numFmtId="37" fontId="9" fillId="0" borderId="5" xfId="4" applyNumberFormat="1" applyFont="1" applyBorder="1"/>
    <xf numFmtId="37" fontId="9" fillId="0" borderId="6" xfId="4" applyNumberFormat="1" applyFont="1" applyBorder="1"/>
    <xf numFmtId="37" fontId="18" fillId="0" borderId="0" xfId="4" applyNumberFormat="1" applyFont="1"/>
    <xf numFmtId="37" fontId="18" fillId="0" borderId="3" xfId="4" applyNumberFormat="1" applyFont="1" applyBorder="1"/>
    <xf numFmtId="0" fontId="19" fillId="0" borderId="0" xfId="4" applyFont="1"/>
    <xf numFmtId="9" fontId="19" fillId="0" borderId="0" xfId="4" applyNumberFormat="1" applyFont="1"/>
    <xf numFmtId="9" fontId="19" fillId="0" borderId="3" xfId="4" applyNumberFormat="1" applyFont="1" applyBorder="1"/>
    <xf numFmtId="0" fontId="1" fillId="0" borderId="0" xfId="4" applyFont="1"/>
    <xf numFmtId="0" fontId="1" fillId="0" borderId="3" xfId="4" applyFont="1" applyBorder="1"/>
    <xf numFmtId="9" fontId="19" fillId="0" borderId="0" xfId="5" applyFont="1" applyProtection="1"/>
    <xf numFmtId="9" fontId="19" fillId="0" borderId="3" xfId="5" applyFont="1" applyBorder="1" applyProtection="1"/>
    <xf numFmtId="9" fontId="20" fillId="0" borderId="0" xfId="5" applyFont="1" applyProtection="1"/>
    <xf numFmtId="9" fontId="20" fillId="0" borderId="0" xfId="4" applyNumberFormat="1" applyFont="1"/>
    <xf numFmtId="9" fontId="21" fillId="0" borderId="0" xfId="4" applyNumberFormat="1" applyFont="1"/>
    <xf numFmtId="0" fontId="9" fillId="0" borderId="7" xfId="4" applyFont="1" applyBorder="1"/>
    <xf numFmtId="37" fontId="1" fillId="0" borderId="7" xfId="4" applyNumberFormat="1" applyFont="1" applyBorder="1"/>
    <xf numFmtId="37" fontId="1" fillId="0" borderId="8" xfId="4" applyNumberFormat="1" applyFont="1" applyBorder="1"/>
    <xf numFmtId="0" fontId="1" fillId="0" borderId="6" xfId="4" applyFont="1" applyBorder="1"/>
    <xf numFmtId="9" fontId="22" fillId="0" borderId="0" xfId="5" applyFont="1" applyProtection="1"/>
    <xf numFmtId="37" fontId="1" fillId="0" borderId="3" xfId="4" applyNumberFormat="1" applyFont="1" applyBorder="1"/>
    <xf numFmtId="37" fontId="19" fillId="0" borderId="0" xfId="4" applyNumberFormat="1" applyFont="1"/>
    <xf numFmtId="9" fontId="1" fillId="0" borderId="0" xfId="5" applyFont="1" applyProtection="1"/>
    <xf numFmtId="9" fontId="1" fillId="0" borderId="3" xfId="5" applyFont="1" applyBorder="1" applyProtection="1"/>
    <xf numFmtId="37" fontId="1" fillId="0" borderId="5" xfId="5" applyNumberFormat="1" applyFont="1" applyBorder="1" applyProtection="1"/>
    <xf numFmtId="37" fontId="1" fillId="0" borderId="6" xfId="5" applyNumberFormat="1" applyFont="1" applyBorder="1" applyProtection="1"/>
    <xf numFmtId="9" fontId="19" fillId="0" borderId="0" xfId="5" applyFont="1" applyBorder="1" applyProtection="1"/>
    <xf numFmtId="9" fontId="9" fillId="0" borderId="0" xfId="5" applyFont="1" applyBorder="1" applyProtection="1"/>
    <xf numFmtId="9" fontId="9" fillId="0" borderId="3" xfId="5" applyFont="1" applyBorder="1" applyProtection="1"/>
    <xf numFmtId="37" fontId="9" fillId="0" borderId="0" xfId="5" applyNumberFormat="1" applyFont="1" applyBorder="1" applyProtection="1"/>
    <xf numFmtId="9" fontId="2" fillId="2" borderId="0" xfId="5" applyFont="1" applyFill="1" applyProtection="1"/>
    <xf numFmtId="37" fontId="4" fillId="4" borderId="0" xfId="4" applyNumberFormat="1" applyFont="1" applyFill="1"/>
    <xf numFmtId="0" fontId="6" fillId="0" borderId="0" xfId="4" applyFont="1"/>
    <xf numFmtId="9" fontId="9" fillId="0" borderId="0" xfId="5" applyFont="1" applyProtection="1"/>
    <xf numFmtId="37" fontId="9" fillId="0" borderId="0" xfId="5" applyNumberFormat="1" applyFont="1" applyProtection="1"/>
    <xf numFmtId="0" fontId="17" fillId="0" borderId="3" xfId="4" applyFont="1" applyBorder="1"/>
    <xf numFmtId="37" fontId="9" fillId="0" borderId="9" xfId="4" applyNumberFormat="1" applyFont="1" applyBorder="1"/>
    <xf numFmtId="0" fontId="9" fillId="0" borderId="9" xfId="4" applyFont="1" applyBorder="1"/>
    <xf numFmtId="0" fontId="9" fillId="0" borderId="10" xfId="4" applyFont="1" applyBorder="1"/>
    <xf numFmtId="165" fontId="18" fillId="0" borderId="0" xfId="5" applyNumberFormat="1" applyFont="1" applyProtection="1"/>
    <xf numFmtId="165" fontId="1" fillId="0" borderId="0" xfId="5" applyNumberFormat="1" applyFont="1" applyProtection="1"/>
    <xf numFmtId="2" fontId="9" fillId="0" borderId="0" xfId="4" applyNumberFormat="1" applyFont="1"/>
    <xf numFmtId="0" fontId="9" fillId="0" borderId="8" xfId="4" applyFont="1" applyBorder="1"/>
    <xf numFmtId="37" fontId="9" fillId="0" borderId="7" xfId="4" applyNumberFormat="1" applyFont="1" applyBorder="1"/>
    <xf numFmtId="0" fontId="13" fillId="0" borderId="5" xfId="4" applyFont="1" applyBorder="1"/>
    <xf numFmtId="3" fontId="18" fillId="0" borderId="0" xfId="4" applyNumberFormat="1" applyFont="1"/>
    <xf numFmtId="3" fontId="1" fillId="0" borderId="5" xfId="4" applyNumberFormat="1" applyFont="1" applyBorder="1"/>
    <xf numFmtId="3" fontId="18" fillId="0" borderId="9" xfId="4" applyNumberFormat="1" applyFont="1" applyBorder="1"/>
    <xf numFmtId="0" fontId="13" fillId="0" borderId="0" xfId="4" applyFont="1"/>
    <xf numFmtId="4" fontId="9" fillId="0" borderId="0" xfId="4" applyNumberFormat="1" applyFont="1"/>
    <xf numFmtId="0" fontId="7" fillId="4" borderId="0" xfId="4" applyFont="1" applyFill="1"/>
    <xf numFmtId="37" fontId="7" fillId="4" borderId="0" xfId="4" applyNumberFormat="1" applyFont="1" applyFill="1"/>
    <xf numFmtId="165" fontId="18" fillId="3" borderId="1" xfId="3" applyNumberFormat="1" applyFont="1" applyAlignment="1" applyProtection="1">
      <alignment horizontal="center"/>
    </xf>
    <xf numFmtId="166" fontId="18" fillId="3" borderId="1" xfId="3" applyNumberFormat="1" applyFont="1" applyAlignment="1" applyProtection="1">
      <alignment horizontal="center"/>
    </xf>
    <xf numFmtId="166" fontId="3" fillId="3" borderId="1" xfId="5" applyNumberFormat="1" applyFont="1" applyFill="1" applyBorder="1" applyAlignment="1" applyProtection="1">
      <alignment horizontal="center"/>
      <protection locked="0"/>
    </xf>
    <xf numFmtId="165" fontId="9" fillId="5" borderId="0" xfId="4" applyNumberFormat="1" applyFont="1" applyFill="1"/>
    <xf numFmtId="165" fontId="9" fillId="5" borderId="0" xfId="5" applyNumberFormat="1" applyFont="1" applyFill="1" applyProtection="1"/>
    <xf numFmtId="166" fontId="9" fillId="5" borderId="0" xfId="4" applyNumberFormat="1" applyFont="1" applyFill="1"/>
    <xf numFmtId="165" fontId="9" fillId="5" borderId="0" xfId="5" applyNumberFormat="1" applyFont="1" applyFill="1" applyAlignment="1" applyProtection="1"/>
    <xf numFmtId="2" fontId="9" fillId="5" borderId="0" xfId="4" applyNumberFormat="1" applyFont="1" applyFill="1"/>
    <xf numFmtId="2" fontId="7" fillId="4" borderId="0" xfId="4" applyNumberFormat="1" applyFont="1" applyFill="1"/>
    <xf numFmtId="37" fontId="9" fillId="0" borderId="3" xfId="4" applyNumberFormat="1" applyFont="1" applyBorder="1"/>
    <xf numFmtId="9" fontId="17" fillId="0" borderId="0" xfId="4" applyNumberFormat="1" applyFont="1"/>
    <xf numFmtId="9" fontId="17" fillId="0" borderId="3" xfId="4" applyNumberFormat="1" applyFont="1" applyBorder="1"/>
    <xf numFmtId="37" fontId="9" fillId="0" borderId="10" xfId="4" applyNumberFormat="1" applyFont="1" applyBorder="1"/>
    <xf numFmtId="0" fontId="1" fillId="0" borderId="2" xfId="6" applyBorder="1"/>
    <xf numFmtId="0" fontId="24" fillId="0" borderId="2" xfId="6" applyFont="1" applyBorder="1"/>
    <xf numFmtId="0" fontId="1" fillId="0" borderId="0" xfId="6"/>
    <xf numFmtId="3" fontId="1" fillId="0" borderId="0" xfId="6" applyNumberFormat="1"/>
    <xf numFmtId="38" fontId="1" fillId="0" borderId="0" xfId="6" applyNumberFormat="1"/>
    <xf numFmtId="10" fontId="1" fillId="0" borderId="0" xfId="7" applyNumberFormat="1" applyFont="1"/>
    <xf numFmtId="0" fontId="1" fillId="0" borderId="9" xfId="6" applyBorder="1"/>
    <xf numFmtId="10" fontId="1" fillId="0" borderId="9" xfId="7" applyNumberFormat="1" applyFont="1" applyBorder="1"/>
    <xf numFmtId="0" fontId="6" fillId="0" borderId="7" xfId="6" applyFont="1" applyBorder="1"/>
    <xf numFmtId="0" fontId="1" fillId="0" borderId="7" xfId="6" applyBorder="1"/>
    <xf numFmtId="10" fontId="1" fillId="0" borderId="7" xfId="6" applyNumberFormat="1" applyBorder="1"/>
    <xf numFmtId="10" fontId="1" fillId="0" borderId="0" xfId="6" applyNumberFormat="1"/>
    <xf numFmtId="0" fontId="6" fillId="0" borderId="0" xfId="6" applyFont="1"/>
    <xf numFmtId="0" fontId="6" fillId="0" borderId="7" xfId="6" applyFont="1" applyBorder="1" applyAlignment="1">
      <alignment vertical="center"/>
    </xf>
    <xf numFmtId="0" fontId="1" fillId="0" borderId="7" xfId="6" applyBorder="1" applyAlignment="1">
      <alignment vertical="center"/>
    </xf>
    <xf numFmtId="10" fontId="6" fillId="0" borderId="7" xfId="6" applyNumberFormat="1" applyFont="1" applyBorder="1" applyAlignment="1">
      <alignment vertical="center"/>
    </xf>
    <xf numFmtId="9" fontId="6" fillId="0" borderId="0" xfId="2" applyFont="1" applyBorder="1"/>
    <xf numFmtId="9" fontId="0" fillId="0" borderId="0" xfId="2" applyFont="1" applyBorder="1"/>
    <xf numFmtId="0" fontId="6" fillId="0" borderId="0" xfId="0" applyFont="1"/>
    <xf numFmtId="37" fontId="0" fillId="0" borderId="0" xfId="0" applyNumberFormat="1"/>
    <xf numFmtId="37" fontId="6" fillId="0" borderId="0" xfId="0" applyNumberFormat="1" applyFont="1"/>
    <xf numFmtId="0" fontId="0" fillId="0" borderId="0" xfId="0" applyAlignment="1">
      <alignment horizontal="right"/>
    </xf>
    <xf numFmtId="14" fontId="0" fillId="0" borderId="0" xfId="0" applyNumberFormat="1" applyAlignment="1">
      <alignment horizontal="right"/>
    </xf>
    <xf numFmtId="0" fontId="1" fillId="0" borderId="0" xfId="4" applyFont="1" applyAlignment="1">
      <alignment horizontal="left"/>
    </xf>
    <xf numFmtId="0" fontId="1" fillId="0" borderId="0" xfId="4" applyFont="1" applyAlignment="1">
      <alignment horizontal="right"/>
    </xf>
    <xf numFmtId="167" fontId="0" fillId="0" borderId="0" xfId="0" applyNumberFormat="1"/>
    <xf numFmtId="167" fontId="0" fillId="0" borderId="0" xfId="0" applyNumberFormat="1" applyAlignment="1">
      <alignment horizontal="right"/>
    </xf>
    <xf numFmtId="168" fontId="0" fillId="0" borderId="0" xfId="0" applyNumberFormat="1"/>
    <xf numFmtId="37" fontId="0" fillId="0" borderId="0" xfId="0" applyNumberFormat="1" applyAlignment="1">
      <alignment horizontal="right"/>
    </xf>
    <xf numFmtId="37" fontId="5" fillId="0" borderId="0" xfId="0" applyNumberFormat="1" applyFont="1"/>
    <xf numFmtId="3" fontId="0" fillId="0" borderId="0" xfId="0" applyNumberFormat="1"/>
    <xf numFmtId="9" fontId="5" fillId="0" borderId="0" xfId="2" applyFont="1" applyBorder="1"/>
    <xf numFmtId="2" fontId="0" fillId="0" borderId="0" xfId="0" applyNumberFormat="1"/>
    <xf numFmtId="9" fontId="1" fillId="0" borderId="0" xfId="2" applyFont="1" applyBorder="1"/>
    <xf numFmtId="37" fontId="0" fillId="0" borderId="0" xfId="2" applyNumberFormat="1" applyFont="1" applyBorder="1"/>
    <xf numFmtId="9" fontId="19" fillId="0" borderId="0" xfId="2" applyFont="1" applyBorder="1"/>
    <xf numFmtId="0" fontId="19" fillId="0" borderId="0" xfId="0" applyFont="1"/>
    <xf numFmtId="37" fontId="1" fillId="0" borderId="0" xfId="2" applyNumberFormat="1" applyFont="1" applyBorder="1"/>
    <xf numFmtId="0" fontId="23" fillId="4" borderId="0" xfId="4" applyFont="1" applyFill="1" applyAlignment="1">
      <alignment horizontal="center" vertical="center"/>
    </xf>
    <xf numFmtId="0" fontId="4" fillId="4" borderId="0" xfId="6" applyFont="1" applyFill="1" applyAlignment="1">
      <alignment horizontal="center" vertical="center"/>
    </xf>
    <xf numFmtId="0" fontId="7" fillId="4" borderId="0" xfId="6" applyFont="1" applyFill="1" applyAlignment="1">
      <alignment horizontal="center" vertical="center"/>
    </xf>
    <xf numFmtId="37" fontId="0" fillId="0" borderId="0" xfId="0" applyNumberFormat="1" applyFont="1"/>
    <xf numFmtId="39" fontId="0" fillId="0" borderId="0" xfId="0" applyNumberFormat="1"/>
    <xf numFmtId="37" fontId="16" fillId="0" borderId="5" xfId="4" applyNumberFormat="1" applyFont="1" applyBorder="1"/>
    <xf numFmtId="0" fontId="17" fillId="0" borderId="0" xfId="4" applyFont="1" applyAlignment="1">
      <alignment horizontal="right"/>
    </xf>
    <xf numFmtId="0" fontId="9" fillId="0" borderId="0" xfId="4" applyFont="1" applyAlignment="1">
      <alignment horizontal="right"/>
    </xf>
    <xf numFmtId="37" fontId="1" fillId="0" borderId="0" xfId="4" applyNumberFormat="1" applyFont="1" applyAlignment="1">
      <alignment horizontal="right"/>
    </xf>
    <xf numFmtId="0" fontId="19" fillId="0" borderId="0" xfId="4" applyFont="1" applyAlignment="1">
      <alignment horizontal="right"/>
    </xf>
    <xf numFmtId="0" fontId="1" fillId="0" borderId="0" xfId="0" applyFont="1" applyAlignment="1">
      <alignment horizontal="right"/>
    </xf>
    <xf numFmtId="37" fontId="0" fillId="0" borderId="0" xfId="2" applyNumberFormat="1" applyFont="1" applyFill="1" applyBorder="1"/>
    <xf numFmtId="9" fontId="17" fillId="0" borderId="0" xfId="5" applyNumberFormat="1" applyFont="1" applyProtection="1"/>
  </cellXfs>
  <cellStyles count="8">
    <cellStyle name="Currency" xfId="1" builtinId="4"/>
    <cellStyle name="Input" xfId="3" builtinId="20"/>
    <cellStyle name="Normal" xfId="0" builtinId="0"/>
    <cellStyle name="Normal 2" xfId="4" xr:uid="{489C48D6-9780-A04D-9472-0F195178B5FE}"/>
    <cellStyle name="Normal 2 2" xfId="6" xr:uid="{3A7370E8-B935-C24D-A5CB-775C3DED2BD3}"/>
    <cellStyle name="Percent" xfId="2" builtinId="5"/>
    <cellStyle name="Percent 2" xfId="5" xr:uid="{283BE893-5256-D940-B39A-E3D81BFE3033}"/>
    <cellStyle name="Percent 2 2" xfId="7" xr:uid="{A82F3D57-87BB-7B41-984F-FFC49E494B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9</xdr:col>
      <xdr:colOff>7055</xdr:colOff>
      <xdr:row>0</xdr:row>
      <xdr:rowOff>148166</xdr:rowOff>
    </xdr:from>
    <xdr:to>
      <xdr:col>9</xdr:col>
      <xdr:colOff>25400</xdr:colOff>
      <xdr:row>51</xdr:row>
      <xdr:rowOff>53622</xdr:rowOff>
    </xdr:to>
    <xdr:cxnSp macro="">
      <xdr:nvCxnSpPr>
        <xdr:cNvPr id="2" name="Straight Connector 1">
          <a:extLst>
            <a:ext uri="{FF2B5EF4-FFF2-40B4-BE49-F238E27FC236}">
              <a16:creationId xmlns:a16="http://schemas.microsoft.com/office/drawing/2014/main" id="{1A27A733-BC2D-F241-8804-7CE9A583A783}"/>
            </a:ext>
          </a:extLst>
        </xdr:cNvPr>
        <xdr:cNvCxnSpPr/>
      </xdr:nvCxnSpPr>
      <xdr:spPr>
        <a:xfrm>
          <a:off x="8655755" y="148166"/>
          <a:ext cx="18345" cy="10268656"/>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824345</xdr:colOff>
      <xdr:row>1</xdr:row>
      <xdr:rowOff>5773</xdr:rowOff>
    </xdr:from>
    <xdr:to>
      <xdr:col>22</xdr:col>
      <xdr:colOff>10391</xdr:colOff>
      <xdr:row>50</xdr:row>
      <xdr:rowOff>132773</xdr:rowOff>
    </xdr:to>
    <xdr:cxnSp macro="">
      <xdr:nvCxnSpPr>
        <xdr:cNvPr id="3" name="Straight Connector 2">
          <a:extLst>
            <a:ext uri="{FF2B5EF4-FFF2-40B4-BE49-F238E27FC236}">
              <a16:creationId xmlns:a16="http://schemas.microsoft.com/office/drawing/2014/main" id="{30EEB909-91AC-0F48-A359-D094B56F58B1}"/>
            </a:ext>
          </a:extLst>
        </xdr:cNvPr>
        <xdr:cNvCxnSpPr/>
      </xdr:nvCxnSpPr>
      <xdr:spPr>
        <a:xfrm>
          <a:off x="19379045" y="208973"/>
          <a:ext cx="11546" cy="10083800"/>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151.54660000000001</v>
    <v>83.34</v>
    <v>1.0772999999999999</v>
    <v>4.97</v>
    <v>5.3411999999999994E-2</v>
    <v>0.14000000000000001</v>
    <v>1.428E-3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98.3</v>
    <v>Software &amp; IT Services</v>
    <v>Stock</v>
    <v>44946.875055578123</v>
    <v>0</v>
    <v>95.02</v>
    <v>1276341000000</v>
    <v>ALPHABET INC.</v>
    <v>ALPHABET INC.</v>
    <v>95.1</v>
    <v>19.4678</v>
    <v>93.05</v>
    <v>98.02</v>
    <v>98.16</v>
    <v>12943000000</v>
    <v>GOOGL</v>
    <v>ALPHABET INC. (XNAS:GOOGL)</v>
    <v>63191078</v>
    <v>30237707</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F3D3C-BC49-C345-834D-E438F5FFCC50}">
  <dimension ref="A2:AA164"/>
  <sheetViews>
    <sheetView showGridLines="0" tabSelected="1" topLeftCell="A116" zoomScale="110" zoomScaleNormal="110" workbookViewId="0">
      <selection activeCell="H134" sqref="H134:H135"/>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120</v>
      </c>
      <c r="E2" s="3" t="s">
        <v>165</v>
      </c>
      <c r="F2" s="4"/>
      <c r="G2" s="4"/>
      <c r="H2" s="3" t="s">
        <v>166</v>
      </c>
      <c r="K2" s="3" t="s">
        <v>0</v>
      </c>
      <c r="N2" s="3" t="s">
        <v>167</v>
      </c>
    </row>
    <row r="4" spans="1:27" ht="16" customHeight="1" x14ac:dyDescent="0.2">
      <c r="B4" s="5" t="s">
        <v>1</v>
      </c>
      <c r="C4" s="6" t="s">
        <v>164</v>
      </c>
      <c r="E4" s="5" t="s">
        <v>2</v>
      </c>
      <c r="G4" s="7">
        <f ca="1">D130</f>
        <v>117.41960961751592</v>
      </c>
      <c r="I4" s="5" t="s">
        <v>3</v>
      </c>
      <c r="K4" s="7">
        <v>117.18146511967583</v>
      </c>
      <c r="M4" s="5" t="s">
        <v>4</v>
      </c>
      <c r="O4" s="8">
        <v>86.468325161940967</v>
      </c>
      <c r="Q4" s="5" t="s">
        <v>5</v>
      </c>
      <c r="S4" s="8">
        <f ca="1">G4*(1+((1/T116)^(1/10)-1))^10</f>
        <v>288.09958585019825</v>
      </c>
    </row>
    <row r="5" spans="1:27" ht="16" customHeight="1" x14ac:dyDescent="0.2">
      <c r="B5" s="5" t="s">
        <v>6</v>
      </c>
      <c r="C5" s="9">
        <v>44948</v>
      </c>
      <c r="E5" s="5" t="s">
        <v>7</v>
      </c>
      <c r="G5" s="10" cm="1">
        <f t="array" ref="G5">_FV('Financials + KPIs'!B1,"Price")</f>
        <v>98.02</v>
      </c>
      <c r="I5" s="5" t="s">
        <v>8</v>
      </c>
      <c r="K5" s="7">
        <v>150.63908282303859</v>
      </c>
      <c r="M5" s="5" t="s">
        <v>9</v>
      </c>
      <c r="O5" s="11">
        <f ca="1">G4/G5-1</f>
        <v>0.19791480940130501</v>
      </c>
      <c r="Q5" s="5" t="s">
        <v>10</v>
      </c>
      <c r="S5" s="11">
        <f ca="1">(S4/G5)^(1/10)-1</f>
        <v>0.11383995755134824</v>
      </c>
    </row>
    <row r="7" spans="1:27" ht="16" customHeight="1" x14ac:dyDescent="0.2">
      <c r="A7" s="5" t="s">
        <v>11</v>
      </c>
      <c r="B7" s="12" t="s">
        <v>12</v>
      </c>
      <c r="C7" s="13"/>
      <c r="D7" s="13"/>
      <c r="E7" s="14" t="s">
        <v>13</v>
      </c>
      <c r="F7" s="13"/>
      <c r="G7" s="13"/>
      <c r="H7" s="13"/>
      <c r="I7" s="13"/>
      <c r="J7" s="15"/>
      <c r="K7" s="15"/>
      <c r="L7" s="15"/>
      <c r="M7" s="15"/>
      <c r="N7" s="15"/>
      <c r="O7" s="15"/>
      <c r="P7" s="15"/>
      <c r="Q7" s="15"/>
      <c r="R7" s="15"/>
      <c r="S7" s="15"/>
      <c r="T7" s="15"/>
      <c r="U7" s="15"/>
      <c r="V7"/>
      <c r="W7"/>
      <c r="X7"/>
      <c r="Y7"/>
      <c r="Z7"/>
      <c r="AA7"/>
    </row>
    <row r="8" spans="1:27" ht="16" customHeight="1" x14ac:dyDescent="0.2">
      <c r="B8" s="16" t="s">
        <v>14</v>
      </c>
      <c r="F8" s="16" t="s">
        <v>4</v>
      </c>
      <c r="J8" s="16" t="s">
        <v>15</v>
      </c>
      <c r="N8" s="16" t="s">
        <v>8</v>
      </c>
      <c r="R8" s="16" t="s">
        <v>16</v>
      </c>
      <c r="S8" s="17"/>
      <c r="T8" s="17"/>
    </row>
    <row r="9" spans="1:27" ht="16" customHeight="1" x14ac:dyDescent="0.2">
      <c r="B9" s="5" t="s">
        <v>136</v>
      </c>
      <c r="D9" s="18">
        <v>3</v>
      </c>
      <c r="F9" s="5" t="s">
        <v>152</v>
      </c>
      <c r="H9" s="19">
        <v>0.85</v>
      </c>
      <c r="J9" s="5" t="s">
        <v>152</v>
      </c>
      <c r="L9" s="20"/>
      <c r="N9" s="5" t="s">
        <v>152</v>
      </c>
      <c r="P9" s="19">
        <v>1.1499999999999999</v>
      </c>
      <c r="R9" s="5" t="s">
        <v>17</v>
      </c>
      <c r="S9" s="17"/>
      <c r="T9" s="21">
        <v>116259</v>
      </c>
    </row>
    <row r="10" spans="1:27" ht="16" customHeight="1" x14ac:dyDescent="0.2">
      <c r="F10" s="5" t="s">
        <v>153</v>
      </c>
      <c r="H10" s="19">
        <f>L10-2%</f>
        <v>0.08</v>
      </c>
      <c r="J10" s="5" t="s">
        <v>153</v>
      </c>
      <c r="L10" s="19">
        <v>0.1</v>
      </c>
      <c r="N10" s="5" t="s">
        <v>153</v>
      </c>
      <c r="P10" s="19">
        <f>L10+2%</f>
        <v>0.12000000000000001</v>
      </c>
      <c r="R10" s="5" t="s">
        <v>18</v>
      </c>
      <c r="S10" s="17"/>
      <c r="T10" s="21">
        <v>0</v>
      </c>
    </row>
    <row r="11" spans="1:27" ht="16" customHeight="1" x14ac:dyDescent="0.2">
      <c r="B11" s="17"/>
      <c r="C11" s="17"/>
      <c r="D11" s="17"/>
      <c r="F11" s="5" t="s">
        <v>154</v>
      </c>
      <c r="H11" s="19">
        <v>0.02</v>
      </c>
      <c r="J11" s="5" t="s">
        <v>154</v>
      </c>
      <c r="L11" s="19">
        <v>0.03</v>
      </c>
      <c r="N11" s="5" t="s">
        <v>154</v>
      </c>
      <c r="P11" s="19">
        <v>0.04</v>
      </c>
      <c r="R11" s="5" t="s">
        <v>19</v>
      </c>
      <c r="S11" s="17"/>
      <c r="T11" s="21">
        <v>12854</v>
      </c>
    </row>
    <row r="12" spans="1:27" ht="16" customHeight="1" x14ac:dyDescent="0.2">
      <c r="B12" s="5" t="s">
        <v>137</v>
      </c>
      <c r="D12" s="18">
        <v>3</v>
      </c>
      <c r="F12" s="5" t="s">
        <v>155</v>
      </c>
      <c r="H12" s="19">
        <v>0.7</v>
      </c>
      <c r="J12" s="5" t="s">
        <v>155</v>
      </c>
      <c r="L12" s="22"/>
      <c r="N12" s="5" t="s">
        <v>155</v>
      </c>
      <c r="P12" s="19">
        <v>1.3</v>
      </c>
      <c r="R12" s="5" t="s">
        <v>20</v>
      </c>
      <c r="S12" s="17"/>
      <c r="T12" s="21">
        <v>0</v>
      </c>
    </row>
    <row r="13" spans="1:27" ht="16" customHeight="1" x14ac:dyDescent="0.2">
      <c r="F13" s="5" t="s">
        <v>156</v>
      </c>
      <c r="H13" s="19">
        <v>0.13</v>
      </c>
      <c r="J13" s="5" t="s">
        <v>156</v>
      </c>
      <c r="L13" s="19">
        <v>0.15</v>
      </c>
      <c r="N13" s="5" t="s">
        <v>156</v>
      </c>
      <c r="P13" s="19">
        <v>0.17</v>
      </c>
      <c r="R13" s="5" t="s">
        <v>21</v>
      </c>
      <c r="S13" s="17"/>
      <c r="T13" s="21">
        <v>7467</v>
      </c>
    </row>
    <row r="14" spans="1:27" ht="16" customHeight="1" x14ac:dyDescent="0.2">
      <c r="F14" s="5" t="s">
        <v>157</v>
      </c>
      <c r="H14" s="19">
        <v>0.03</v>
      </c>
      <c r="J14" s="5" t="s">
        <v>157</v>
      </c>
      <c r="L14" s="19">
        <v>0.04</v>
      </c>
      <c r="N14" s="5" t="s">
        <v>157</v>
      </c>
      <c r="P14" s="19">
        <v>0.05</v>
      </c>
      <c r="R14" s="5" t="s">
        <v>22</v>
      </c>
      <c r="T14" s="21">
        <v>11726</v>
      </c>
    </row>
    <row r="15" spans="1:27" ht="16" customHeight="1" x14ac:dyDescent="0.2">
      <c r="B15" s="5" t="s">
        <v>138</v>
      </c>
      <c r="D15" s="18">
        <v>2</v>
      </c>
      <c r="F15" s="5" t="s">
        <v>158</v>
      </c>
      <c r="H15" s="19">
        <v>0.8</v>
      </c>
      <c r="J15" s="5" t="s">
        <v>158</v>
      </c>
      <c r="L15"/>
      <c r="N15" s="5" t="s">
        <v>158</v>
      </c>
      <c r="P15" s="19">
        <v>1.2</v>
      </c>
      <c r="R15" s="5" t="s">
        <v>23</v>
      </c>
      <c r="S15" s="17"/>
      <c r="T15" s="23">
        <v>4.3799999999999999E-2</v>
      </c>
    </row>
    <row r="16" spans="1:27" ht="16" customHeight="1" x14ac:dyDescent="0.2">
      <c r="F16" s="5" t="s">
        <v>159</v>
      </c>
      <c r="H16" s="19">
        <v>0.04</v>
      </c>
      <c r="J16" s="5" t="s">
        <v>159</v>
      </c>
      <c r="L16" s="19">
        <v>0.06</v>
      </c>
      <c r="N16" s="5" t="s">
        <v>159</v>
      </c>
      <c r="P16" s="19">
        <v>0.08</v>
      </c>
      <c r="R16" s="5" t="s">
        <v>24</v>
      </c>
      <c r="T16" s="21">
        <v>13284.2</v>
      </c>
    </row>
    <row r="17" spans="2:24" ht="16" customHeight="1" x14ac:dyDescent="0.2">
      <c r="F17" s="5" t="s">
        <v>160</v>
      </c>
      <c r="H17" s="19">
        <v>0.01</v>
      </c>
      <c r="J17" s="5" t="s">
        <v>160</v>
      </c>
      <c r="L17" s="19">
        <v>0.02</v>
      </c>
      <c r="N17" s="5" t="s">
        <v>160</v>
      </c>
      <c r="P17" s="19">
        <v>0.03</v>
      </c>
      <c r="R17"/>
      <c r="S17"/>
      <c r="T17"/>
    </row>
    <row r="18" spans="2:24" ht="16" customHeight="1" x14ac:dyDescent="0.2">
      <c r="B18" s="5" t="s">
        <v>25</v>
      </c>
      <c r="D18" s="18">
        <v>2</v>
      </c>
      <c r="F18" s="5" t="s">
        <v>26</v>
      </c>
      <c r="H18" s="19">
        <v>0.8</v>
      </c>
      <c r="J18" s="5" t="s">
        <v>26</v>
      </c>
      <c r="N18" s="5" t="s">
        <v>26</v>
      </c>
      <c r="P18" s="19">
        <v>1.2</v>
      </c>
      <c r="R18" s="16" t="s">
        <v>27</v>
      </c>
      <c r="S18" s="17"/>
      <c r="T18" s="17"/>
    </row>
    <row r="19" spans="2:24" ht="16" customHeight="1" x14ac:dyDescent="0.2">
      <c r="F19" s="5" t="s">
        <v>28</v>
      </c>
      <c r="H19" s="19">
        <v>0.01</v>
      </c>
      <c r="J19" s="5" t="s">
        <v>28</v>
      </c>
      <c r="L19" s="19">
        <v>0.02</v>
      </c>
      <c r="N19" s="5" t="s">
        <v>28</v>
      </c>
      <c r="P19" s="19">
        <v>0.03</v>
      </c>
      <c r="R19" s="5" t="s">
        <v>29</v>
      </c>
      <c r="S19" s="17"/>
      <c r="T19" s="23">
        <v>3.39E-2</v>
      </c>
    </row>
    <row r="20" spans="2:24" ht="16" customHeight="1" x14ac:dyDescent="0.2">
      <c r="B20" s="5" t="s">
        <v>139</v>
      </c>
      <c r="D20" s="18">
        <v>1</v>
      </c>
      <c r="F20" s="5" t="s">
        <v>161</v>
      </c>
      <c r="H20" s="19">
        <v>0.85</v>
      </c>
      <c r="J20" s="5" t="s">
        <v>161</v>
      </c>
      <c r="N20" s="5" t="s">
        <v>161</v>
      </c>
      <c r="P20" s="19">
        <v>1.1499999999999999</v>
      </c>
      <c r="R20" s="5" t="s">
        <v>30</v>
      </c>
      <c r="S20" s="17"/>
      <c r="T20" s="23">
        <v>5.11E-2</v>
      </c>
    </row>
    <row r="21" spans="2:24" ht="16" customHeight="1" x14ac:dyDescent="0.2">
      <c r="F21" s="5" t="s">
        <v>162</v>
      </c>
      <c r="H21" s="19">
        <v>0.25</v>
      </c>
      <c r="J21" s="5" t="s">
        <v>162</v>
      </c>
      <c r="L21" s="19">
        <v>0.3</v>
      </c>
      <c r="N21" s="5" t="s">
        <v>162</v>
      </c>
      <c r="P21" s="19">
        <v>0.35</v>
      </c>
      <c r="R21" s="5" t="s">
        <v>31</v>
      </c>
      <c r="T21" s="24">
        <v>1.29</v>
      </c>
    </row>
    <row r="22" spans="2:24" ht="16" customHeight="1" x14ac:dyDescent="0.2">
      <c r="F22" s="5" t="s">
        <v>163</v>
      </c>
      <c r="H22" s="19">
        <v>0.05</v>
      </c>
      <c r="J22" s="5" t="s">
        <v>163</v>
      </c>
      <c r="L22" s="19">
        <v>0.06</v>
      </c>
      <c r="N22" s="5" t="s">
        <v>163</v>
      </c>
      <c r="P22" s="19">
        <v>7.0000000000000007E-2</v>
      </c>
      <c r="R22" s="5" t="s">
        <v>34</v>
      </c>
      <c r="S22" s="17"/>
      <c r="T22" s="23">
        <f>K115-1%</f>
        <v>8.8911148524075057E-2</v>
      </c>
    </row>
    <row r="23" spans="2:24" ht="16" customHeight="1" x14ac:dyDescent="0.2">
      <c r="B23" s="5" t="s">
        <v>32</v>
      </c>
      <c r="D23" s="18">
        <v>2</v>
      </c>
      <c r="F23" s="5" t="s">
        <v>33</v>
      </c>
      <c r="H23" s="19">
        <v>0.95</v>
      </c>
      <c r="J23" s="5" t="s">
        <v>33</v>
      </c>
      <c r="N23" s="5" t="s">
        <v>33</v>
      </c>
      <c r="P23" s="19">
        <v>1.05</v>
      </c>
    </row>
    <row r="24" spans="2:24" ht="16" customHeight="1" x14ac:dyDescent="0.2">
      <c r="F24" s="5" t="s">
        <v>35</v>
      </c>
      <c r="H24" s="19">
        <v>0.25</v>
      </c>
      <c r="J24" s="5" t="s">
        <v>35</v>
      </c>
      <c r="L24" s="19">
        <v>0.3</v>
      </c>
      <c r="N24" s="5" t="s">
        <v>35</v>
      </c>
      <c r="P24" s="19">
        <v>0.35</v>
      </c>
    </row>
    <row r="25" spans="2:24" ht="16" customHeight="1" x14ac:dyDescent="0.2">
      <c r="B25" s="5" t="s">
        <v>36</v>
      </c>
      <c r="F25" s="5" t="s">
        <v>36</v>
      </c>
      <c r="J25" s="5" t="s">
        <v>37</v>
      </c>
      <c r="L25" s="25">
        <v>0.21</v>
      </c>
      <c r="N25" s="5" t="s">
        <v>36</v>
      </c>
    </row>
    <row r="27" spans="2:24" ht="16" customHeight="1" x14ac:dyDescent="0.2">
      <c r="B27" s="5" t="s">
        <v>38</v>
      </c>
      <c r="D27" s="18">
        <v>2</v>
      </c>
      <c r="F27" s="5" t="s">
        <v>38</v>
      </c>
      <c r="H27" s="26">
        <f>L27-0.5%</f>
        <v>9.3911148524075047E-2</v>
      </c>
      <c r="J27" s="5" t="s">
        <v>38</v>
      </c>
      <c r="L27" s="27">
        <f>WACC!F22</f>
        <v>9.8911148524075052E-2</v>
      </c>
      <c r="N27" s="5" t="s">
        <v>38</v>
      </c>
      <c r="P27" s="26">
        <f>L27+0.5%</f>
        <v>0.10391114852407506</v>
      </c>
    </row>
    <row r="28" spans="2:24" ht="16" customHeight="1" x14ac:dyDescent="0.2">
      <c r="B28" s="5" t="s">
        <v>39</v>
      </c>
      <c r="D28" s="18">
        <v>2</v>
      </c>
      <c r="F28" s="5" t="s">
        <v>39</v>
      </c>
      <c r="H28" s="28">
        <f>L28-0.5%</f>
        <v>3.0000000000000002E-2</v>
      </c>
      <c r="J28" s="5" t="s">
        <v>39</v>
      </c>
      <c r="L28" s="28">
        <v>3.5000000000000003E-2</v>
      </c>
      <c r="N28" s="5" t="s">
        <v>39</v>
      </c>
      <c r="P28" s="28">
        <f>L28+0.5%</f>
        <v>0.04</v>
      </c>
    </row>
    <row r="29" spans="2:24" ht="16" customHeight="1" x14ac:dyDescent="0.2">
      <c r="B29" s="5" t="s">
        <v>40</v>
      </c>
      <c r="D29" s="18">
        <v>2</v>
      </c>
      <c r="F29" s="5" t="s">
        <v>40</v>
      </c>
      <c r="H29" s="29">
        <f>L29-1</f>
        <v>10</v>
      </c>
      <c r="I29" s="30"/>
      <c r="J29" s="30" t="s">
        <v>40</v>
      </c>
      <c r="K29" s="30"/>
      <c r="L29" s="29">
        <v>11</v>
      </c>
      <c r="M29" s="30"/>
      <c r="N29" s="30" t="s">
        <v>40</v>
      </c>
      <c r="O29" s="30"/>
      <c r="P29" s="29">
        <f>L29+1</f>
        <v>12</v>
      </c>
    </row>
    <row r="30" spans="2:24" ht="16" customHeight="1" x14ac:dyDescent="0.2">
      <c r="B30" s="17"/>
      <c r="C30" s="17"/>
      <c r="D30" s="17"/>
      <c r="E30" s="17"/>
      <c r="F30" s="17"/>
      <c r="G30" s="17"/>
      <c r="H30" s="17"/>
      <c r="I30" s="17"/>
      <c r="J30" s="17"/>
      <c r="K30" s="17"/>
      <c r="L30" s="17"/>
      <c r="M30" s="17"/>
      <c r="N30" s="17"/>
      <c r="O30" s="17"/>
      <c r="P30" s="17"/>
    </row>
    <row r="31" spans="2:24" s="17" customFormat="1" ht="16" customHeight="1" x14ac:dyDescent="0.2">
      <c r="B31" s="16" t="s">
        <v>41</v>
      </c>
      <c r="F31" s="16" t="s">
        <v>42</v>
      </c>
      <c r="V31" s="5"/>
      <c r="W31" s="5"/>
      <c r="X31" s="5"/>
    </row>
    <row r="32" spans="2:24" s="17" customFormat="1" ht="16" customHeight="1" x14ac:dyDescent="0.2">
      <c r="B32" s="5" t="s">
        <v>38</v>
      </c>
      <c r="D32" s="26">
        <f>CHOOSE(D27,H27,L27,P27,H32)</f>
        <v>9.8911148524075052E-2</v>
      </c>
      <c r="F32" s="5" t="s">
        <v>38</v>
      </c>
      <c r="G32" s="5"/>
      <c r="H32" s="23"/>
      <c r="V32" s="5"/>
      <c r="W32" s="5"/>
      <c r="X32" s="5"/>
    </row>
    <row r="33" spans="1:24" s="17" customFormat="1" ht="16" customHeight="1" x14ac:dyDescent="0.2">
      <c r="B33" s="5" t="s">
        <v>39</v>
      </c>
      <c r="D33" s="26">
        <f>CHOOSE(D28,H28,L28,P28,H33)</f>
        <v>3.5000000000000003E-2</v>
      </c>
      <c r="F33" s="5" t="s">
        <v>39</v>
      </c>
      <c r="G33" s="5"/>
      <c r="H33" s="31"/>
      <c r="V33" s="5"/>
      <c r="W33" s="5"/>
      <c r="X33" s="5"/>
    </row>
    <row r="34" spans="1:24" s="17" customFormat="1" ht="16" customHeight="1" x14ac:dyDescent="0.2">
      <c r="B34" s="5" t="s">
        <v>40</v>
      </c>
      <c r="D34" s="29">
        <f>CHOOSE(D29,H29,L29,P29,H34)</f>
        <v>11</v>
      </c>
      <c r="F34" s="30" t="s">
        <v>40</v>
      </c>
      <c r="G34" s="30"/>
      <c r="H34" s="32"/>
      <c r="V34" s="5"/>
    </row>
    <row r="36" spans="1:24" ht="16" customHeight="1" x14ac:dyDescent="0.2">
      <c r="A36" s="5" t="s">
        <v>11</v>
      </c>
      <c r="B36" s="12" t="s">
        <v>43</v>
      </c>
      <c r="C36" s="12"/>
      <c r="D36" s="12"/>
      <c r="E36" s="33">
        <v>2016</v>
      </c>
      <c r="F36" s="33">
        <f>E36+1</f>
        <v>2017</v>
      </c>
      <c r="G36" s="33">
        <f t="shared" ref="G36:J36" si="0">F36+1</f>
        <v>2018</v>
      </c>
      <c r="H36" s="33">
        <f t="shared" si="0"/>
        <v>2019</v>
      </c>
      <c r="I36" s="33">
        <f t="shared" si="0"/>
        <v>2020</v>
      </c>
      <c r="J36" s="33">
        <f t="shared" si="0"/>
        <v>2021</v>
      </c>
      <c r="K36" s="34">
        <v>2022</v>
      </c>
      <c r="L36" s="34">
        <f>K36+1</f>
        <v>2023</v>
      </c>
      <c r="M36" s="34">
        <f t="shared" ref="M36:U36" si="1">L36+1</f>
        <v>2024</v>
      </c>
      <c r="N36" s="34">
        <f t="shared" si="1"/>
        <v>2025</v>
      </c>
      <c r="O36" s="34">
        <f t="shared" si="1"/>
        <v>2026</v>
      </c>
      <c r="P36" s="34">
        <f t="shared" si="1"/>
        <v>2027</v>
      </c>
      <c r="Q36" s="34">
        <f t="shared" si="1"/>
        <v>2028</v>
      </c>
      <c r="R36" s="34">
        <f t="shared" si="1"/>
        <v>2029</v>
      </c>
      <c r="S36" s="34">
        <f t="shared" si="1"/>
        <v>2030</v>
      </c>
      <c r="T36" s="34">
        <f t="shared" si="1"/>
        <v>2031</v>
      </c>
      <c r="U36" s="34">
        <f t="shared" si="1"/>
        <v>2032</v>
      </c>
    </row>
    <row r="37" spans="1:24" ht="16" customHeight="1" x14ac:dyDescent="0.2">
      <c r="B37" s="12" t="s">
        <v>44</v>
      </c>
      <c r="C37" s="12"/>
      <c r="D37" s="12"/>
      <c r="E37" s="35">
        <f>EDATE(F37,-12)</f>
        <v>42735</v>
      </c>
      <c r="F37" s="35">
        <f t="shared" ref="F37:I37" si="2">EDATE(G37,-12)</f>
        <v>43100</v>
      </c>
      <c r="G37" s="35">
        <f t="shared" si="2"/>
        <v>43465</v>
      </c>
      <c r="H37" s="35">
        <f t="shared" si="2"/>
        <v>43830</v>
      </c>
      <c r="I37" s="35">
        <f t="shared" si="2"/>
        <v>44196</v>
      </c>
      <c r="J37" s="35">
        <f>EDATE(K37,-12)</f>
        <v>44561</v>
      </c>
      <c r="K37" s="35">
        <v>44926</v>
      </c>
      <c r="L37" s="35">
        <f>EDATE(K37,12)</f>
        <v>45291</v>
      </c>
      <c r="M37" s="35">
        <f t="shared" ref="M37:U37" si="3">EDATE(L37,12)</f>
        <v>45657</v>
      </c>
      <c r="N37" s="35">
        <f t="shared" si="3"/>
        <v>46022</v>
      </c>
      <c r="O37" s="35">
        <f t="shared" si="3"/>
        <v>46387</v>
      </c>
      <c r="P37" s="35">
        <f t="shared" si="3"/>
        <v>46752</v>
      </c>
      <c r="Q37" s="35">
        <f t="shared" si="3"/>
        <v>47118</v>
      </c>
      <c r="R37" s="35">
        <f t="shared" si="3"/>
        <v>47483</v>
      </c>
      <c r="S37" s="35">
        <f t="shared" si="3"/>
        <v>47848</v>
      </c>
      <c r="T37" s="35">
        <f t="shared" si="3"/>
        <v>48213</v>
      </c>
      <c r="U37" s="35">
        <f t="shared" si="3"/>
        <v>48579</v>
      </c>
    </row>
    <row r="38" spans="1:24" ht="16" customHeight="1" x14ac:dyDescent="0.2">
      <c r="B38" s="16" t="s">
        <v>136</v>
      </c>
      <c r="E38" s="165" t="s">
        <v>150</v>
      </c>
      <c r="F38" s="36">
        <f>'Financials + KPIs'!R3</f>
        <v>69811</v>
      </c>
      <c r="G38" s="36">
        <f>'Financials + KPIs'!S3</f>
        <v>85296</v>
      </c>
      <c r="H38" s="36">
        <f>'Financials + KPIs'!T3</f>
        <v>98115</v>
      </c>
      <c r="I38" s="36">
        <f>'Financials + KPIs'!U3</f>
        <v>104062</v>
      </c>
      <c r="J38" s="37">
        <f>'Financials + KPIs'!V3</f>
        <v>148951</v>
      </c>
      <c r="K38" s="38">
        <f ca="1">J38*(1+K39)</f>
        <v>163580.00999999998</v>
      </c>
      <c r="L38" s="38">
        <f t="shared" ref="L38:U38" ca="1" si="4">K38*(1+L39)</f>
        <v>174038.16842</v>
      </c>
      <c r="M38" s="38">
        <f t="shared" ca="1" si="4"/>
        <v>194922.74863040002</v>
      </c>
      <c r="N38" s="38">
        <f t="shared" ca="1" si="4"/>
        <v>216364.25097974404</v>
      </c>
      <c r="O38" s="38">
        <f t="shared" ca="1" si="4"/>
        <v>238000.67607771847</v>
      </c>
      <c r="P38" s="38">
        <f t="shared" ca="1" si="4"/>
        <v>259420.73692471316</v>
      </c>
      <c r="Q38" s="38">
        <f t="shared" ca="1" si="4"/>
        <v>280174.39587869024</v>
      </c>
      <c r="R38" s="38">
        <f t="shared" ca="1" si="4"/>
        <v>299786.60359019856</v>
      </c>
      <c r="S38" s="38">
        <f t="shared" ca="1" si="4"/>
        <v>317773.7998056105</v>
      </c>
      <c r="T38" s="38">
        <f t="shared" ca="1" si="4"/>
        <v>333662.48979589104</v>
      </c>
      <c r="U38" s="38">
        <f t="shared" ca="1" si="4"/>
        <v>347008.9893877267</v>
      </c>
    </row>
    <row r="39" spans="1:24" s="39" customFormat="1" ht="16" customHeight="1" x14ac:dyDescent="0.2">
      <c r="B39" s="39" t="s">
        <v>45</v>
      </c>
      <c r="E39" s="166"/>
      <c r="F39" s="40"/>
      <c r="G39" s="40">
        <f t="shared" ref="F39:H39" si="5">G38/F38-1</f>
        <v>0.22181318130380601</v>
      </c>
      <c r="H39" s="40">
        <f t="shared" si="5"/>
        <v>0.15028840742824978</v>
      </c>
      <c r="I39" s="40">
        <f>I38/H38-1</f>
        <v>6.0612546501554343E-2</v>
      </c>
      <c r="J39" s="41">
        <f>J38/I38-1</f>
        <v>0.43136783840402826</v>
      </c>
      <c r="K39" s="40">
        <f ca="1">OFFSET(K39,$D$9,0)</f>
        <v>9.8213573591315217E-2</v>
      </c>
      <c r="L39" s="40">
        <f t="shared" ref="L39:U39" ca="1" si="6">OFFSET(L39,$D$9,0)</f>
        <v>6.3932985576905313E-2</v>
      </c>
      <c r="M39" s="40">
        <f t="shared" ca="1" si="6"/>
        <v>0.12000000000000001</v>
      </c>
      <c r="N39" s="40">
        <f t="shared" ca="1" si="6"/>
        <v>0.11000000000000001</v>
      </c>
      <c r="O39" s="40">
        <f t="shared" ca="1" si="6"/>
        <v>0.1</v>
      </c>
      <c r="P39" s="40">
        <f t="shared" ca="1" si="6"/>
        <v>0.09</v>
      </c>
      <c r="Q39" s="40">
        <f t="shared" ca="1" si="6"/>
        <v>7.9999999999999988E-2</v>
      </c>
      <c r="R39" s="40">
        <f t="shared" ca="1" si="6"/>
        <v>6.9999999999999979E-2</v>
      </c>
      <c r="S39" s="40">
        <f t="shared" ca="1" si="6"/>
        <v>5.9999999999999977E-2</v>
      </c>
      <c r="T39" s="40">
        <f t="shared" ca="1" si="6"/>
        <v>4.9999999999999975E-2</v>
      </c>
      <c r="U39" s="40">
        <f t="shared" ca="1" si="6"/>
        <v>0.04</v>
      </c>
    </row>
    <row r="40" spans="1:24" ht="16" customHeight="1" x14ac:dyDescent="0.2">
      <c r="B40" s="5" t="s">
        <v>4</v>
      </c>
      <c r="E40" s="143"/>
      <c r="J40" s="42"/>
      <c r="K40" s="43">
        <f>K41</f>
        <v>9.8213573591315217E-2</v>
      </c>
      <c r="L40" s="44">
        <f>L41*H9</f>
        <v>4.7254815426408282E-2</v>
      </c>
      <c r="M40" s="44">
        <f>H10</f>
        <v>0.08</v>
      </c>
      <c r="N40" s="45">
        <f>M40-($M$40-$U$40)/($U$36-$M$36)</f>
        <v>7.2500000000000009E-2</v>
      </c>
      <c r="O40" s="45">
        <f t="shared" ref="O40:T40" si="7">N40-($M$40-$U$40)/($U$36-$M$36)</f>
        <v>6.5000000000000002E-2</v>
      </c>
      <c r="P40" s="45">
        <f t="shared" si="7"/>
        <v>5.7500000000000002E-2</v>
      </c>
      <c r="Q40" s="45">
        <f t="shared" si="7"/>
        <v>0.05</v>
      </c>
      <c r="R40" s="45">
        <f t="shared" si="7"/>
        <v>4.2500000000000003E-2</v>
      </c>
      <c r="S40" s="45">
        <f t="shared" si="7"/>
        <v>3.5000000000000003E-2</v>
      </c>
      <c r="T40" s="45">
        <f t="shared" si="7"/>
        <v>2.7500000000000004E-2</v>
      </c>
      <c r="U40" s="44">
        <f>H11</f>
        <v>0.02</v>
      </c>
    </row>
    <row r="41" spans="1:24" ht="16" customHeight="1" x14ac:dyDescent="0.2">
      <c r="B41" s="5" t="s">
        <v>15</v>
      </c>
      <c r="E41" s="143"/>
      <c r="J41" s="46"/>
      <c r="K41" s="47">
        <f>'Financials + KPIs'!W24</f>
        <v>9.8213573591315217E-2</v>
      </c>
      <c r="L41" s="48">
        <f>'Financials + KPIs'!X24</f>
        <v>5.5593900501656801E-2</v>
      </c>
      <c r="M41" s="44">
        <f>L10</f>
        <v>0.1</v>
      </c>
      <c r="N41" s="45">
        <f>M41-($M$41-$U$41)/($U$36-$M$36)</f>
        <v>9.1249999999999998E-2</v>
      </c>
      <c r="O41" s="45">
        <f t="shared" ref="O41:T41" si="8">N41-($M$41-$U$41)/($U$36-$M$36)</f>
        <v>8.249999999999999E-2</v>
      </c>
      <c r="P41" s="45">
        <f t="shared" si="8"/>
        <v>7.3749999999999982E-2</v>
      </c>
      <c r="Q41" s="45">
        <f t="shared" si="8"/>
        <v>6.4999999999999974E-2</v>
      </c>
      <c r="R41" s="45">
        <f t="shared" si="8"/>
        <v>5.6249999999999974E-2</v>
      </c>
      <c r="S41" s="45">
        <f t="shared" si="8"/>
        <v>4.7499999999999973E-2</v>
      </c>
      <c r="T41" s="45">
        <f t="shared" si="8"/>
        <v>3.8749999999999972E-2</v>
      </c>
      <c r="U41" s="44">
        <f>L11</f>
        <v>0.03</v>
      </c>
    </row>
    <row r="42" spans="1:24" ht="16" customHeight="1" x14ac:dyDescent="0.2">
      <c r="B42" s="5" t="s">
        <v>46</v>
      </c>
      <c r="E42" s="143"/>
      <c r="J42" s="46"/>
      <c r="K42" s="43">
        <f>K41</f>
        <v>9.8213573591315217E-2</v>
      </c>
      <c r="L42" s="44">
        <f>L41*P9</f>
        <v>6.3932985576905313E-2</v>
      </c>
      <c r="M42" s="44">
        <f>P10</f>
        <v>0.12000000000000001</v>
      </c>
      <c r="N42" s="45">
        <f>M42-($M$42-$U$42)/($U$36-$M$36)</f>
        <v>0.11000000000000001</v>
      </c>
      <c r="O42" s="45">
        <f t="shared" ref="O42:T42" si="9">N42-($M$42-$U$42)/($U$36-$M$36)</f>
        <v>0.1</v>
      </c>
      <c r="P42" s="45">
        <f t="shared" si="9"/>
        <v>0.09</v>
      </c>
      <c r="Q42" s="45">
        <f t="shared" si="9"/>
        <v>7.9999999999999988E-2</v>
      </c>
      <c r="R42" s="45">
        <f t="shared" si="9"/>
        <v>6.9999999999999979E-2</v>
      </c>
      <c r="S42" s="45">
        <f t="shared" si="9"/>
        <v>5.9999999999999977E-2</v>
      </c>
      <c r="T42" s="45">
        <f t="shared" si="9"/>
        <v>4.9999999999999975E-2</v>
      </c>
      <c r="U42" s="44">
        <f>P11</f>
        <v>0.04</v>
      </c>
    </row>
    <row r="43" spans="1:24" ht="16" customHeight="1" x14ac:dyDescent="0.2">
      <c r="B43" s="5" t="s">
        <v>42</v>
      </c>
      <c r="E43" s="143"/>
      <c r="J43" s="46"/>
      <c r="K43" s="49"/>
      <c r="L43" s="50"/>
      <c r="M43" s="50"/>
      <c r="N43" s="50"/>
      <c r="O43" s="50"/>
      <c r="P43" s="50"/>
      <c r="Q43" s="50"/>
      <c r="R43" s="50"/>
      <c r="S43" s="50"/>
      <c r="T43" s="50"/>
      <c r="U43" s="50"/>
    </row>
    <row r="44" spans="1:24" ht="16" customHeight="1" x14ac:dyDescent="0.2">
      <c r="E44" s="143"/>
      <c r="J44" s="46"/>
    </row>
    <row r="45" spans="1:24" ht="16" customHeight="1" x14ac:dyDescent="0.2">
      <c r="B45" s="16" t="s">
        <v>137</v>
      </c>
      <c r="E45" s="165" t="s">
        <v>150</v>
      </c>
      <c r="F45" s="36">
        <f>'Financials + KPIs'!R4</f>
        <v>8150</v>
      </c>
      <c r="G45" s="36">
        <f>'Financials + KPIs'!S4</f>
        <v>11155</v>
      </c>
      <c r="H45" s="36">
        <f>'Financials + KPIs'!T4</f>
        <v>15149</v>
      </c>
      <c r="I45" s="36">
        <f>'Financials + KPIs'!U4</f>
        <v>19772</v>
      </c>
      <c r="J45" s="37">
        <f>'Financials + KPIs'!V4</f>
        <v>28845</v>
      </c>
      <c r="K45" s="51">
        <f ca="1">J45*(1+K46)</f>
        <v>29913</v>
      </c>
      <c r="L45" s="38">
        <f t="shared" ref="L45:U45" ca="1" si="10">K45*(1+L46)</f>
        <v>31905.835000000003</v>
      </c>
      <c r="M45" s="38">
        <f t="shared" ca="1" si="10"/>
        <v>37329.826950000002</v>
      </c>
      <c r="N45" s="38">
        <f t="shared" ca="1" si="10"/>
        <v>43115.950127250006</v>
      </c>
      <c r="O45" s="38">
        <f t="shared" ca="1" si="10"/>
        <v>49152.183145064999</v>
      </c>
      <c r="P45" s="38">
        <f t="shared" ca="1" si="10"/>
        <v>55296.206038198121</v>
      </c>
      <c r="Q45" s="38">
        <f t="shared" ca="1" si="10"/>
        <v>61378.788702399906</v>
      </c>
      <c r="R45" s="38">
        <f t="shared" ca="1" si="10"/>
        <v>67209.7736291279</v>
      </c>
      <c r="S45" s="38">
        <f t="shared" ca="1" si="10"/>
        <v>72586.555519458139</v>
      </c>
      <c r="T45" s="38">
        <f t="shared" ca="1" si="10"/>
        <v>77304.681628222912</v>
      </c>
      <c r="U45" s="38">
        <f t="shared" ca="1" si="10"/>
        <v>81169.915709634064</v>
      </c>
    </row>
    <row r="46" spans="1:24" s="39" customFormat="1" ht="16" customHeight="1" x14ac:dyDescent="0.2">
      <c r="B46" s="39" t="s">
        <v>45</v>
      </c>
      <c r="E46" s="166"/>
      <c r="F46" s="40"/>
      <c r="G46" s="40">
        <f t="shared" ref="G46:H46" si="11">G45/F45-1</f>
        <v>0.36871165644171788</v>
      </c>
      <c r="H46" s="40">
        <f t="shared" si="11"/>
        <v>0.35804571940833707</v>
      </c>
      <c r="I46" s="40">
        <f>I45/H45-1</f>
        <v>0.30516865799722748</v>
      </c>
      <c r="J46" s="41">
        <f>J45/I45-1</f>
        <v>0.45888124620675708</v>
      </c>
      <c r="K46" s="40">
        <f ca="1">OFFSET(K46,$D$12,0)</f>
        <v>3.7025481019240747E-2</v>
      </c>
      <c r="L46" s="40">
        <f ca="1">OFFSET(L46,$D$12,0)</f>
        <v>6.6621034332898857E-2</v>
      </c>
      <c r="M46" s="40">
        <f t="shared" ref="M46:U46" ca="1" si="12">OFFSET(M46,$D$12,0)</f>
        <v>0.17</v>
      </c>
      <c r="N46" s="40">
        <f t="shared" ca="1" si="12"/>
        <v>0.155</v>
      </c>
      <c r="O46" s="40">
        <f t="shared" ca="1" si="12"/>
        <v>0.13999999999999999</v>
      </c>
      <c r="P46" s="40">
        <f t="shared" ca="1" si="12"/>
        <v>0.12499999999999999</v>
      </c>
      <c r="Q46" s="40">
        <f t="shared" ca="1" si="12"/>
        <v>0.10999999999999999</v>
      </c>
      <c r="R46" s="40">
        <f t="shared" ca="1" si="12"/>
        <v>9.4999999999999987E-2</v>
      </c>
      <c r="S46" s="40">
        <f t="shared" ca="1" si="12"/>
        <v>7.9999999999999988E-2</v>
      </c>
      <c r="T46" s="40">
        <f t="shared" ca="1" si="12"/>
        <v>6.4999999999999988E-2</v>
      </c>
      <c r="U46" s="40">
        <f t="shared" ca="1" si="12"/>
        <v>0.05</v>
      </c>
    </row>
    <row r="47" spans="1:24" ht="16" customHeight="1" x14ac:dyDescent="0.2">
      <c r="B47" s="5" t="s">
        <v>4</v>
      </c>
      <c r="E47" s="143"/>
      <c r="J47" s="42"/>
      <c r="K47" s="43">
        <f>K48</f>
        <v>3.7025481019240747E-2</v>
      </c>
      <c r="L47" s="44">
        <f>L48*H12</f>
        <v>3.5872864640791688E-2</v>
      </c>
      <c r="M47" s="44">
        <f>H13</f>
        <v>0.13</v>
      </c>
      <c r="N47" s="45">
        <f>M47-($M$47-$U$47)/($U$36-$M$36)</f>
        <v>0.11750000000000001</v>
      </c>
      <c r="O47" s="45">
        <f t="shared" ref="O47:T47" si="13">N47-($M$47-$U$47)/($U$36-$M$36)</f>
        <v>0.10500000000000001</v>
      </c>
      <c r="P47" s="45">
        <f t="shared" si="13"/>
        <v>9.2500000000000013E-2</v>
      </c>
      <c r="Q47" s="45">
        <f t="shared" si="13"/>
        <v>8.0000000000000016E-2</v>
      </c>
      <c r="R47" s="45">
        <f t="shared" si="13"/>
        <v>6.7500000000000018E-2</v>
      </c>
      <c r="S47" s="45">
        <f t="shared" si="13"/>
        <v>5.5000000000000021E-2</v>
      </c>
      <c r="T47" s="45">
        <f t="shared" si="13"/>
        <v>4.2500000000000024E-2</v>
      </c>
      <c r="U47" s="44">
        <f>H14</f>
        <v>0.03</v>
      </c>
    </row>
    <row r="48" spans="1:24" ht="16" customHeight="1" x14ac:dyDescent="0.2">
      <c r="B48" s="5" t="s">
        <v>15</v>
      </c>
      <c r="E48" s="143"/>
      <c r="J48" s="46"/>
      <c r="K48" s="47">
        <f>'Financials + KPIs'!W25</f>
        <v>3.7025481019240747E-2</v>
      </c>
      <c r="L48" s="48">
        <f>'Financials + KPIs'!X25</f>
        <v>5.1246949486845272E-2</v>
      </c>
      <c r="M48" s="44">
        <f>L13</f>
        <v>0.15</v>
      </c>
      <c r="N48" s="45">
        <f>M48-($M$48-$U$48)/($U$36-$M$36)</f>
        <v>0.13624999999999998</v>
      </c>
      <c r="O48" s="45">
        <f t="shared" ref="O48:T48" si="14">N48-($M$48-$U$48)/($U$36-$M$36)</f>
        <v>0.12249999999999998</v>
      </c>
      <c r="P48" s="45">
        <f t="shared" si="14"/>
        <v>0.10874999999999999</v>
      </c>
      <c r="Q48" s="45">
        <f t="shared" si="14"/>
        <v>9.4999999999999987E-2</v>
      </c>
      <c r="R48" s="45">
        <f t="shared" si="14"/>
        <v>8.1249999999999989E-2</v>
      </c>
      <c r="S48" s="45">
        <f t="shared" si="14"/>
        <v>6.7499999999999991E-2</v>
      </c>
      <c r="T48" s="45">
        <f t="shared" si="14"/>
        <v>5.3749999999999992E-2</v>
      </c>
      <c r="U48" s="44">
        <f>L14</f>
        <v>0.04</v>
      </c>
    </row>
    <row r="49" spans="2:21" ht="16" customHeight="1" x14ac:dyDescent="0.2">
      <c r="B49" s="5" t="s">
        <v>46</v>
      </c>
      <c r="E49" s="143"/>
      <c r="J49" s="46"/>
      <c r="K49" s="43">
        <f>K48</f>
        <v>3.7025481019240747E-2</v>
      </c>
      <c r="L49" s="44">
        <f>L48*P12</f>
        <v>6.6621034332898857E-2</v>
      </c>
      <c r="M49" s="44">
        <f>P13</f>
        <v>0.17</v>
      </c>
      <c r="N49" s="45">
        <f>M49-($M$49-$U$49)/($U$36-$M$36)</f>
        <v>0.155</v>
      </c>
      <c r="O49" s="45">
        <f t="shared" ref="O49:T49" si="15">N49-($M$49-$U$49)/($U$36-$M$36)</f>
        <v>0.13999999999999999</v>
      </c>
      <c r="P49" s="45">
        <f t="shared" si="15"/>
        <v>0.12499999999999999</v>
      </c>
      <c r="Q49" s="45">
        <f t="shared" si="15"/>
        <v>0.10999999999999999</v>
      </c>
      <c r="R49" s="45">
        <f t="shared" si="15"/>
        <v>9.4999999999999987E-2</v>
      </c>
      <c r="S49" s="45">
        <f t="shared" si="15"/>
        <v>7.9999999999999988E-2</v>
      </c>
      <c r="T49" s="45">
        <f t="shared" si="15"/>
        <v>6.4999999999999988E-2</v>
      </c>
      <c r="U49" s="44">
        <f>P14</f>
        <v>0.05</v>
      </c>
    </row>
    <row r="50" spans="2:21" ht="16" customHeight="1" x14ac:dyDescent="0.2">
      <c r="B50" s="5" t="s">
        <v>42</v>
      </c>
      <c r="E50" s="143"/>
      <c r="J50" s="46"/>
      <c r="K50" s="49"/>
      <c r="L50" s="50"/>
      <c r="M50" s="50"/>
      <c r="N50" s="50"/>
      <c r="O50" s="50"/>
      <c r="P50" s="50"/>
      <c r="Q50" s="50"/>
      <c r="R50" s="50"/>
      <c r="S50" s="50"/>
      <c r="T50" s="50"/>
      <c r="U50" s="50"/>
    </row>
    <row r="51" spans="2:21" ht="16" customHeight="1" x14ac:dyDescent="0.2">
      <c r="E51" s="143"/>
      <c r="J51" s="46"/>
    </row>
    <row r="52" spans="2:21" ht="16" customHeight="1" x14ac:dyDescent="0.2">
      <c r="B52" s="16" t="s">
        <v>138</v>
      </c>
      <c r="E52" s="165" t="s">
        <v>150</v>
      </c>
      <c r="F52" s="36">
        <f>'Financials + KPIs'!R5</f>
        <v>17616</v>
      </c>
      <c r="G52" s="36">
        <f>'Financials + KPIs'!S5</f>
        <v>20010</v>
      </c>
      <c r="H52" s="36">
        <f>'Financials + KPIs'!T5</f>
        <v>21547</v>
      </c>
      <c r="I52" s="36">
        <f>'Financials + KPIs'!U5</f>
        <v>23090</v>
      </c>
      <c r="J52" s="37">
        <f>'Financials + KPIs'!V5</f>
        <v>31701</v>
      </c>
      <c r="K52" s="51">
        <f ca="1">J52*(1+K53)</f>
        <v>33237.800000000003</v>
      </c>
      <c r="L52" s="38">
        <f t="shared" ref="L52:U52" ca="1" si="16">K52*(1+L53)</f>
        <v>34004.04</v>
      </c>
      <c r="M52" s="38">
        <f t="shared" ca="1" si="16"/>
        <v>36044.282400000004</v>
      </c>
      <c r="N52" s="38">
        <f t="shared" ca="1" si="16"/>
        <v>38026.717932</v>
      </c>
      <c r="O52" s="38">
        <f t="shared" ca="1" si="16"/>
        <v>39928.053828600001</v>
      </c>
      <c r="P52" s="38">
        <f t="shared" ca="1" si="16"/>
        <v>41724.816250887001</v>
      </c>
      <c r="Q52" s="38">
        <f t="shared" ca="1" si="16"/>
        <v>43393.808900922486</v>
      </c>
      <c r="R52" s="38">
        <f t="shared" ca="1" si="16"/>
        <v>44912.592212454772</v>
      </c>
      <c r="S52" s="38">
        <f t="shared" ca="1" si="16"/>
        <v>46259.96997882842</v>
      </c>
      <c r="T52" s="38">
        <f t="shared" ca="1" si="16"/>
        <v>47416.469228299124</v>
      </c>
      <c r="U52" s="38">
        <f t="shared" ca="1" si="16"/>
        <v>48364.79861286511</v>
      </c>
    </row>
    <row r="53" spans="2:21" s="39" customFormat="1" ht="16" customHeight="1" x14ac:dyDescent="0.2">
      <c r="B53" s="39" t="s">
        <v>45</v>
      </c>
      <c r="E53" s="166"/>
      <c r="F53" s="40"/>
      <c r="G53" s="40">
        <f t="shared" ref="F53:H53" si="17">G52/F52-1</f>
        <v>0.13589918256130784</v>
      </c>
      <c r="H53" s="40">
        <f t="shared" si="17"/>
        <v>7.6811594202898625E-2</v>
      </c>
      <c r="I53" s="40">
        <f>I52/H52-1</f>
        <v>7.161089710864621E-2</v>
      </c>
      <c r="J53" s="41">
        <f>J52/I52-1</f>
        <v>0.37293200519705505</v>
      </c>
      <c r="K53" s="40">
        <f ca="1">OFFSET(K53,$D$15,0)</f>
        <v>4.8477965994763617E-2</v>
      </c>
      <c r="L53" s="40">
        <f t="shared" ref="L53:U53" ca="1" si="18">OFFSET(L53,$D$15,0)</f>
        <v>2.3053270673750959E-2</v>
      </c>
      <c r="M53" s="40">
        <f t="shared" ca="1" si="18"/>
        <v>0.06</v>
      </c>
      <c r="N53" s="40">
        <f t="shared" ca="1" si="18"/>
        <v>5.5E-2</v>
      </c>
      <c r="O53" s="40">
        <f t="shared" ca="1" si="18"/>
        <v>0.05</v>
      </c>
      <c r="P53" s="40">
        <f t="shared" ca="1" si="18"/>
        <v>4.5000000000000005E-2</v>
      </c>
      <c r="Q53" s="40">
        <f t="shared" ca="1" si="18"/>
        <v>4.0000000000000008E-2</v>
      </c>
      <c r="R53" s="40">
        <f t="shared" ca="1" si="18"/>
        <v>3.500000000000001E-2</v>
      </c>
      <c r="S53" s="40">
        <f t="shared" ca="1" si="18"/>
        <v>3.0000000000000013E-2</v>
      </c>
      <c r="T53" s="40">
        <f t="shared" ca="1" si="18"/>
        <v>2.5000000000000015E-2</v>
      </c>
      <c r="U53" s="40">
        <f t="shared" ca="1" si="18"/>
        <v>0.02</v>
      </c>
    </row>
    <row r="54" spans="2:21" ht="16" customHeight="1" x14ac:dyDescent="0.2">
      <c r="B54" s="5" t="s">
        <v>4</v>
      </c>
      <c r="E54" s="143"/>
      <c r="J54" s="42"/>
      <c r="K54" s="43">
        <f>K55</f>
        <v>4.8477965994763617E-2</v>
      </c>
      <c r="L54" s="44">
        <f>L55*H15</f>
        <v>1.8442616539000766E-2</v>
      </c>
      <c r="M54" s="44">
        <f>H16</f>
        <v>0.04</v>
      </c>
      <c r="N54" s="45">
        <f>M54-($M$54-$U$54)/($U$36-$M$36)</f>
        <v>3.6250000000000004E-2</v>
      </c>
      <c r="O54" s="45">
        <f t="shared" ref="O54:T54" si="19">N54-($M$54-$U$54)/($U$36-$M$36)</f>
        <v>3.2500000000000001E-2</v>
      </c>
      <c r="P54" s="45">
        <f t="shared" si="19"/>
        <v>2.8750000000000001E-2</v>
      </c>
      <c r="Q54" s="45">
        <f t="shared" si="19"/>
        <v>2.5000000000000001E-2</v>
      </c>
      <c r="R54" s="45">
        <f t="shared" si="19"/>
        <v>2.1250000000000002E-2</v>
      </c>
      <c r="S54" s="45">
        <f t="shared" si="19"/>
        <v>1.7500000000000002E-2</v>
      </c>
      <c r="T54" s="45">
        <f t="shared" si="19"/>
        <v>1.3750000000000002E-2</v>
      </c>
      <c r="U54" s="44">
        <f>H17</f>
        <v>0.01</v>
      </c>
    </row>
    <row r="55" spans="2:21" ht="16" customHeight="1" x14ac:dyDescent="0.2">
      <c r="B55" s="5" t="s">
        <v>15</v>
      </c>
      <c r="E55" s="143"/>
      <c r="J55" s="46"/>
      <c r="K55" s="47">
        <f>'Financials + KPIs'!W26</f>
        <v>4.8477965994763617E-2</v>
      </c>
      <c r="L55" s="48">
        <f>'Financials + KPIs'!X26</f>
        <v>2.3053270673750959E-2</v>
      </c>
      <c r="M55" s="44">
        <f>L16</f>
        <v>0.06</v>
      </c>
      <c r="N55" s="45">
        <f>M55-($M$55-$U$55)/($U$36-$M$36)</f>
        <v>5.5E-2</v>
      </c>
      <c r="O55" s="45">
        <f t="shared" ref="O55:T55" si="20">N55-($M$55-$U$55)/($U$36-$M$36)</f>
        <v>0.05</v>
      </c>
      <c r="P55" s="45">
        <f t="shared" si="20"/>
        <v>4.5000000000000005E-2</v>
      </c>
      <c r="Q55" s="45">
        <f t="shared" si="20"/>
        <v>4.0000000000000008E-2</v>
      </c>
      <c r="R55" s="45">
        <f t="shared" si="20"/>
        <v>3.500000000000001E-2</v>
      </c>
      <c r="S55" s="45">
        <f t="shared" si="20"/>
        <v>3.0000000000000013E-2</v>
      </c>
      <c r="T55" s="45">
        <f t="shared" si="20"/>
        <v>2.5000000000000015E-2</v>
      </c>
      <c r="U55" s="44">
        <f>L17</f>
        <v>0.02</v>
      </c>
    </row>
    <row r="56" spans="2:21" ht="16" customHeight="1" x14ac:dyDescent="0.2">
      <c r="B56" s="5" t="s">
        <v>46</v>
      </c>
      <c r="E56" s="143"/>
      <c r="J56" s="46"/>
      <c r="K56" s="43">
        <f>K55</f>
        <v>4.8477965994763617E-2</v>
      </c>
      <c r="L56" s="44">
        <f>L55*P15</f>
        <v>2.7663924808501151E-2</v>
      </c>
      <c r="M56" s="44">
        <f>P16</f>
        <v>0.08</v>
      </c>
      <c r="N56" s="45">
        <f>M56-($M$56-$U$56)/($U$36-$M$36)</f>
        <v>7.3749999999999996E-2</v>
      </c>
      <c r="O56" s="45">
        <f t="shared" ref="O56:T56" si="21">N56-($M$56-$U$56)/($U$36-$M$36)</f>
        <v>6.7499999999999991E-2</v>
      </c>
      <c r="P56" s="45">
        <f t="shared" si="21"/>
        <v>6.1249999999999992E-2</v>
      </c>
      <c r="Q56" s="45">
        <f t="shared" si="21"/>
        <v>5.4999999999999993E-2</v>
      </c>
      <c r="R56" s="45">
        <f t="shared" si="21"/>
        <v>4.8749999999999995E-2</v>
      </c>
      <c r="S56" s="45">
        <f t="shared" si="21"/>
        <v>4.2499999999999996E-2</v>
      </c>
      <c r="T56" s="45">
        <f t="shared" si="21"/>
        <v>3.6249999999999998E-2</v>
      </c>
      <c r="U56" s="44">
        <f>P17</f>
        <v>0.03</v>
      </c>
    </row>
    <row r="57" spans="2:21" ht="16" customHeight="1" x14ac:dyDescent="0.2">
      <c r="B57" s="5" t="s">
        <v>42</v>
      </c>
      <c r="E57" s="143"/>
      <c r="J57" s="46"/>
      <c r="K57" s="49"/>
      <c r="L57" s="50"/>
      <c r="M57" s="50"/>
      <c r="N57" s="50"/>
      <c r="O57" s="50"/>
      <c r="P57" s="50"/>
      <c r="Q57" s="50"/>
      <c r="R57" s="50"/>
      <c r="S57" s="50"/>
      <c r="T57" s="50"/>
      <c r="U57" s="50"/>
    </row>
    <row r="58" spans="2:21" customFormat="1" ht="16" customHeight="1" x14ac:dyDescent="0.2">
      <c r="E58" s="167"/>
      <c r="J58" s="52"/>
    </row>
    <row r="59" spans="2:21" ht="16" customHeight="1" x14ac:dyDescent="0.2">
      <c r="B59" s="16" t="s">
        <v>25</v>
      </c>
      <c r="E59" s="165" t="s">
        <v>150</v>
      </c>
      <c r="F59" s="36">
        <f>'Financials + KPIs'!R6</f>
        <v>10914</v>
      </c>
      <c r="G59" s="36">
        <f>'Financials + KPIs'!S6</f>
        <v>14063</v>
      </c>
      <c r="H59" s="36">
        <f>'Financials + KPIs'!T6</f>
        <v>17014</v>
      </c>
      <c r="I59" s="36">
        <f>'Financials + KPIs'!U6</f>
        <v>21711</v>
      </c>
      <c r="J59" s="37">
        <f>'Financials + KPIs'!V6</f>
        <v>28032</v>
      </c>
      <c r="K59" s="51">
        <f ca="1">J59*(1+K60)</f>
        <v>28256.78</v>
      </c>
      <c r="L59" s="38">
        <f t="shared" ref="L59:U59" ca="1" si="22">K59*(1+L60)</f>
        <v>29062.688999999998</v>
      </c>
      <c r="M59" s="38">
        <f t="shared" ca="1" si="22"/>
        <v>29864.067647374522</v>
      </c>
      <c r="N59" s="38">
        <f t="shared" ca="1" si="22"/>
        <v>30659.269293894107</v>
      </c>
      <c r="O59" s="38">
        <f t="shared" ca="1" si="22"/>
        <v>31446.617871978284</v>
      </c>
      <c r="P59" s="38">
        <f t="shared" ca="1" si="22"/>
        <v>32224.413403014038</v>
      </c>
      <c r="Q59" s="38">
        <f t="shared" ca="1" si="22"/>
        <v>32990.937775967446</v>
      </c>
      <c r="R59" s="38">
        <f t="shared" ca="1" si="22"/>
        <v>33744.460771171434</v>
      </c>
      <c r="S59" s="38">
        <f t="shared" ca="1" si="22"/>
        <v>34483.246301831547</v>
      </c>
      <c r="T59" s="38">
        <f t="shared" ca="1" si="22"/>
        <v>35205.55884359136</v>
      </c>
      <c r="U59" s="38">
        <f t="shared" ca="1" si="22"/>
        <v>35909.670020463185</v>
      </c>
    </row>
    <row r="60" spans="2:21" s="39" customFormat="1" ht="16" customHeight="1" x14ac:dyDescent="0.2">
      <c r="B60" s="39" t="s">
        <v>45</v>
      </c>
      <c r="E60" s="166"/>
      <c r="F60" s="40"/>
      <c r="G60" s="40">
        <f t="shared" ref="G60:H60" si="23">G59/F59-1</f>
        <v>0.28852849551035376</v>
      </c>
      <c r="H60" s="40">
        <f t="shared" si="23"/>
        <v>0.20984142786034266</v>
      </c>
      <c r="I60" s="40">
        <f>I59/H59-1</f>
        <v>0.27606676854355228</v>
      </c>
      <c r="J60" s="41">
        <f>J59/I59-1</f>
        <v>0.29114273870388274</v>
      </c>
      <c r="K60" s="40">
        <f ca="1">OFFSET(K60,$D$18,0)</f>
        <v>8.0186929223744485E-3</v>
      </c>
      <c r="L60" s="40">
        <f t="shared" ref="L60:U60" ca="1" si="24">OFFSET(L60,$D$18,0)</f>
        <v>2.8520907194662604E-2</v>
      </c>
      <c r="M60" s="40">
        <f t="shared" ca="1" si="24"/>
        <v>2.7574139728588982E-2</v>
      </c>
      <c r="N60" s="40">
        <f t="shared" ca="1" si="24"/>
        <v>2.662737226251536E-2</v>
      </c>
      <c r="O60" s="40">
        <f t="shared" ca="1" si="24"/>
        <v>2.5680604796441738E-2</v>
      </c>
      <c r="P60" s="40">
        <f t="shared" ca="1" si="24"/>
        <v>2.4733837330368116E-2</v>
      </c>
      <c r="Q60" s="40">
        <f t="shared" ca="1" si="24"/>
        <v>2.3787069864294495E-2</v>
      </c>
      <c r="R60" s="40">
        <f t="shared" ca="1" si="24"/>
        <v>2.2840302398220873E-2</v>
      </c>
      <c r="S60" s="40">
        <f t="shared" ca="1" si="24"/>
        <v>2.1893534932147251E-2</v>
      </c>
      <c r="T60" s="40">
        <f t="shared" ca="1" si="24"/>
        <v>2.0946767466073629E-2</v>
      </c>
      <c r="U60" s="40">
        <f t="shared" ca="1" si="24"/>
        <v>0.02</v>
      </c>
    </row>
    <row r="61" spans="2:21" ht="16" customHeight="1" x14ac:dyDescent="0.2">
      <c r="B61" s="5" t="s">
        <v>4</v>
      </c>
      <c r="E61" s="143"/>
      <c r="J61" s="42"/>
      <c r="K61" s="43">
        <f>K62</f>
        <v>8.0186929223744485E-3</v>
      </c>
      <c r="L61" s="44">
        <f>L62*H18</f>
        <v>2.2816725755730086E-2</v>
      </c>
      <c r="M61" s="45">
        <f>L61-($L$61-$U$61)/($U$36-$L$36)</f>
        <v>2.139264511620452E-2</v>
      </c>
      <c r="N61" s="45">
        <f t="shared" ref="N61:T61" si="25">M61-($L$61-$U$61)/($U$36-$L$36)</f>
        <v>1.9968564476678954E-2</v>
      </c>
      <c r="O61" s="45">
        <f t="shared" si="25"/>
        <v>1.8544483837153389E-2</v>
      </c>
      <c r="P61" s="45">
        <f t="shared" si="25"/>
        <v>1.7120403197627823E-2</v>
      </c>
      <c r="Q61" s="45">
        <f t="shared" si="25"/>
        <v>1.5696322558102258E-2</v>
      </c>
      <c r="R61" s="45">
        <f t="shared" si="25"/>
        <v>1.4272241918576692E-2</v>
      </c>
      <c r="S61" s="45">
        <f t="shared" si="25"/>
        <v>1.2848161279051126E-2</v>
      </c>
      <c r="T61" s="45">
        <f t="shared" si="25"/>
        <v>1.1424080639525561E-2</v>
      </c>
      <c r="U61" s="44">
        <f>H19</f>
        <v>0.01</v>
      </c>
    </row>
    <row r="62" spans="2:21" ht="16" customHeight="1" x14ac:dyDescent="0.2">
      <c r="B62" s="5" t="s">
        <v>15</v>
      </c>
      <c r="E62" s="143"/>
      <c r="J62" s="46"/>
      <c r="K62" s="47">
        <f>'Financials + KPIs'!W27</f>
        <v>8.0186929223744485E-3</v>
      </c>
      <c r="L62" s="48">
        <f>'Financials + KPIs'!X27</f>
        <v>2.8520907194662604E-2</v>
      </c>
      <c r="M62" s="45">
        <f>L62-($L$62-$U$62)/($U$36-$L$36)</f>
        <v>2.7574139728588982E-2</v>
      </c>
      <c r="N62" s="45">
        <f t="shared" ref="N62:T62" si="26">M62-($L$62-$U$62)/($U$36-$L$36)</f>
        <v>2.662737226251536E-2</v>
      </c>
      <c r="O62" s="45">
        <f t="shared" si="26"/>
        <v>2.5680604796441738E-2</v>
      </c>
      <c r="P62" s="45">
        <f t="shared" si="26"/>
        <v>2.4733837330368116E-2</v>
      </c>
      <c r="Q62" s="45">
        <f t="shared" si="26"/>
        <v>2.3787069864294495E-2</v>
      </c>
      <c r="R62" s="45">
        <f t="shared" si="26"/>
        <v>2.2840302398220873E-2</v>
      </c>
      <c r="S62" s="45">
        <f t="shared" si="26"/>
        <v>2.1893534932147251E-2</v>
      </c>
      <c r="T62" s="45">
        <f t="shared" si="26"/>
        <v>2.0946767466073629E-2</v>
      </c>
      <c r="U62" s="44">
        <f>L19</f>
        <v>0.02</v>
      </c>
    </row>
    <row r="63" spans="2:21" ht="16" customHeight="1" x14ac:dyDescent="0.2">
      <c r="B63" s="5" t="s">
        <v>46</v>
      </c>
      <c r="E63" s="143"/>
      <c r="J63" s="46"/>
      <c r="K63" s="43">
        <f>K62</f>
        <v>8.0186929223744485E-3</v>
      </c>
      <c r="L63" s="44">
        <f>L62*P18</f>
        <v>3.4225088633595122E-2</v>
      </c>
      <c r="M63" s="45">
        <f>L63-($L$63-$U$63)/($U$36-$L$36)</f>
        <v>3.3755634340973444E-2</v>
      </c>
      <c r="N63" s="45">
        <f t="shared" ref="N63:T63" si="27">M63-($L$63-$U$63)/($U$36-$L$36)</f>
        <v>3.3286180048351766E-2</v>
      </c>
      <c r="O63" s="45">
        <f t="shared" si="27"/>
        <v>3.2816725755730088E-2</v>
      </c>
      <c r="P63" s="45">
        <f t="shared" si="27"/>
        <v>3.234727146310841E-2</v>
      </c>
      <c r="Q63" s="45">
        <f t="shared" si="27"/>
        <v>3.1877817170486732E-2</v>
      </c>
      <c r="R63" s="45">
        <f t="shared" si="27"/>
        <v>3.1408362877865054E-2</v>
      </c>
      <c r="S63" s="45">
        <f t="shared" si="27"/>
        <v>3.0938908585243372E-2</v>
      </c>
      <c r="T63" s="45">
        <f t="shared" si="27"/>
        <v>3.0469454292621691E-2</v>
      </c>
      <c r="U63" s="44">
        <f>P19</f>
        <v>0.03</v>
      </c>
    </row>
    <row r="64" spans="2:21" ht="16" customHeight="1" x14ac:dyDescent="0.2">
      <c r="B64" s="5" t="s">
        <v>42</v>
      </c>
      <c r="E64" s="143"/>
      <c r="J64" s="46"/>
      <c r="K64" s="49"/>
      <c r="L64" s="50"/>
      <c r="M64" s="50"/>
      <c r="N64" s="50"/>
      <c r="O64" s="50"/>
      <c r="P64" s="50"/>
      <c r="Q64" s="50"/>
      <c r="R64" s="50"/>
      <c r="S64" s="50"/>
      <c r="T64" s="50"/>
      <c r="U64" s="50"/>
    </row>
    <row r="65" spans="1:21" ht="16" customHeight="1" x14ac:dyDescent="0.2">
      <c r="E65" s="143"/>
      <c r="J65" s="46"/>
    </row>
    <row r="66" spans="1:21" ht="16" customHeight="1" x14ac:dyDescent="0.2">
      <c r="B66" s="16" t="s">
        <v>139</v>
      </c>
      <c r="E66" s="165" t="s">
        <v>150</v>
      </c>
      <c r="F66" s="36">
        <f>'Financials + KPIs'!R7</f>
        <v>4056</v>
      </c>
      <c r="G66" s="36">
        <f>'Financials + KPIs'!S7</f>
        <v>5838</v>
      </c>
      <c r="H66" s="36">
        <f>'Financials + KPIs'!T7</f>
        <v>8918</v>
      </c>
      <c r="I66" s="36">
        <f>'Financials + KPIs'!U7</f>
        <v>13059</v>
      </c>
      <c r="J66" s="37">
        <f>'Financials + KPIs'!V7</f>
        <v>19206</v>
      </c>
      <c r="K66" s="51">
        <f ca="1">J66*(1+K67)</f>
        <v>26279.119999999999</v>
      </c>
      <c r="L66" s="38">
        <f t="shared" ref="L66:U66" ca="1" si="28">K66*(1+L67)</f>
        <v>35117.440399999999</v>
      </c>
      <c r="M66" s="38">
        <f t="shared" ca="1" si="28"/>
        <v>43896.800499999998</v>
      </c>
      <c r="N66" s="38">
        <f t="shared" ca="1" si="28"/>
        <v>53773.580612500002</v>
      </c>
      <c r="O66" s="38">
        <f t="shared" ca="1" si="28"/>
        <v>64528.296734999996</v>
      </c>
      <c r="P66" s="38">
        <f t="shared" ca="1" si="28"/>
        <v>75820.748663624996</v>
      </c>
      <c r="Q66" s="38">
        <f t="shared" ca="1" si="28"/>
        <v>87193.860963168743</v>
      </c>
      <c r="R66" s="38">
        <f t="shared" ca="1" si="28"/>
        <v>98093.093583564842</v>
      </c>
      <c r="S66" s="38">
        <f t="shared" ca="1" si="28"/>
        <v>107902.40294192133</v>
      </c>
      <c r="T66" s="38">
        <f t="shared" ca="1" si="28"/>
        <v>115995.08316256542</v>
      </c>
      <c r="U66" s="38">
        <f t="shared" ca="1" si="28"/>
        <v>121794.8373206937</v>
      </c>
    </row>
    <row r="67" spans="1:21" s="39" customFormat="1" ht="16" customHeight="1" x14ac:dyDescent="0.2">
      <c r="B67" s="39" t="s">
        <v>45</v>
      </c>
      <c r="E67" s="163"/>
      <c r="F67" s="40"/>
      <c r="G67" s="40">
        <f t="shared" ref="F67:H67" si="29">G66/F66-1</f>
        <v>0.43934911242603558</v>
      </c>
      <c r="H67" s="40">
        <f t="shared" si="29"/>
        <v>0.52757793764988015</v>
      </c>
      <c r="I67" s="40">
        <f>I66/H66-1</f>
        <v>0.46434178066831122</v>
      </c>
      <c r="J67" s="41">
        <f>J66/I66-1</f>
        <v>0.47070985527222597</v>
      </c>
      <c r="K67" s="40">
        <f ca="1">OFFSET(K67,$D$20,0)</f>
        <v>0.36827658023534315</v>
      </c>
      <c r="L67" s="40">
        <f ca="1">OFFSET(L67,$D$20,0)</f>
        <v>0.33632482366228406</v>
      </c>
      <c r="M67" s="40">
        <f ca="1">OFFSET(M67,$D$20,0)</f>
        <v>0.25</v>
      </c>
      <c r="N67" s="40">
        <f t="shared" ref="L67:U67" ca="1" si="30">OFFSET(N67,$D$20,0)</f>
        <v>0.22500000000000001</v>
      </c>
      <c r="O67" s="40">
        <f t="shared" ca="1" si="30"/>
        <v>0.2</v>
      </c>
      <c r="P67" s="40">
        <f t="shared" ca="1" si="30"/>
        <v>0.17500000000000002</v>
      </c>
      <c r="Q67" s="40">
        <f t="shared" ca="1" si="30"/>
        <v>0.15000000000000002</v>
      </c>
      <c r="R67" s="40">
        <f t="shared" ca="1" si="30"/>
        <v>0.12500000000000003</v>
      </c>
      <c r="S67" s="40">
        <f t="shared" ca="1" si="30"/>
        <v>0.10000000000000003</v>
      </c>
      <c r="T67" s="40">
        <f t="shared" ca="1" si="30"/>
        <v>7.5000000000000039E-2</v>
      </c>
      <c r="U67" s="40">
        <f t="shared" ca="1" si="30"/>
        <v>0.05</v>
      </c>
    </row>
    <row r="68" spans="1:21" ht="16" customHeight="1" x14ac:dyDescent="0.2">
      <c r="B68" s="5" t="s">
        <v>4</v>
      </c>
      <c r="E68" s="164"/>
      <c r="J68" s="42"/>
      <c r="K68" s="43">
        <f>K69</f>
        <v>0.36827658023534315</v>
      </c>
      <c r="L68" s="44">
        <f>L69*H20</f>
        <v>0.33632482366228406</v>
      </c>
      <c r="M68" s="44">
        <f>H21</f>
        <v>0.25</v>
      </c>
      <c r="N68" s="45">
        <f>M68-($M$68-$U$68)/($U$36-$M$36)</f>
        <v>0.22500000000000001</v>
      </c>
      <c r="O68" s="45">
        <f t="shared" ref="O68:T69" si="31">N68-($M$68-$U$68)/($U$36-$M$36)</f>
        <v>0.2</v>
      </c>
      <c r="P68" s="45">
        <f t="shared" si="31"/>
        <v>0.17500000000000002</v>
      </c>
      <c r="Q68" s="45">
        <f t="shared" si="31"/>
        <v>0.15000000000000002</v>
      </c>
      <c r="R68" s="45">
        <f t="shared" si="31"/>
        <v>0.12500000000000003</v>
      </c>
      <c r="S68" s="45">
        <f t="shared" si="31"/>
        <v>0.10000000000000003</v>
      </c>
      <c r="T68" s="45">
        <f t="shared" si="31"/>
        <v>7.5000000000000039E-2</v>
      </c>
      <c r="U68" s="44">
        <f>H22</f>
        <v>0.05</v>
      </c>
    </row>
    <row r="69" spans="1:21" ht="16" customHeight="1" x14ac:dyDescent="0.2">
      <c r="B69" s="5" t="s">
        <v>15</v>
      </c>
      <c r="E69" s="164"/>
      <c r="J69" s="46"/>
      <c r="K69" s="47">
        <f>'Financials + KPIs'!W28</f>
        <v>0.36827658023534315</v>
      </c>
      <c r="L69" s="48">
        <f>'Financials + KPIs'!X28</f>
        <v>0.39567626313209892</v>
      </c>
      <c r="M69" s="44">
        <f>L21</f>
        <v>0.3</v>
      </c>
      <c r="N69" s="45">
        <f>M69-($M$69-$U$69)/($U$36-$M$36)</f>
        <v>0.27</v>
      </c>
      <c r="O69" s="45">
        <f t="shared" si="31"/>
        <v>0.24500000000000002</v>
      </c>
      <c r="P69" s="45">
        <f t="shared" si="31"/>
        <v>0.22000000000000003</v>
      </c>
      <c r="Q69" s="45">
        <f t="shared" si="31"/>
        <v>0.19500000000000003</v>
      </c>
      <c r="R69" s="45">
        <f t="shared" si="31"/>
        <v>0.17000000000000004</v>
      </c>
      <c r="S69" s="45">
        <f t="shared" si="31"/>
        <v>0.14500000000000005</v>
      </c>
      <c r="T69" s="45">
        <f t="shared" si="31"/>
        <v>0.12000000000000005</v>
      </c>
      <c r="U69" s="44">
        <f>L22</f>
        <v>0.06</v>
      </c>
    </row>
    <row r="70" spans="1:21" ht="16" customHeight="1" x14ac:dyDescent="0.2">
      <c r="B70" s="5" t="s">
        <v>46</v>
      </c>
      <c r="E70" s="164"/>
      <c r="J70" s="46"/>
      <c r="K70" s="43">
        <f>K69</f>
        <v>0.36827658023534315</v>
      </c>
      <c r="L70" s="44">
        <f>L69*P20</f>
        <v>0.45502770260191372</v>
      </c>
      <c r="M70" s="44">
        <f>P21</f>
        <v>0.35</v>
      </c>
      <c r="N70" s="45">
        <f>M70-($M$70-$U$70)/($U$36-$M$36)</f>
        <v>0.315</v>
      </c>
      <c r="O70" s="45">
        <f t="shared" ref="O70:T70" si="32">N70-($M$70-$U$70)/($U$36-$M$36)</f>
        <v>0.28000000000000003</v>
      </c>
      <c r="P70" s="45">
        <f t="shared" si="32"/>
        <v>0.24500000000000002</v>
      </c>
      <c r="Q70" s="45">
        <f t="shared" si="32"/>
        <v>0.21000000000000002</v>
      </c>
      <c r="R70" s="45">
        <f t="shared" si="32"/>
        <v>0.17500000000000002</v>
      </c>
      <c r="S70" s="45">
        <f t="shared" si="32"/>
        <v>0.14000000000000001</v>
      </c>
      <c r="T70" s="45">
        <f t="shared" si="32"/>
        <v>0.10500000000000001</v>
      </c>
      <c r="U70" s="44">
        <f>P22</f>
        <v>7.0000000000000007E-2</v>
      </c>
    </row>
    <row r="71" spans="1:21" ht="16" customHeight="1" x14ac:dyDescent="0.2">
      <c r="B71" s="5" t="s">
        <v>42</v>
      </c>
      <c r="E71" s="164"/>
      <c r="J71" s="46"/>
      <c r="K71" s="49"/>
      <c r="L71" s="50"/>
      <c r="M71" s="50"/>
      <c r="N71" s="50"/>
      <c r="O71" s="50"/>
      <c r="P71" s="50"/>
      <c r="Q71" s="50"/>
      <c r="R71" s="50"/>
      <c r="S71" s="50"/>
      <c r="T71" s="50"/>
      <c r="U71" s="50"/>
    </row>
    <row r="72" spans="1:21" customFormat="1" ht="16" customHeight="1" x14ac:dyDescent="0.2">
      <c r="J72" s="52"/>
    </row>
    <row r="73" spans="1:21" ht="16" customHeight="1" x14ac:dyDescent="0.2">
      <c r="B73" s="53" t="s">
        <v>149</v>
      </c>
      <c r="C73" s="54"/>
      <c r="D73" s="54"/>
      <c r="E73" s="162">
        <f>'Financials + KPIs'!Q10</f>
        <v>90272</v>
      </c>
      <c r="F73" s="55">
        <f>F45+F38+F66+F52+F59</f>
        <v>110547</v>
      </c>
      <c r="G73" s="55">
        <f t="shared" ref="G73:U73" si="33">G45+G38+G66+G52+G59</f>
        <v>136362</v>
      </c>
      <c r="H73" s="55">
        <f t="shared" si="33"/>
        <v>160743</v>
      </c>
      <c r="I73" s="55">
        <f t="shared" si="33"/>
        <v>181694</v>
      </c>
      <c r="J73" s="56">
        <f t="shared" si="33"/>
        <v>256735</v>
      </c>
      <c r="K73" s="55">
        <f t="shared" ca="1" si="33"/>
        <v>281266.70999999996</v>
      </c>
      <c r="L73" s="55">
        <f t="shared" ca="1" si="33"/>
        <v>304128.17281999998</v>
      </c>
      <c r="M73" s="55">
        <f t="shared" ca="1" si="33"/>
        <v>342057.72612777457</v>
      </c>
      <c r="N73" s="55">
        <f t="shared" ca="1" si="33"/>
        <v>381939.7689453882</v>
      </c>
      <c r="O73" s="55">
        <f t="shared" ca="1" si="33"/>
        <v>423055.8276583617</v>
      </c>
      <c r="P73" s="55">
        <f t="shared" ca="1" si="33"/>
        <v>464486.92128043727</v>
      </c>
      <c r="Q73" s="55">
        <f t="shared" ca="1" si="33"/>
        <v>505131.79222114879</v>
      </c>
      <c r="R73" s="55">
        <f t="shared" ca="1" si="33"/>
        <v>543746.52378651756</v>
      </c>
      <c r="S73" s="55">
        <f t="shared" ca="1" si="33"/>
        <v>579005.97454764997</v>
      </c>
      <c r="T73" s="55">
        <f t="shared" ca="1" si="33"/>
        <v>609584.28265856986</v>
      </c>
      <c r="U73" s="55">
        <f ca="1">U45+U38+U66+U52+U59</f>
        <v>634248.21105138282</v>
      </c>
    </row>
    <row r="74" spans="1:21" s="39" customFormat="1" ht="16" customHeight="1" x14ac:dyDescent="0.2">
      <c r="B74" s="39" t="s">
        <v>45</v>
      </c>
      <c r="F74" s="40">
        <f>F73/E73-1</f>
        <v>0.2245989897199574</v>
      </c>
      <c r="G74" s="40">
        <f t="shared" ref="G74:U74" si="34">G73/F73-1</f>
        <v>0.23352058400499343</v>
      </c>
      <c r="H74" s="40">
        <f t="shared" si="34"/>
        <v>0.17879614555374657</v>
      </c>
      <c r="I74" s="40">
        <f t="shared" si="34"/>
        <v>0.13033849063411784</v>
      </c>
      <c r="J74" s="41">
        <f t="shared" si="34"/>
        <v>0.41300758417999495</v>
      </c>
      <c r="K74" s="40">
        <f t="shared" ca="1" si="34"/>
        <v>9.5552651566790603E-2</v>
      </c>
      <c r="L74" s="40">
        <f t="shared" ca="1" si="34"/>
        <v>8.1280371999942647E-2</v>
      </c>
      <c r="M74" s="40">
        <f t="shared" ca="1" si="34"/>
        <v>0.12471568469331973</v>
      </c>
      <c r="N74" s="40">
        <f t="shared" ca="1" si="34"/>
        <v>0.11659448032089137</v>
      </c>
      <c r="O74" s="40">
        <f t="shared" ca="1" si="34"/>
        <v>0.10765063514203588</v>
      </c>
      <c r="P74" s="40">
        <f t="shared" ca="1" si="34"/>
        <v>9.7932922591798421E-2</v>
      </c>
      <c r="Q74" s="40">
        <f t="shared" ca="1" si="34"/>
        <v>8.7504877055885721E-2</v>
      </c>
      <c r="R74" s="40">
        <f t="shared" ca="1" si="34"/>
        <v>7.6444864805625068E-2</v>
      </c>
      <c r="S74" s="40">
        <f t="shared" ca="1" si="34"/>
        <v>6.484538147590202E-2</v>
      </c>
      <c r="T74" s="40">
        <f t="shared" ca="1" si="34"/>
        <v>5.2811731579815335E-2</v>
      </c>
      <c r="U74" s="40">
        <f t="shared" ca="1" si="34"/>
        <v>4.046024330753184E-2</v>
      </c>
    </row>
    <row r="75" spans="1:21" ht="16" customHeight="1" x14ac:dyDescent="0.2">
      <c r="J75" s="46"/>
    </row>
    <row r="76" spans="1:21" ht="16" customHeight="1" x14ac:dyDescent="0.2">
      <c r="A76" s="5" t="s">
        <v>11</v>
      </c>
      <c r="B76" s="12" t="s">
        <v>47</v>
      </c>
      <c r="C76" s="12"/>
      <c r="D76" s="12"/>
      <c r="E76" s="33">
        <v>2016</v>
      </c>
      <c r="F76" s="33">
        <f>E76+1</f>
        <v>2017</v>
      </c>
      <c r="G76" s="33">
        <f t="shared" ref="G76:J76" si="35">F76+1</f>
        <v>2018</v>
      </c>
      <c r="H76" s="33">
        <f t="shared" si="35"/>
        <v>2019</v>
      </c>
      <c r="I76" s="33">
        <f t="shared" si="35"/>
        <v>2020</v>
      </c>
      <c r="J76" s="33">
        <f t="shared" si="35"/>
        <v>2021</v>
      </c>
      <c r="K76" s="34">
        <v>2022</v>
      </c>
      <c r="L76" s="34">
        <f>K76+1</f>
        <v>2023</v>
      </c>
      <c r="M76" s="34">
        <f t="shared" ref="M76:U76" si="36">L76+1</f>
        <v>2024</v>
      </c>
      <c r="N76" s="34">
        <f t="shared" si="36"/>
        <v>2025</v>
      </c>
      <c r="O76" s="34">
        <f t="shared" si="36"/>
        <v>2026</v>
      </c>
      <c r="P76" s="34">
        <f t="shared" si="36"/>
        <v>2027</v>
      </c>
      <c r="Q76" s="34">
        <f t="shared" si="36"/>
        <v>2028</v>
      </c>
      <c r="R76" s="34">
        <f t="shared" si="36"/>
        <v>2029</v>
      </c>
      <c r="S76" s="34">
        <f t="shared" si="36"/>
        <v>2030</v>
      </c>
      <c r="T76" s="34">
        <f t="shared" si="36"/>
        <v>2031</v>
      </c>
      <c r="U76" s="34">
        <f t="shared" si="36"/>
        <v>2032</v>
      </c>
    </row>
    <row r="77" spans="1:21" ht="16" customHeight="1" x14ac:dyDescent="0.2">
      <c r="B77" s="12" t="s">
        <v>44</v>
      </c>
      <c r="C77" s="12"/>
      <c r="D77" s="12"/>
      <c r="E77" s="35">
        <f>EDATE(F77,-12)</f>
        <v>42735</v>
      </c>
      <c r="F77" s="35">
        <f t="shared" ref="F77:I77" si="37">EDATE(G77,-12)</f>
        <v>43100</v>
      </c>
      <c r="G77" s="35">
        <f t="shared" si="37"/>
        <v>43465</v>
      </c>
      <c r="H77" s="35">
        <f t="shared" si="37"/>
        <v>43830</v>
      </c>
      <c r="I77" s="35">
        <f t="shared" si="37"/>
        <v>44196</v>
      </c>
      <c r="J77" s="35">
        <f>EDATE(K77,-12)</f>
        <v>44561</v>
      </c>
      <c r="K77" s="35">
        <v>44926</v>
      </c>
      <c r="L77" s="35">
        <f>EDATE(K77,12)</f>
        <v>45291</v>
      </c>
      <c r="M77" s="35">
        <f t="shared" ref="M77:U77" si="38">EDATE(L77,12)</f>
        <v>45657</v>
      </c>
      <c r="N77" s="35">
        <f t="shared" si="38"/>
        <v>46022</v>
      </c>
      <c r="O77" s="35">
        <f t="shared" si="38"/>
        <v>46387</v>
      </c>
      <c r="P77" s="35">
        <f t="shared" si="38"/>
        <v>46752</v>
      </c>
      <c r="Q77" s="35">
        <f t="shared" si="38"/>
        <v>47118</v>
      </c>
      <c r="R77" s="35">
        <f t="shared" si="38"/>
        <v>47483</v>
      </c>
      <c r="S77" s="35">
        <f t="shared" si="38"/>
        <v>47848</v>
      </c>
      <c r="T77" s="35">
        <f t="shared" si="38"/>
        <v>48213</v>
      </c>
      <c r="U77" s="35">
        <f t="shared" si="38"/>
        <v>48579</v>
      </c>
    </row>
    <row r="78" spans="1:21" ht="16" customHeight="1" x14ac:dyDescent="0.2">
      <c r="B78" s="5" t="s">
        <v>151</v>
      </c>
      <c r="E78" s="57">
        <f>E73</f>
        <v>90272</v>
      </c>
      <c r="F78" s="57">
        <f t="shared" ref="F78:U79" si="39">F73</f>
        <v>110547</v>
      </c>
      <c r="G78" s="57">
        <f t="shared" si="39"/>
        <v>136362</v>
      </c>
      <c r="H78" s="57">
        <f t="shared" si="39"/>
        <v>160743</v>
      </c>
      <c r="I78" s="57">
        <f t="shared" si="39"/>
        <v>181694</v>
      </c>
      <c r="J78" s="58">
        <f t="shared" si="39"/>
        <v>256735</v>
      </c>
      <c r="K78" s="57">
        <f t="shared" ca="1" si="39"/>
        <v>281266.70999999996</v>
      </c>
      <c r="L78" s="57">
        <f t="shared" ca="1" si="39"/>
        <v>304128.17281999998</v>
      </c>
      <c r="M78" s="57">
        <f t="shared" ca="1" si="39"/>
        <v>342057.72612777457</v>
      </c>
      <c r="N78" s="57">
        <f t="shared" ca="1" si="39"/>
        <v>381939.7689453882</v>
      </c>
      <c r="O78" s="57">
        <f t="shared" ca="1" si="39"/>
        <v>423055.8276583617</v>
      </c>
      <c r="P78" s="57">
        <f t="shared" ca="1" si="39"/>
        <v>464486.92128043727</v>
      </c>
      <c r="Q78" s="57">
        <f t="shared" ca="1" si="39"/>
        <v>505131.79222114879</v>
      </c>
      <c r="R78" s="57">
        <f t="shared" ca="1" si="39"/>
        <v>543746.52378651756</v>
      </c>
      <c r="S78" s="57">
        <f t="shared" ca="1" si="39"/>
        <v>579005.97454764997</v>
      </c>
      <c r="T78" s="57">
        <f t="shared" ca="1" si="39"/>
        <v>609584.28265856986</v>
      </c>
      <c r="U78" s="57">
        <f t="shared" ca="1" si="39"/>
        <v>634248.21105138282</v>
      </c>
    </row>
    <row r="79" spans="1:21" s="39" customFormat="1" ht="16" customHeight="1" x14ac:dyDescent="0.2">
      <c r="B79" s="39" t="s">
        <v>45</v>
      </c>
      <c r="E79" s="59"/>
      <c r="F79" s="60">
        <f>F74</f>
        <v>0.2245989897199574</v>
      </c>
      <c r="G79" s="60">
        <f t="shared" si="39"/>
        <v>0.23352058400499343</v>
      </c>
      <c r="H79" s="60">
        <f t="shared" si="39"/>
        <v>0.17879614555374657</v>
      </c>
      <c r="I79" s="60">
        <f t="shared" si="39"/>
        <v>0.13033849063411784</v>
      </c>
      <c r="J79" s="61">
        <f t="shared" si="39"/>
        <v>0.41300758417999495</v>
      </c>
      <c r="K79" s="60">
        <f t="shared" ca="1" si="39"/>
        <v>9.5552651566790603E-2</v>
      </c>
      <c r="L79" s="60">
        <f t="shared" ca="1" si="39"/>
        <v>8.1280371999942647E-2</v>
      </c>
      <c r="M79" s="60">
        <f t="shared" ca="1" si="39"/>
        <v>0.12471568469331973</v>
      </c>
      <c r="N79" s="60">
        <f t="shared" ca="1" si="39"/>
        <v>0.11659448032089137</v>
      </c>
      <c r="O79" s="60">
        <f t="shared" ca="1" si="39"/>
        <v>0.10765063514203588</v>
      </c>
      <c r="P79" s="60">
        <f t="shared" ca="1" si="39"/>
        <v>9.7932922591798421E-2</v>
      </c>
      <c r="Q79" s="60">
        <f t="shared" ca="1" si="39"/>
        <v>8.7504877055885721E-2</v>
      </c>
      <c r="R79" s="60">
        <f t="shared" ca="1" si="39"/>
        <v>7.6444864805625068E-2</v>
      </c>
      <c r="S79" s="60">
        <f t="shared" ca="1" si="39"/>
        <v>6.484538147590202E-2</v>
      </c>
      <c r="T79" s="60">
        <f t="shared" ca="1" si="39"/>
        <v>5.2811731579815335E-2</v>
      </c>
      <c r="U79" s="60">
        <f t="shared" ca="1" si="39"/>
        <v>4.046024330753184E-2</v>
      </c>
    </row>
    <row r="80" spans="1:21" ht="16" customHeight="1" x14ac:dyDescent="0.2">
      <c r="E80" s="62"/>
      <c r="F80" s="62"/>
      <c r="G80" s="62"/>
      <c r="H80" s="62"/>
      <c r="I80" s="62"/>
      <c r="J80" s="63"/>
      <c r="K80" s="62"/>
      <c r="L80" s="62"/>
      <c r="M80" s="62"/>
      <c r="N80" s="62"/>
      <c r="O80" s="62"/>
      <c r="P80" s="62"/>
      <c r="Q80" s="62"/>
      <c r="R80" s="62"/>
      <c r="S80" s="62"/>
      <c r="T80" s="62"/>
      <c r="U80" s="62"/>
    </row>
    <row r="81" spans="2:21" s="38" customFormat="1" ht="16" customHeight="1" x14ac:dyDescent="0.2">
      <c r="B81" s="38" t="s">
        <v>49</v>
      </c>
      <c r="E81" s="36">
        <f>'Financials + KPIs'!Q16</f>
        <v>23716</v>
      </c>
      <c r="F81" s="36">
        <f>'Financials + KPIs'!R16</f>
        <v>28882</v>
      </c>
      <c r="G81" s="36">
        <f>'Financials + KPIs'!S16</f>
        <v>31392</v>
      </c>
      <c r="H81" s="36">
        <f>'Financials + KPIs'!T16</f>
        <v>34231</v>
      </c>
      <c r="I81" s="36">
        <f>'Financials + KPIs'!U16</f>
        <v>41224</v>
      </c>
      <c r="J81" s="37">
        <f>'Financials + KPIs'!V16</f>
        <v>78714</v>
      </c>
      <c r="K81" s="51">
        <f ca="1">K78*K82</f>
        <v>76258.674271724842</v>
      </c>
      <c r="L81" s="51">
        <f t="shared" ref="L81:U81" ca="1" si="40">L78*L82</f>
        <v>80093.174958235773</v>
      </c>
      <c r="M81" s="51">
        <f t="shared" ca="1" si="40"/>
        <v>91069.712910655289</v>
      </c>
      <c r="N81" s="51">
        <f t="shared" ca="1" si="40"/>
        <v>102790.75758938042</v>
      </c>
      <c r="O81" s="51">
        <f t="shared" ca="1" si="40"/>
        <v>115077.78590692418</v>
      </c>
      <c r="P81" s="51">
        <f t="shared" ca="1" si="40"/>
        <v>127688.85656657594</v>
      </c>
      <c r="Q81" s="51">
        <f t="shared" ca="1" si="40"/>
        <v>140320.77965471384</v>
      </c>
      <c r="R81" s="51">
        <f t="shared" ca="1" si="40"/>
        <v>152617.60485418513</v>
      </c>
      <c r="S81" s="51">
        <f t="shared" ca="1" si="40"/>
        <v>164185.98251673701</v>
      </c>
      <c r="T81" s="51">
        <f t="shared" ca="1" si="40"/>
        <v>174617.05169282857</v>
      </c>
      <c r="U81" s="51">
        <f t="shared" ca="1" si="40"/>
        <v>190274.46331541485</v>
      </c>
    </row>
    <row r="82" spans="2:21" s="39" customFormat="1" ht="16" customHeight="1" x14ac:dyDescent="0.2">
      <c r="B82" s="39" t="s">
        <v>50</v>
      </c>
      <c r="E82" s="64">
        <f>E81/E78</f>
        <v>0.26271712158808935</v>
      </c>
      <c r="F82" s="64">
        <f t="shared" ref="F82:J82" si="41">F81/F78</f>
        <v>0.26126443955964429</v>
      </c>
      <c r="G82" s="64">
        <f t="shared" si="41"/>
        <v>0.23021076252915035</v>
      </c>
      <c r="H82" s="64">
        <f t="shared" si="41"/>
        <v>0.21295484095730452</v>
      </c>
      <c r="I82" s="64">
        <f t="shared" si="41"/>
        <v>0.22688696379627285</v>
      </c>
      <c r="J82" s="65">
        <f t="shared" si="41"/>
        <v>0.3065962957913802</v>
      </c>
      <c r="K82" s="64">
        <f ca="1">OFFSET(K82,$D$23,0)</f>
        <v>0.27112584447595967</v>
      </c>
      <c r="L82" s="64">
        <f t="shared" ref="L82:U82" ca="1" si="42">OFFSET(L82,$D$23,0)</f>
        <v>0.26335335597350062</v>
      </c>
      <c r="M82" s="64">
        <f t="shared" ca="1" si="42"/>
        <v>0.26624077152590464</v>
      </c>
      <c r="N82" s="64">
        <f t="shared" ca="1" si="42"/>
        <v>0.26912818707830866</v>
      </c>
      <c r="O82" s="64">
        <f t="shared" ca="1" si="42"/>
        <v>0.27201560263071267</v>
      </c>
      <c r="P82" s="64">
        <f t="shared" ca="1" si="42"/>
        <v>0.27490301818311669</v>
      </c>
      <c r="Q82" s="64">
        <f t="shared" ca="1" si="42"/>
        <v>0.2777904337355207</v>
      </c>
      <c r="R82" s="64">
        <f t="shared" ca="1" si="42"/>
        <v>0.28067784928792472</v>
      </c>
      <c r="S82" s="64">
        <f t="shared" ca="1" si="42"/>
        <v>0.28356526484032873</v>
      </c>
      <c r="T82" s="64">
        <f t="shared" ca="1" si="42"/>
        <v>0.28645268039273275</v>
      </c>
      <c r="U82" s="64">
        <f t="shared" ca="1" si="42"/>
        <v>0.3</v>
      </c>
    </row>
    <row r="83" spans="2:21" ht="16" customHeight="1" x14ac:dyDescent="0.2">
      <c r="B83" s="5" t="s">
        <v>4</v>
      </c>
      <c r="J83" s="46"/>
      <c r="K83" s="43">
        <f>K84</f>
        <v>0.27112584447595967</v>
      </c>
      <c r="L83" s="44">
        <f>L84*H23</f>
        <v>0.25018568817482556</v>
      </c>
      <c r="M83" s="45">
        <f t="shared" ref="M83:T83" si="43">L83-($K$83-$U$83)/($U$76-$K$76)</f>
        <v>0.2480731037272296</v>
      </c>
      <c r="N83" s="45">
        <f t="shared" si="43"/>
        <v>0.24596051927963364</v>
      </c>
      <c r="O83" s="45">
        <f t="shared" si="43"/>
        <v>0.24384793483203768</v>
      </c>
      <c r="P83" s="45">
        <f t="shared" si="43"/>
        <v>0.24173535038444172</v>
      </c>
      <c r="Q83" s="45">
        <f t="shared" si="43"/>
        <v>0.23962276593684576</v>
      </c>
      <c r="R83" s="45">
        <f t="shared" si="43"/>
        <v>0.23751018148924979</v>
      </c>
      <c r="S83" s="45">
        <f t="shared" si="43"/>
        <v>0.23539759704165383</v>
      </c>
      <c r="T83" s="45">
        <f t="shared" si="43"/>
        <v>0.23328501259405787</v>
      </c>
      <c r="U83" s="44">
        <f>H24</f>
        <v>0.25</v>
      </c>
    </row>
    <row r="84" spans="2:21" ht="16" customHeight="1" x14ac:dyDescent="0.2">
      <c r="B84" s="5" t="s">
        <v>15</v>
      </c>
      <c r="J84" s="46"/>
      <c r="K84" s="47">
        <f>'Financials + KPIs'!W35</f>
        <v>0.27112584447595967</v>
      </c>
      <c r="L84" s="48">
        <f>'Financials + KPIs'!X35</f>
        <v>0.26335335597350062</v>
      </c>
      <c r="M84" s="45">
        <f t="shared" ref="M84:T84" si="44">L84-($K$84-$U$84)/($U$76-$K$76)</f>
        <v>0.26624077152590464</v>
      </c>
      <c r="N84" s="45">
        <f t="shared" si="44"/>
        <v>0.26912818707830866</v>
      </c>
      <c r="O84" s="45">
        <f t="shared" si="44"/>
        <v>0.27201560263071267</v>
      </c>
      <c r="P84" s="45">
        <f t="shared" si="44"/>
        <v>0.27490301818311669</v>
      </c>
      <c r="Q84" s="45">
        <f t="shared" si="44"/>
        <v>0.2777904337355207</v>
      </c>
      <c r="R84" s="45">
        <f t="shared" si="44"/>
        <v>0.28067784928792472</v>
      </c>
      <c r="S84" s="45">
        <f t="shared" si="44"/>
        <v>0.28356526484032873</v>
      </c>
      <c r="T84" s="45">
        <f t="shared" si="44"/>
        <v>0.28645268039273275</v>
      </c>
      <c r="U84" s="44">
        <f>L24</f>
        <v>0.3</v>
      </c>
    </row>
    <row r="85" spans="2:21" ht="16" customHeight="1" x14ac:dyDescent="0.2">
      <c r="B85" s="5" t="s">
        <v>46</v>
      </c>
      <c r="J85" s="46"/>
      <c r="K85" s="43">
        <f>K84</f>
        <v>0.27112584447595967</v>
      </c>
      <c r="L85" s="44">
        <f>L84*P23</f>
        <v>0.27652102377217569</v>
      </c>
      <c r="M85" s="45">
        <f t="shared" ref="M85:T85" si="45">L85-($K$85-$U$85)/($U$76-$K$76)</f>
        <v>0.28440843932457971</v>
      </c>
      <c r="N85" s="45">
        <f t="shared" si="45"/>
        <v>0.29229585487698373</v>
      </c>
      <c r="O85" s="45">
        <f t="shared" si="45"/>
        <v>0.30018327042938775</v>
      </c>
      <c r="P85" s="45">
        <f t="shared" si="45"/>
        <v>0.30807068598179177</v>
      </c>
      <c r="Q85" s="45">
        <f t="shared" si="45"/>
        <v>0.31595810153419579</v>
      </c>
      <c r="R85" s="45">
        <f t="shared" si="45"/>
        <v>0.32384551708659981</v>
      </c>
      <c r="S85" s="45">
        <f t="shared" si="45"/>
        <v>0.33173293263900383</v>
      </c>
      <c r="T85" s="45">
        <f t="shared" si="45"/>
        <v>0.33962034819140785</v>
      </c>
      <c r="U85" s="44">
        <f>P24</f>
        <v>0.35</v>
      </c>
    </row>
    <row r="86" spans="2:21" ht="16" customHeight="1" x14ac:dyDescent="0.2">
      <c r="B86" s="5" t="s">
        <v>42</v>
      </c>
      <c r="J86" s="46"/>
      <c r="K86" s="49"/>
      <c r="L86" s="49"/>
      <c r="M86" s="49"/>
      <c r="N86" s="49"/>
      <c r="O86" s="49"/>
      <c r="P86" s="50"/>
      <c r="Q86" s="50"/>
      <c r="R86" s="50"/>
      <c r="S86" s="50"/>
      <c r="T86" s="50"/>
      <c r="U86" s="50"/>
    </row>
    <row r="87" spans="2:21" ht="16" customHeight="1" x14ac:dyDescent="0.2">
      <c r="J87" s="46"/>
    </row>
    <row r="88" spans="2:21" ht="16" customHeight="1" x14ac:dyDescent="0.2">
      <c r="B88" s="5" t="s">
        <v>36</v>
      </c>
      <c r="E88" s="36">
        <f>'Financials + KPIs'!Q19</f>
        <v>4672</v>
      </c>
      <c r="F88" s="36">
        <f>'Financials + KPIs'!R19</f>
        <v>14531</v>
      </c>
      <c r="G88" s="36">
        <f>'Financials + KPIs'!S19</f>
        <v>4177</v>
      </c>
      <c r="H88" s="36">
        <f>'Financials + KPIs'!T19</f>
        <v>5282</v>
      </c>
      <c r="I88" s="36">
        <f>'Financials + KPIs'!U19</f>
        <v>7813</v>
      </c>
      <c r="J88" s="37">
        <f>'Financials + KPIs'!V19</f>
        <v>14701</v>
      </c>
      <c r="K88" s="51">
        <f t="shared" ref="K88:U88" ca="1" si="46">K81*K89</f>
        <v>11283.029105680889</v>
      </c>
      <c r="L88" s="51">
        <f t="shared" ca="1" si="46"/>
        <v>12432.228077818882</v>
      </c>
      <c r="M88" s="51">
        <f t="shared" ca="1" si="46"/>
        <v>14690.319056553228</v>
      </c>
      <c r="N88" s="51">
        <f t="shared" ca="1" si="46"/>
        <v>17206.652710394479</v>
      </c>
      <c r="O88" s="51">
        <f t="shared" ca="1" si="46"/>
        <v>19963.852788398603</v>
      </c>
      <c r="P88" s="51">
        <f t="shared" ca="1" si="46"/>
        <v>22928.808892209359</v>
      </c>
      <c r="Q88" s="51">
        <f t="shared" ca="1" si="46"/>
        <v>26051.149315379284</v>
      </c>
      <c r="R88" s="51">
        <f t="shared" ca="1" si="46"/>
        <v>29263.004649968512</v>
      </c>
      <c r="S88" s="51">
        <f t="shared" ca="1" si="46"/>
        <v>32480.441008957645</v>
      </c>
      <c r="T88" s="51">
        <f t="shared" ca="1" si="46"/>
        <v>35606.785149004216</v>
      </c>
      <c r="U88" s="51">
        <f t="shared" ca="1" si="46"/>
        <v>39957.637296237117</v>
      </c>
    </row>
    <row r="89" spans="2:21" s="39" customFormat="1" ht="16" customHeight="1" x14ac:dyDescent="0.2">
      <c r="B89" s="39" t="s">
        <v>51</v>
      </c>
      <c r="E89" s="64">
        <f t="shared" ref="E89:J89" si="47">E88/E81</f>
        <v>0.19699780738741779</v>
      </c>
      <c r="F89" s="64">
        <f t="shared" si="47"/>
        <v>0.5031161276919881</v>
      </c>
      <c r="G89" s="64">
        <f t="shared" si="47"/>
        <v>0.13305937818552496</v>
      </c>
      <c r="H89" s="64">
        <f t="shared" si="47"/>
        <v>0.15430457772194794</v>
      </c>
      <c r="I89" s="64">
        <f t="shared" si="47"/>
        <v>0.18952551911507859</v>
      </c>
      <c r="J89" s="65">
        <f t="shared" si="47"/>
        <v>0.18676474324770689</v>
      </c>
      <c r="K89" s="66">
        <f>'Financials + KPIs'!W37</f>
        <v>0.14795732044170096</v>
      </c>
      <c r="L89" s="67">
        <f>'Financials + KPIs'!X37</f>
        <v>0.15522206585394588</v>
      </c>
      <c r="M89" s="60">
        <f>L89-($L$89-$U$89)/($U$76-$L$76)</f>
        <v>0.16130850298128521</v>
      </c>
      <c r="N89" s="60">
        <f t="shared" ref="N89:T89" si="48">M89-($L$89-$U$89)/($U$76-$L$76)</f>
        <v>0.16739494010862455</v>
      </c>
      <c r="O89" s="60">
        <f t="shared" si="48"/>
        <v>0.17348137723596388</v>
      </c>
      <c r="P89" s="60">
        <f t="shared" si="48"/>
        <v>0.17956781436330321</v>
      </c>
      <c r="Q89" s="60">
        <f t="shared" si="48"/>
        <v>0.18565425149064255</v>
      </c>
      <c r="R89" s="60">
        <f t="shared" si="48"/>
        <v>0.19174068861798188</v>
      </c>
      <c r="S89" s="60">
        <f t="shared" si="48"/>
        <v>0.19782712574532121</v>
      </c>
      <c r="T89" s="60">
        <f t="shared" si="48"/>
        <v>0.20391356287266055</v>
      </c>
      <c r="U89" s="68">
        <f>L25</f>
        <v>0.21</v>
      </c>
    </row>
    <row r="90" spans="2:21" ht="16" customHeight="1" x14ac:dyDescent="0.2">
      <c r="E90" s="62"/>
      <c r="F90" s="62"/>
      <c r="G90" s="62"/>
      <c r="H90" s="62"/>
      <c r="I90" s="62"/>
      <c r="J90" s="63"/>
      <c r="K90" s="62"/>
      <c r="L90" s="62"/>
      <c r="M90" s="62"/>
      <c r="N90" s="62"/>
      <c r="O90" s="62"/>
      <c r="P90" s="62"/>
      <c r="Q90" s="62"/>
      <c r="R90" s="62"/>
      <c r="S90" s="62"/>
      <c r="T90" s="62"/>
      <c r="U90" s="62"/>
    </row>
    <row r="91" spans="2:21" ht="16" customHeight="1" x14ac:dyDescent="0.2">
      <c r="B91" s="69" t="s">
        <v>52</v>
      </c>
      <c r="C91" s="69"/>
      <c r="D91" s="69"/>
      <c r="E91" s="70">
        <f>E81-E88</f>
        <v>19044</v>
      </c>
      <c r="F91" s="70">
        <f t="shared" ref="F91:I91" si="49">F81-F88</f>
        <v>14351</v>
      </c>
      <c r="G91" s="70">
        <f t="shared" si="49"/>
        <v>27215</v>
      </c>
      <c r="H91" s="70">
        <f t="shared" si="49"/>
        <v>28949</v>
      </c>
      <c r="I91" s="70">
        <f t="shared" si="49"/>
        <v>33411</v>
      </c>
      <c r="J91" s="71">
        <f>J81-J88</f>
        <v>64013</v>
      </c>
      <c r="K91" s="70">
        <f ca="1">K81-K88</f>
        <v>64975.645166043949</v>
      </c>
      <c r="L91" s="70">
        <f t="shared" ref="L91:U91" ca="1" si="50">L81-L88</f>
        <v>67660.946880416886</v>
      </c>
      <c r="M91" s="70">
        <f t="shared" ca="1" si="50"/>
        <v>76379.393854102062</v>
      </c>
      <c r="N91" s="70">
        <f t="shared" ca="1" si="50"/>
        <v>85584.104878985934</v>
      </c>
      <c r="O91" s="70">
        <f ca="1">O81-O88</f>
        <v>95113.933118525572</v>
      </c>
      <c r="P91" s="70">
        <f t="shared" ca="1" si="50"/>
        <v>104760.04767436658</v>
      </c>
      <c r="Q91" s="70">
        <f t="shared" ca="1" si="50"/>
        <v>114269.63033933456</v>
      </c>
      <c r="R91" s="70">
        <f t="shared" ca="1" si="50"/>
        <v>123354.60020421662</v>
      </c>
      <c r="S91" s="70">
        <f t="shared" ca="1" si="50"/>
        <v>131705.54150777936</v>
      </c>
      <c r="T91" s="70">
        <f t="shared" ca="1" si="50"/>
        <v>139010.26654382434</v>
      </c>
      <c r="U91" s="70">
        <f t="shared" ca="1" si="50"/>
        <v>150316.82601917774</v>
      </c>
    </row>
    <row r="92" spans="2:21" ht="16" customHeight="1" x14ac:dyDescent="0.2">
      <c r="E92" s="62"/>
      <c r="F92" s="62"/>
      <c r="G92" s="62"/>
      <c r="H92" s="62"/>
      <c r="I92" s="62"/>
      <c r="J92" s="72"/>
      <c r="K92" s="62"/>
      <c r="L92" s="62"/>
      <c r="M92" s="62"/>
      <c r="N92" s="62"/>
      <c r="O92" s="62"/>
      <c r="P92" s="62"/>
      <c r="Q92" s="62"/>
      <c r="R92" s="62"/>
      <c r="S92" s="62"/>
      <c r="T92" s="62"/>
      <c r="U92" s="62"/>
    </row>
    <row r="93" spans="2:21" ht="16" customHeight="1" x14ac:dyDescent="0.2">
      <c r="B93" s="5" t="s">
        <v>53</v>
      </c>
      <c r="E93" s="36">
        <f>'Financials + KPIs'!Q44</f>
        <v>5267</v>
      </c>
      <c r="F93" s="36">
        <f>'Financials + KPIs'!R44</f>
        <v>6103</v>
      </c>
      <c r="G93" s="36">
        <f>'Financials + KPIs'!S44</f>
        <v>8164</v>
      </c>
      <c r="H93" s="36">
        <f>'Financials + KPIs'!T44</f>
        <v>10856</v>
      </c>
      <c r="I93" s="36">
        <f>'Financials + KPIs'!U44</f>
        <v>12905</v>
      </c>
      <c r="J93" s="37">
        <f>'Financials + KPIs'!V44</f>
        <v>11555</v>
      </c>
      <c r="K93" s="51">
        <f ca="1">K78*K94</f>
        <v>16799.904535123391</v>
      </c>
      <c r="L93" s="51">
        <f t="shared" ref="L93:U93" ca="1" si="51">L78*L94</f>
        <v>18440.470141814309</v>
      </c>
      <c r="M93" s="51">
        <f ca="1">M78*M94</f>
        <v>20792.540447350668</v>
      </c>
      <c r="N93" s="51">
        <f t="shared" ca="1" si="51"/>
        <v>22701.23735689466</v>
      </c>
      <c r="O93" s="51">
        <f t="shared" ca="1" si="51"/>
        <v>24164.454418327776</v>
      </c>
      <c r="P93" s="51">
        <f t="shared" ca="1" si="51"/>
        <v>27656.061238359023</v>
      </c>
      <c r="Q93" s="51">
        <f t="shared" ca="1" si="51"/>
        <v>30057.073434096732</v>
      </c>
      <c r="R93" s="51">
        <f t="shared" ca="1" si="51"/>
        <v>32231.846879604025</v>
      </c>
      <c r="S93" s="51">
        <f t="shared" ca="1" si="51"/>
        <v>34147.154197145042</v>
      </c>
      <c r="T93" s="51">
        <f t="shared" ca="1" si="51"/>
        <v>35894.294492841596</v>
      </c>
      <c r="U93" s="51">
        <f t="shared" ca="1" si="51"/>
        <v>37570.400353421363</v>
      </c>
    </row>
    <row r="94" spans="2:21" s="39" customFormat="1" ht="16" customHeight="1" x14ac:dyDescent="0.2">
      <c r="B94" s="39" t="s">
        <v>50</v>
      </c>
      <c r="E94" s="64">
        <f t="shared" ref="E94:J94" si="52">E93/E78</f>
        <v>5.8345887982984755E-2</v>
      </c>
      <c r="F94" s="64">
        <f t="shared" si="52"/>
        <v>5.520728739812026E-2</v>
      </c>
      <c r="G94" s="64">
        <f t="shared" si="52"/>
        <v>5.9870051773954623E-2</v>
      </c>
      <c r="H94" s="64">
        <f t="shared" si="52"/>
        <v>6.7536377944918291E-2</v>
      </c>
      <c r="I94" s="64">
        <f t="shared" si="52"/>
        <v>7.102601076535274E-2</v>
      </c>
      <c r="J94" s="65">
        <f t="shared" si="52"/>
        <v>4.5007498003778214E-2</v>
      </c>
      <c r="K94" s="73">
        <f>AVERAGE(F94:J94)</f>
        <v>5.9729445177224824E-2</v>
      </c>
      <c r="L94" s="73">
        <f t="shared" ref="L94:U94" si="53">AVERAGE(G94:K94)</f>
        <v>6.0633876733045731E-2</v>
      </c>
      <c r="M94" s="73">
        <f t="shared" si="53"/>
        <v>6.0786641724863956E-2</v>
      </c>
      <c r="N94" s="73">
        <f t="shared" si="53"/>
        <v>5.9436694480853092E-2</v>
      </c>
      <c r="O94" s="73">
        <f t="shared" si="53"/>
        <v>5.7118831223953156E-2</v>
      </c>
      <c r="P94" s="73">
        <f t="shared" si="53"/>
        <v>5.9541097867988148E-2</v>
      </c>
      <c r="Q94" s="73">
        <f t="shared" si="53"/>
        <v>5.9503428406140826E-2</v>
      </c>
      <c r="R94" s="73">
        <f t="shared" si="53"/>
        <v>5.9277338740759834E-2</v>
      </c>
      <c r="S94" s="73">
        <f t="shared" si="53"/>
        <v>5.8975478143939018E-2</v>
      </c>
      <c r="T94" s="73">
        <f t="shared" si="53"/>
        <v>5.8883234876556202E-2</v>
      </c>
      <c r="U94" s="73">
        <f t="shared" si="53"/>
        <v>5.9236115607076811E-2</v>
      </c>
    </row>
    <row r="95" spans="2:21" s="39" customFormat="1" ht="16" customHeight="1" x14ac:dyDescent="0.2">
      <c r="B95" s="39" t="s">
        <v>54</v>
      </c>
      <c r="E95" s="64">
        <f>E93/E97</f>
        <v>0.51576576576576572</v>
      </c>
      <c r="F95" s="64">
        <f t="shared" ref="F95:U95" si="54">F93/F97</f>
        <v>0.4629095873786408</v>
      </c>
      <c r="G95" s="64">
        <f t="shared" si="54"/>
        <v>0.3247543657265603</v>
      </c>
      <c r="H95" s="64">
        <f t="shared" si="54"/>
        <v>0.46101579751995925</v>
      </c>
      <c r="I95" s="64">
        <f t="shared" si="54"/>
        <v>0.57919303442394865</v>
      </c>
      <c r="J95" s="65">
        <f t="shared" si="54"/>
        <v>0.46895292207792205</v>
      </c>
      <c r="K95" s="64">
        <f t="shared" ca="1" si="54"/>
        <v>0.49079460785031231</v>
      </c>
      <c r="L95" s="64">
        <f t="shared" ca="1" si="54"/>
        <v>0.53452815713110746</v>
      </c>
      <c r="M95" s="64">
        <f t="shared" ca="1" si="54"/>
        <v>0.55075610466526115</v>
      </c>
      <c r="N95" s="64">
        <f t="shared" ca="1" si="54"/>
        <v>0.51608792635979583</v>
      </c>
      <c r="O95" s="64">
        <f t="shared" ca="1" si="54"/>
        <v>0.50551873543729287</v>
      </c>
      <c r="P95" s="64">
        <f t="shared" ca="1" si="54"/>
        <v>0.52764743706096817</v>
      </c>
      <c r="Q95" s="64">
        <f t="shared" ca="1" si="54"/>
        <v>0.52348922144616705</v>
      </c>
      <c r="R95" s="64">
        <f t="shared" ca="1" si="54"/>
        <v>0.52380553275642161</v>
      </c>
      <c r="S95" s="64">
        <f t="shared" ca="1" si="54"/>
        <v>0.52086786963128717</v>
      </c>
      <c r="T95" s="64">
        <f t="shared" ca="1" si="54"/>
        <v>0.51946771886458132</v>
      </c>
      <c r="U95" s="64">
        <f t="shared" ca="1" si="54"/>
        <v>0.52306371972511434</v>
      </c>
    </row>
    <row r="96" spans="2:21" ht="16" customHeight="1" x14ac:dyDescent="0.2">
      <c r="E96" s="51"/>
      <c r="F96" s="51"/>
      <c r="G96" s="51"/>
      <c r="H96" s="51"/>
      <c r="I96" s="51"/>
      <c r="J96" s="74"/>
      <c r="K96" s="51"/>
      <c r="L96" s="51"/>
      <c r="M96" s="51"/>
      <c r="N96" s="51"/>
      <c r="O96" s="51"/>
      <c r="P96" s="51"/>
      <c r="Q96" s="51"/>
      <c r="R96" s="51"/>
      <c r="S96" s="51"/>
      <c r="T96" s="51"/>
      <c r="U96" s="51"/>
    </row>
    <row r="97" spans="1:21" ht="16" customHeight="1" x14ac:dyDescent="0.2">
      <c r="B97" s="5" t="s">
        <v>55</v>
      </c>
      <c r="E97" s="36">
        <f>-'Financials + KPIs'!Q45</f>
        <v>10212</v>
      </c>
      <c r="F97" s="36">
        <f>-'Financials + KPIs'!R45</f>
        <v>13184</v>
      </c>
      <c r="G97" s="36">
        <f>-'Financials + KPIs'!S45</f>
        <v>25139</v>
      </c>
      <c r="H97" s="36">
        <f>-'Financials + KPIs'!T45</f>
        <v>23548</v>
      </c>
      <c r="I97" s="36">
        <f>-'Financials + KPIs'!U45</f>
        <v>22281</v>
      </c>
      <c r="J97" s="37">
        <f>-'Financials + KPIs'!V45</f>
        <v>24640</v>
      </c>
      <c r="K97" s="51">
        <f ca="1">K78*K98</f>
        <v>34230.01040844198</v>
      </c>
      <c r="L97" s="51">
        <f t="shared" ref="L97:U97" ca="1" si="55">L78*L98</f>
        <v>34498.594500216917</v>
      </c>
      <c r="M97" s="51">
        <f t="shared" ca="1" si="55"/>
        <v>37752.718982548489</v>
      </c>
      <c r="N97" s="51">
        <f ca="1">N78*N98</f>
        <v>43987.150633452853</v>
      </c>
      <c r="O97" s="51">
        <f t="shared" ca="1" si="55"/>
        <v>47801.303343237334</v>
      </c>
      <c r="P97" s="51">
        <f t="shared" ca="1" si="55"/>
        <v>52413.902344347865</v>
      </c>
      <c r="Q97" s="51">
        <f t="shared" ca="1" si="55"/>
        <v>57416.795232311481</v>
      </c>
      <c r="R97" s="51">
        <f t="shared" ca="1" si="55"/>
        <v>61533.994705994024</v>
      </c>
      <c r="S97" s="51">
        <f t="shared" ca="1" si="55"/>
        <v>65558.188915198756</v>
      </c>
      <c r="T97" s="51">
        <f t="shared" ca="1" si="55"/>
        <v>69098.219560778496</v>
      </c>
      <c r="U97" s="51">
        <f t="shared" ca="1" si="55"/>
        <v>71827.57843187009</v>
      </c>
    </row>
    <row r="98" spans="1:21" s="39" customFormat="1" ht="16" customHeight="1" x14ac:dyDescent="0.2">
      <c r="B98" s="39" t="s">
        <v>50</v>
      </c>
      <c r="E98" s="64">
        <f t="shared" ref="E98:J98" si="56">E97/E78</f>
        <v>0.11312477844735909</v>
      </c>
      <c r="F98" s="64">
        <f t="shared" si="56"/>
        <v>0.11926149058771382</v>
      </c>
      <c r="G98" s="64">
        <f t="shared" si="56"/>
        <v>0.18435487892521377</v>
      </c>
      <c r="H98" s="64">
        <f t="shared" si="56"/>
        <v>0.14649471516644583</v>
      </c>
      <c r="I98" s="64">
        <f t="shared" si="56"/>
        <v>0.12262925578169891</v>
      </c>
      <c r="J98" s="65">
        <f t="shared" si="56"/>
        <v>9.5974448361150599E-2</v>
      </c>
      <c r="K98" s="73">
        <f>AVERAGE(H98:J98)</f>
        <v>0.12169947310309844</v>
      </c>
      <c r="L98" s="73">
        <f t="shared" ref="L98:U98" si="57">AVERAGE(I98:K98)</f>
        <v>0.11343439241531598</v>
      </c>
      <c r="M98" s="73">
        <f t="shared" si="57"/>
        <v>0.110369437959855</v>
      </c>
      <c r="N98" s="73">
        <f t="shared" si="57"/>
        <v>0.1151677678260898</v>
      </c>
      <c r="O98" s="73">
        <f t="shared" si="57"/>
        <v>0.11299053273375359</v>
      </c>
      <c r="P98" s="73">
        <f t="shared" si="57"/>
        <v>0.11284257950656613</v>
      </c>
      <c r="Q98" s="73">
        <f t="shared" si="57"/>
        <v>0.1136669600221365</v>
      </c>
      <c r="R98" s="73">
        <f t="shared" si="57"/>
        <v>0.11316669075415207</v>
      </c>
      <c r="S98" s="73">
        <f t="shared" si="57"/>
        <v>0.1132254100942849</v>
      </c>
      <c r="T98" s="73">
        <f t="shared" si="57"/>
        <v>0.11335302029019116</v>
      </c>
      <c r="U98" s="73">
        <f t="shared" si="57"/>
        <v>0.11324837371287605</v>
      </c>
    </row>
    <row r="99" spans="1:21" ht="16" customHeight="1" x14ac:dyDescent="0.2">
      <c r="B99" s="39"/>
      <c r="E99" s="51"/>
      <c r="F99" s="51"/>
      <c r="G99" s="51"/>
      <c r="H99" s="51"/>
      <c r="I99" s="51"/>
      <c r="J99" s="74"/>
      <c r="K99" s="51"/>
      <c r="L99" s="51"/>
      <c r="M99" s="51"/>
      <c r="N99" s="51"/>
      <c r="O99" s="51"/>
      <c r="P99" s="51"/>
      <c r="Q99" s="51"/>
      <c r="R99" s="51"/>
      <c r="S99" s="51"/>
      <c r="T99" s="51"/>
      <c r="U99" s="51"/>
    </row>
    <row r="100" spans="1:21" ht="16" customHeight="1" x14ac:dyDescent="0.2">
      <c r="B100" s="5" t="s">
        <v>56</v>
      </c>
      <c r="E100" s="36">
        <f>'Financials + KPIs'!Q46</f>
        <v>-2212</v>
      </c>
      <c r="F100" s="36">
        <f>'Financials + KPIs'!R46</f>
        <v>-4065</v>
      </c>
      <c r="G100" s="36">
        <f>'Financials + KPIs'!S46</f>
        <v>-6338</v>
      </c>
      <c r="H100" s="36">
        <f>'Financials + KPIs'!T46</f>
        <v>-2920</v>
      </c>
      <c r="I100" s="36">
        <f>'Financials + KPIs'!U46</f>
        <v>-5434</v>
      </c>
      <c r="J100" s="37">
        <f>'Financials + KPIs'!V46</f>
        <v>2980</v>
      </c>
      <c r="K100" s="51">
        <f ca="1">K78*K101</f>
        <v>2812.6670999999997</v>
      </c>
      <c r="L100" s="51">
        <f t="shared" ref="L100:U100" ca="1" si="58">L78*L101</f>
        <v>-5831.458165869497</v>
      </c>
      <c r="M100" s="51">
        <f ca="1">M78*M101</f>
        <v>-6298.3103217779008</v>
      </c>
      <c r="N100" s="51">
        <f t="shared" ca="1" si="58"/>
        <v>-6030.9567989552261</v>
      </c>
      <c r="O100" s="51">
        <f t="shared" ca="1" si="58"/>
        <v>-4825.462610887238</v>
      </c>
      <c r="P100" s="51">
        <f t="shared" ca="1" si="58"/>
        <v>-4849.5100587348325</v>
      </c>
      <c r="Q100" s="51">
        <f t="shared" ca="1" si="58"/>
        <v>-3869.1049479053172</v>
      </c>
      <c r="R100" s="51">
        <f t="shared" ca="1" si="58"/>
        <v>-5661.4934136519569</v>
      </c>
      <c r="S100" s="51">
        <f t="shared" ca="1" si="58"/>
        <v>-7716.9972365349568</v>
      </c>
      <c r="T100" s="51">
        <f t="shared" ca="1" si="58"/>
        <v>-7615.4261618249793</v>
      </c>
      <c r="U100" s="51">
        <f t="shared" ca="1" si="58"/>
        <v>-7387.1386188805873</v>
      </c>
    </row>
    <row r="101" spans="1:21" s="39" customFormat="1" ht="16" customHeight="1" x14ac:dyDescent="0.2">
      <c r="B101" s="39" t="s">
        <v>50</v>
      </c>
      <c r="E101" s="64">
        <f t="shared" ref="E101:J101" si="59">E100/E78</f>
        <v>-2.4503722084367244E-2</v>
      </c>
      <c r="F101" s="64">
        <f t="shared" si="59"/>
        <v>-3.6771689869467286E-2</v>
      </c>
      <c r="G101" s="64">
        <f t="shared" si="59"/>
        <v>-4.6479224417359674E-2</v>
      </c>
      <c r="H101" s="64">
        <f t="shared" si="59"/>
        <v>-1.8165643293953704E-2</v>
      </c>
      <c r="I101" s="64">
        <f t="shared" si="59"/>
        <v>-2.9907426772485608E-2</v>
      </c>
      <c r="J101" s="65">
        <f t="shared" si="59"/>
        <v>1.1607299355366429E-2</v>
      </c>
      <c r="K101" s="73">
        <v>0.01</v>
      </c>
      <c r="L101" s="73">
        <f>AVERAGE(E101:K101)</f>
        <v>-1.9174343868895299E-2</v>
      </c>
      <c r="M101" s="73">
        <f t="shared" ref="M101:U101" si="60">AVERAGE(F101:L101)</f>
        <v>-1.8413004123827879E-2</v>
      </c>
      <c r="N101" s="73">
        <f t="shared" si="60"/>
        <v>-1.5790334731593674E-2</v>
      </c>
      <c r="O101" s="73">
        <f t="shared" si="60"/>
        <v>-1.1406207633627105E-2</v>
      </c>
      <c r="P101" s="73">
        <f t="shared" si="60"/>
        <v>-1.0440573967866162E-2</v>
      </c>
      <c r="Q101" s="73">
        <f t="shared" si="60"/>
        <v>-7.65959499577767E-3</v>
      </c>
      <c r="R101" s="73">
        <f t="shared" si="60"/>
        <v>-1.0412008474512542E-2</v>
      </c>
      <c r="S101" s="73">
        <f t="shared" si="60"/>
        <v>-1.3328009685157191E-2</v>
      </c>
      <c r="T101" s="73">
        <f t="shared" si="60"/>
        <v>-1.2492819087480319E-2</v>
      </c>
      <c r="U101" s="73">
        <f t="shared" si="60"/>
        <v>-1.1647078368002094E-2</v>
      </c>
    </row>
    <row r="102" spans="1:21" s="39" customFormat="1" ht="16" customHeight="1" x14ac:dyDescent="0.2">
      <c r="B102" s="39" t="s">
        <v>57</v>
      </c>
      <c r="E102" s="75"/>
      <c r="F102" s="64">
        <f t="shared" ref="F102:U102" si="61">F100/(F78-E78)</f>
        <v>-0.20049321824907521</v>
      </c>
      <c r="G102" s="64">
        <f t="shared" si="61"/>
        <v>-0.24551617276777069</v>
      </c>
      <c r="H102" s="64">
        <f t="shared" si="61"/>
        <v>-0.11976539108322054</v>
      </c>
      <c r="I102" s="64">
        <f t="shared" si="61"/>
        <v>-0.25936709464942009</v>
      </c>
      <c r="J102" s="65">
        <f t="shared" si="61"/>
        <v>3.9711624312042747E-2</v>
      </c>
      <c r="K102" s="64">
        <f t="shared" ca="1" si="61"/>
        <v>0.11465434329690037</v>
      </c>
      <c r="L102" s="64">
        <f t="shared" ca="1" si="61"/>
        <v>-0.25507808541314914</v>
      </c>
      <c r="M102" s="64">
        <f t="shared" ca="1" si="61"/>
        <v>-0.16605284725267005</v>
      </c>
      <c r="N102" s="64">
        <f t="shared" ca="1" si="61"/>
        <v>-0.1512198566792495</v>
      </c>
      <c r="O102" s="64">
        <f t="shared" ca="1" si="61"/>
        <v>-0.11736199338981494</v>
      </c>
      <c r="P102" s="64">
        <f t="shared" ca="1" si="61"/>
        <v>-0.11705001328159213</v>
      </c>
      <c r="Q102" s="64">
        <f t="shared" ca="1" si="61"/>
        <v>-9.5192944604232152E-2</v>
      </c>
      <c r="R102" s="64">
        <f t="shared" ca="1" si="61"/>
        <v>-0.14661485873773134</v>
      </c>
      <c r="S102" s="64">
        <f t="shared" ca="1" si="61"/>
        <v>-0.21886322872169192</v>
      </c>
      <c r="T102" s="64">
        <f t="shared" ca="1" si="61"/>
        <v>-0.2490466815299508</v>
      </c>
      <c r="U102" s="64">
        <f t="shared" ca="1" si="61"/>
        <v>-0.29951184179699414</v>
      </c>
    </row>
    <row r="103" spans="1:21" ht="16" customHeight="1" x14ac:dyDescent="0.2">
      <c r="B103" s="39"/>
      <c r="E103" s="51"/>
      <c r="F103" s="76"/>
      <c r="G103" s="76"/>
      <c r="H103" s="76"/>
      <c r="I103" s="76"/>
      <c r="J103" s="77"/>
      <c r="K103" s="76"/>
      <c r="L103" s="76"/>
      <c r="M103" s="76"/>
      <c r="N103" s="76"/>
      <c r="O103" s="76"/>
      <c r="P103" s="76"/>
      <c r="Q103" s="76"/>
      <c r="R103" s="76"/>
      <c r="S103" s="76"/>
      <c r="T103" s="76"/>
      <c r="U103" s="76"/>
    </row>
    <row r="104" spans="1:21" ht="16" customHeight="1" x14ac:dyDescent="0.2">
      <c r="B104" s="54" t="s">
        <v>58</v>
      </c>
      <c r="C104" s="54"/>
      <c r="D104" s="54"/>
      <c r="E104" s="78">
        <f>E91+E93-E97-E100</f>
        <v>16311</v>
      </c>
      <c r="F104" s="78">
        <f t="shared" ref="F104:U104" si="62">F91+F93-F97-F100</f>
        <v>11335</v>
      </c>
      <c r="G104" s="78">
        <f t="shared" si="62"/>
        <v>16578</v>
      </c>
      <c r="H104" s="78">
        <f t="shared" si="62"/>
        <v>19177</v>
      </c>
      <c r="I104" s="78">
        <f t="shared" si="62"/>
        <v>29469</v>
      </c>
      <c r="J104" s="79">
        <f t="shared" si="62"/>
        <v>47948</v>
      </c>
      <c r="K104" s="78">
        <f ca="1">K91+K93-K97-K100</f>
        <v>44732.872192725365</v>
      </c>
      <c r="L104" s="78">
        <f t="shared" ca="1" si="62"/>
        <v>57434.280687883773</v>
      </c>
      <c r="M104" s="78">
        <f t="shared" ca="1" si="62"/>
        <v>65717.525640682143</v>
      </c>
      <c r="N104" s="78">
        <f t="shared" ca="1" si="62"/>
        <v>70329.148401382976</v>
      </c>
      <c r="O104" s="78">
        <f t="shared" ca="1" si="62"/>
        <v>76302.546804503247</v>
      </c>
      <c r="P104" s="78">
        <f t="shared" ca="1" si="62"/>
        <v>84851.716627112575</v>
      </c>
      <c r="Q104" s="78">
        <f t="shared" ca="1" si="62"/>
        <v>90779.01348902515</v>
      </c>
      <c r="R104" s="78">
        <f t="shared" ca="1" si="62"/>
        <v>99713.945791478574</v>
      </c>
      <c r="S104" s="78">
        <f t="shared" ca="1" si="62"/>
        <v>108011.50402626061</v>
      </c>
      <c r="T104" s="78">
        <f t="shared" ca="1" si="62"/>
        <v>113421.7676377124</v>
      </c>
      <c r="U104" s="78">
        <f t="shared" ca="1" si="62"/>
        <v>123446.78655960961</v>
      </c>
    </row>
    <row r="105" spans="1:21" s="39" customFormat="1" ht="16" customHeight="1" x14ac:dyDescent="0.2">
      <c r="B105" s="39" t="s">
        <v>50</v>
      </c>
      <c r="E105" s="80">
        <f t="shared" ref="E105:U105" si="63">E104/E78</f>
        <v>0.18068725629209501</v>
      </c>
      <c r="F105" s="80">
        <f t="shared" si="63"/>
        <v>0.10253557310465232</v>
      </c>
      <c r="G105" s="80">
        <f t="shared" si="63"/>
        <v>0.12157345888150657</v>
      </c>
      <c r="H105" s="80">
        <f t="shared" si="63"/>
        <v>0.11930224022196922</v>
      </c>
      <c r="I105" s="80">
        <f t="shared" si="63"/>
        <v>0.16219027595847965</v>
      </c>
      <c r="J105" s="65">
        <f t="shared" si="63"/>
        <v>0.18676066761446627</v>
      </c>
      <c r="K105" s="80">
        <f t="shared" ca="1" si="63"/>
        <v>0.15904076309892973</v>
      </c>
      <c r="L105" s="80">
        <f t="shared" ca="1" si="63"/>
        <v>0.1888489321963493</v>
      </c>
      <c r="M105" s="80">
        <f t="shared" ca="1" si="63"/>
        <v>0.19212407912731541</v>
      </c>
      <c r="N105" s="80">
        <f t="shared" ca="1" si="63"/>
        <v>0.18413675170714944</v>
      </c>
      <c r="O105" s="80">
        <f t="shared" ca="1" si="63"/>
        <v>0.18036046738049261</v>
      </c>
      <c r="P105" s="80">
        <f t="shared" ca="1" si="63"/>
        <v>0.18267837637538722</v>
      </c>
      <c r="Q105" s="80">
        <f t="shared" ca="1" si="63"/>
        <v>0.1797135220688737</v>
      </c>
      <c r="R105" s="80">
        <f t="shared" ca="1" si="63"/>
        <v>0.18338314164676417</v>
      </c>
      <c r="S105" s="80">
        <f t="shared" ca="1" si="63"/>
        <v>0.18654644127056702</v>
      </c>
      <c r="T105" s="80">
        <f t="shared" ca="1" si="63"/>
        <v>0.18606412741327241</v>
      </c>
      <c r="U105" s="80">
        <f t="shared" ca="1" si="63"/>
        <v>0.19463482026220288</v>
      </c>
    </row>
    <row r="106" spans="1:21" ht="16" customHeight="1" x14ac:dyDescent="0.2">
      <c r="E106" s="38"/>
      <c r="F106" s="81"/>
      <c r="G106" s="81"/>
      <c r="H106" s="81"/>
      <c r="I106" s="81"/>
      <c r="J106" s="82"/>
      <c r="K106" s="83"/>
      <c r="L106" s="83"/>
      <c r="M106" s="83"/>
      <c r="N106" s="83"/>
      <c r="O106" s="83"/>
      <c r="P106" s="83"/>
      <c r="Q106" s="83"/>
      <c r="R106" s="83"/>
      <c r="S106" s="83"/>
      <c r="T106" s="83"/>
      <c r="U106" s="83"/>
    </row>
    <row r="107" spans="1:21" ht="16" customHeight="1" x14ac:dyDescent="0.2">
      <c r="J107" s="46"/>
      <c r="K107" s="84">
        <v>0.25</v>
      </c>
      <c r="L107" s="84">
        <v>0.75</v>
      </c>
      <c r="U107" s="17"/>
    </row>
    <row r="108" spans="1:21" ht="16" customHeight="1" x14ac:dyDescent="0.2">
      <c r="A108" s="5" t="s">
        <v>11</v>
      </c>
      <c r="B108" s="12" t="s">
        <v>59</v>
      </c>
      <c r="C108" s="12"/>
      <c r="D108" s="12"/>
      <c r="E108" s="85"/>
      <c r="F108" s="85"/>
      <c r="G108" s="85"/>
      <c r="H108" s="85"/>
      <c r="I108" s="85"/>
      <c r="J108" s="85"/>
      <c r="K108" s="85">
        <v>1</v>
      </c>
      <c r="L108" s="85">
        <f>K108+1</f>
        <v>2</v>
      </c>
      <c r="M108" s="85">
        <f t="shared" ref="M108:T108" si="64">L108+1</f>
        <v>3</v>
      </c>
      <c r="N108" s="85">
        <f t="shared" si="64"/>
        <v>4</v>
      </c>
      <c r="O108" s="85">
        <f t="shared" si="64"/>
        <v>5</v>
      </c>
      <c r="P108" s="85">
        <f t="shared" si="64"/>
        <v>6</v>
      </c>
      <c r="Q108" s="85">
        <f t="shared" si="64"/>
        <v>7</v>
      </c>
      <c r="R108" s="85">
        <f t="shared" si="64"/>
        <v>8</v>
      </c>
      <c r="S108" s="85">
        <f t="shared" si="64"/>
        <v>9</v>
      </c>
      <c r="T108" s="85">
        <f t="shared" si="64"/>
        <v>10</v>
      </c>
      <c r="U108" s="85"/>
    </row>
    <row r="109" spans="1:21" s="86" customFormat="1" ht="16" customHeight="1" x14ac:dyDescent="0.2">
      <c r="B109" s="12" t="s">
        <v>44</v>
      </c>
      <c r="C109" s="12"/>
      <c r="D109" s="12"/>
      <c r="E109" s="85"/>
      <c r="F109" s="85"/>
      <c r="G109" s="85"/>
      <c r="H109" s="85"/>
      <c r="I109" s="85"/>
      <c r="J109" s="85"/>
      <c r="K109" s="35">
        <v>45192</v>
      </c>
      <c r="L109" s="35">
        <f>EDATE(K109,12)</f>
        <v>45558</v>
      </c>
      <c r="M109" s="35">
        <f t="shared" ref="M109:T109" si="65">EDATE(L109,12)</f>
        <v>45923</v>
      </c>
      <c r="N109" s="35">
        <f t="shared" si="65"/>
        <v>46288</v>
      </c>
      <c r="O109" s="35">
        <f t="shared" si="65"/>
        <v>46653</v>
      </c>
      <c r="P109" s="35">
        <f t="shared" si="65"/>
        <v>47019</v>
      </c>
      <c r="Q109" s="35">
        <f t="shared" si="65"/>
        <v>47384</v>
      </c>
      <c r="R109" s="35">
        <f t="shared" si="65"/>
        <v>47749</v>
      </c>
      <c r="S109" s="35">
        <f t="shared" si="65"/>
        <v>48114</v>
      </c>
      <c r="T109" s="35">
        <f t="shared" si="65"/>
        <v>48480</v>
      </c>
      <c r="U109" s="85"/>
    </row>
    <row r="110" spans="1:21" ht="16" customHeight="1" x14ac:dyDescent="0.2">
      <c r="B110" s="5" t="s">
        <v>60</v>
      </c>
      <c r="E110" s="87"/>
      <c r="F110" s="87"/>
      <c r="G110" s="87"/>
      <c r="H110" s="87"/>
      <c r="I110" s="87"/>
      <c r="J110" s="82"/>
      <c r="K110" s="88">
        <f t="shared" ref="K110:T110" ca="1" si="66">$K$107*K104+$L$107*L104</f>
        <v>54258.928564094167</v>
      </c>
      <c r="L110" s="88">
        <f t="shared" ca="1" si="66"/>
        <v>63646.714402482554</v>
      </c>
      <c r="M110" s="88">
        <f t="shared" ca="1" si="66"/>
        <v>69176.242711207771</v>
      </c>
      <c r="N110" s="88">
        <f t="shared" ca="1" si="66"/>
        <v>74809.197203723175</v>
      </c>
      <c r="O110" s="88">
        <f t="shared" ca="1" si="66"/>
        <v>82714.424171460239</v>
      </c>
      <c r="P110" s="88">
        <f t="shared" ca="1" si="66"/>
        <v>89297.189273547003</v>
      </c>
      <c r="Q110" s="88">
        <f t="shared" ca="1" si="66"/>
        <v>97480.212715865229</v>
      </c>
      <c r="R110" s="88">
        <f t="shared" ca="1" si="66"/>
        <v>105937.1144675651</v>
      </c>
      <c r="S110" s="88">
        <f t="shared" ca="1" si="66"/>
        <v>112069.20173484946</v>
      </c>
      <c r="T110" s="88">
        <f t="shared" ca="1" si="66"/>
        <v>120940.53182913532</v>
      </c>
      <c r="U110" s="17"/>
    </row>
    <row r="111" spans="1:21" s="39" customFormat="1" ht="16" customHeight="1" x14ac:dyDescent="0.2">
      <c r="B111" s="39" t="s">
        <v>45</v>
      </c>
      <c r="J111" s="89"/>
      <c r="L111" s="40">
        <f ca="1">L110/K110-1</f>
        <v>0.17301826790219277</v>
      </c>
      <c r="M111" s="40">
        <f t="shared" ref="M111:T111" ca="1" si="67">M110/L110-1</f>
        <v>8.6878456502218704E-2</v>
      </c>
      <c r="N111" s="40">
        <f t="shared" ca="1" si="67"/>
        <v>8.1429032161105974E-2</v>
      </c>
      <c r="O111" s="40">
        <f t="shared" ca="1" si="67"/>
        <v>0.10567185938661061</v>
      </c>
      <c r="P111" s="40">
        <f t="shared" ca="1" si="67"/>
        <v>7.9584246254815527E-2</v>
      </c>
      <c r="Q111" s="40">
        <f t="shared" ca="1" si="67"/>
        <v>9.1638085239736933E-2</v>
      </c>
      <c r="R111" s="40">
        <f t="shared" ca="1" si="67"/>
        <v>8.6755060499816627E-2</v>
      </c>
      <c r="S111" s="40">
        <f t="shared" ca="1" si="67"/>
        <v>5.7884220257498287E-2</v>
      </c>
      <c r="T111" s="169">
        <f ca="1">T110/S110-1</f>
        <v>7.9159393990108073E-2</v>
      </c>
    </row>
    <row r="112" spans="1:21" ht="16" customHeight="1" x14ac:dyDescent="0.2">
      <c r="B112" s="5" t="s">
        <v>61</v>
      </c>
      <c r="J112" s="46"/>
      <c r="T112" s="38">
        <f ca="1">T110*(1+D33)/(T115-D33)</f>
        <v>2321847.2221428645</v>
      </c>
    </row>
    <row r="113" spans="2:20" ht="16" customHeight="1" x14ac:dyDescent="0.2">
      <c r="B113" s="5" t="s">
        <v>62</v>
      </c>
      <c r="J113" s="46"/>
      <c r="T113" s="90">
        <f ca="1">(T81+T93)*D34</f>
        <v>2315624.8080423721</v>
      </c>
    </row>
    <row r="114" spans="2:20" ht="16" customHeight="1" x14ac:dyDescent="0.2">
      <c r="B114" s="91" t="s">
        <v>63</v>
      </c>
      <c r="C114" s="91"/>
      <c r="D114" s="91"/>
      <c r="E114" s="91"/>
      <c r="F114" s="91"/>
      <c r="G114" s="91"/>
      <c r="H114" s="91"/>
      <c r="I114" s="91"/>
      <c r="J114" s="92"/>
      <c r="K114" s="91"/>
      <c r="L114" s="91"/>
      <c r="M114" s="91"/>
      <c r="N114" s="91"/>
      <c r="O114" s="91"/>
      <c r="P114" s="91"/>
      <c r="Q114" s="91"/>
      <c r="R114" s="91"/>
      <c r="S114" s="91"/>
      <c r="T114" s="90">
        <f ca="1">AVERAGE(T112:T113)</f>
        <v>2318736.0150926183</v>
      </c>
    </row>
    <row r="115" spans="2:20" ht="16" customHeight="1" x14ac:dyDescent="0.2">
      <c r="B115" s="5" t="s">
        <v>38</v>
      </c>
      <c r="J115" s="46"/>
      <c r="K115" s="93">
        <f>D32</f>
        <v>9.8911148524075052E-2</v>
      </c>
      <c r="L115" s="94">
        <f t="shared" ref="L115:S115" si="68">K115-($K$115-$T$115)/($T$108-$K$108)</f>
        <v>9.7800037412963947E-2</v>
      </c>
      <c r="M115" s="94">
        <f t="shared" si="68"/>
        <v>9.6688926301852843E-2</v>
      </c>
      <c r="N115" s="94">
        <f t="shared" si="68"/>
        <v>9.5577815190741738E-2</v>
      </c>
      <c r="O115" s="94">
        <f t="shared" si="68"/>
        <v>9.4466704079630634E-2</v>
      </c>
      <c r="P115" s="94">
        <f t="shared" si="68"/>
        <v>9.335559296851953E-2</v>
      </c>
      <c r="Q115" s="94">
        <f t="shared" si="68"/>
        <v>9.2244481857408425E-2</v>
      </c>
      <c r="R115" s="94">
        <f t="shared" si="68"/>
        <v>9.1133370746297321E-2</v>
      </c>
      <c r="S115" s="94">
        <f t="shared" si="68"/>
        <v>9.0022259635186216E-2</v>
      </c>
      <c r="T115" s="93">
        <f>T22</f>
        <v>8.8911148524075057E-2</v>
      </c>
    </row>
    <row r="116" spans="2:20" ht="16" customHeight="1" x14ac:dyDescent="0.2">
      <c r="B116" s="5" t="s">
        <v>64</v>
      </c>
      <c r="J116" s="46"/>
      <c r="K116" s="95">
        <f>1/(1+K115)</f>
        <v>0.90999167798331959</v>
      </c>
      <c r="L116" s="95">
        <f>K116*(1/(1+L115))</f>
        <v>0.82892297956900529</v>
      </c>
      <c r="M116" s="95">
        <f t="shared" ref="M116:T116" si="69">L116*(1/(1+M115))</f>
        <v>0.75584147855328332</v>
      </c>
      <c r="N116" s="95">
        <f t="shared" si="69"/>
        <v>0.68990213937627987</v>
      </c>
      <c r="O116" s="95">
        <f t="shared" si="69"/>
        <v>0.63035461636673451</v>
      </c>
      <c r="P116" s="95">
        <f t="shared" si="69"/>
        <v>0.57653211857204445</v>
      </c>
      <c r="Q116" s="95">
        <f t="shared" si="69"/>
        <v>0.52784163998853717</v>
      </c>
      <c r="R116" s="95">
        <f t="shared" si="69"/>
        <v>0.48375538145947444</v>
      </c>
      <c r="S116" s="95">
        <f t="shared" si="69"/>
        <v>0.44380321335949591</v>
      </c>
      <c r="T116" s="95">
        <f t="shared" si="69"/>
        <v>0.40756604793791745</v>
      </c>
    </row>
    <row r="117" spans="2:20" ht="16" customHeight="1" x14ac:dyDescent="0.2">
      <c r="J117" s="46"/>
    </row>
    <row r="118" spans="2:20" ht="16" customHeight="1" x14ac:dyDescent="0.2">
      <c r="B118" s="69" t="s">
        <v>65</v>
      </c>
      <c r="C118" s="69"/>
      <c r="D118" s="69"/>
      <c r="E118" s="69"/>
      <c r="F118" s="69"/>
      <c r="G118" s="69"/>
      <c r="H118" s="69"/>
      <c r="I118" s="69"/>
      <c r="J118" s="96"/>
      <c r="K118" s="97">
        <f t="shared" ref="K118:T118" ca="1" si="70">K116*K110</f>
        <v>49375.173449617119</v>
      </c>
      <c r="L118" s="97">
        <f t="shared" ca="1" si="70"/>
        <v>52758.224142283361</v>
      </c>
      <c r="M118" s="97">
        <f t="shared" ca="1" si="70"/>
        <v>52286.273571600068</v>
      </c>
      <c r="N118" s="97">
        <f t="shared" ca="1" si="70"/>
        <v>51611.025195870629</v>
      </c>
      <c r="O118" s="97">
        <f t="shared" ca="1" si="70"/>
        <v>52139.419116596175</v>
      </c>
      <c r="P118" s="97">
        <f t="shared" ca="1" si="70"/>
        <v>51482.697714406895</v>
      </c>
      <c r="Q118" s="97">
        <f t="shared" ca="1" si="70"/>
        <v>51454.115346373757</v>
      </c>
      <c r="R118" s="97">
        <f t="shared" ca="1" si="70"/>
        <v>51247.649219972962</v>
      </c>
      <c r="S118" s="97">
        <f t="shared" ca="1" si="70"/>
        <v>49736.671848559781</v>
      </c>
      <c r="T118" s="97">
        <f t="shared" ca="1" si="70"/>
        <v>49291.2545931106</v>
      </c>
    </row>
    <row r="119" spans="2:20" ht="16" customHeight="1" x14ac:dyDescent="0.2">
      <c r="B119" s="5" t="s">
        <v>66</v>
      </c>
      <c r="T119" s="38">
        <f ca="1">T116*T114</f>
        <v>945038.0738826138</v>
      </c>
    </row>
    <row r="121" spans="2:20" ht="16" customHeight="1" x14ac:dyDescent="0.2">
      <c r="B121" s="98" t="s">
        <v>67</v>
      </c>
      <c r="C121" s="54"/>
      <c r="D121" s="55">
        <f ca="1">SUM(K118:T119)</f>
        <v>1456420.578081005</v>
      </c>
    </row>
    <row r="123" spans="2:20" ht="16" customHeight="1" x14ac:dyDescent="0.2">
      <c r="B123" s="5" t="s">
        <v>68</v>
      </c>
      <c r="D123" s="99">
        <f>T9</f>
        <v>116259</v>
      </c>
    </row>
    <row r="124" spans="2:20" ht="16" customHeight="1" x14ac:dyDescent="0.2">
      <c r="B124" s="5" t="s">
        <v>69</v>
      </c>
      <c r="D124" s="99">
        <f>T10</f>
        <v>0</v>
      </c>
    </row>
    <row r="125" spans="2:20" ht="16" customHeight="1" x14ac:dyDescent="0.2">
      <c r="B125" s="5" t="s">
        <v>70</v>
      </c>
      <c r="D125" s="99">
        <f>T11</f>
        <v>12854</v>
      </c>
    </row>
    <row r="126" spans="2:20" ht="16" customHeight="1" x14ac:dyDescent="0.2">
      <c r="B126" s="5" t="s">
        <v>71</v>
      </c>
      <c r="D126" s="99">
        <f>T12</f>
        <v>0</v>
      </c>
      <c r="H126" s="5" t="s">
        <v>72</v>
      </c>
    </row>
    <row r="127" spans="2:20" ht="16" customHeight="1" x14ac:dyDescent="0.2">
      <c r="B127" s="98" t="s">
        <v>73</v>
      </c>
      <c r="C127" s="54"/>
      <c r="D127" s="100">
        <f ca="1">D121+D123+D124-D125-D126</f>
        <v>1559825.578081005</v>
      </c>
    </row>
    <row r="128" spans="2:20" ht="16" customHeight="1" x14ac:dyDescent="0.2">
      <c r="D128" s="62"/>
    </row>
    <row r="129" spans="1:21" ht="16" customHeight="1" x14ac:dyDescent="0.2">
      <c r="B129" s="91" t="s">
        <v>74</v>
      </c>
      <c r="C129" s="91"/>
      <c r="D129" s="101">
        <f>T16</f>
        <v>13284.2</v>
      </c>
    </row>
    <row r="130" spans="1:21" ht="16" customHeight="1" x14ac:dyDescent="0.2">
      <c r="B130" s="102" t="s">
        <v>2</v>
      </c>
      <c r="D130" s="103">
        <f ca="1">D127/D129</f>
        <v>117.41960961751592</v>
      </c>
    </row>
    <row r="132" spans="1:21" ht="16" customHeight="1" x14ac:dyDescent="0.2">
      <c r="A132" s="5" t="s">
        <v>11</v>
      </c>
      <c r="B132" s="12" t="s">
        <v>75</v>
      </c>
      <c r="C132" s="104"/>
      <c r="D132" s="104"/>
      <c r="E132" s="105"/>
      <c r="F132" s="105"/>
      <c r="G132" s="105"/>
      <c r="H132" s="105"/>
      <c r="I132" s="105"/>
      <c r="J132" s="105"/>
      <c r="K132" s="105"/>
      <c r="L132" s="105"/>
      <c r="M132" s="105"/>
      <c r="N132" s="105"/>
      <c r="O132" s="105"/>
      <c r="P132" s="105"/>
      <c r="Q132" s="105"/>
      <c r="R132" s="105"/>
      <c r="S132" s="105"/>
      <c r="T132" s="105"/>
      <c r="U132" s="105"/>
    </row>
    <row r="134" spans="1:21" ht="16" customHeight="1" x14ac:dyDescent="0.2">
      <c r="B134" s="5" t="s">
        <v>39</v>
      </c>
      <c r="D134" s="106">
        <f>D33</f>
        <v>3.5000000000000003E-2</v>
      </c>
      <c r="F134" s="5" t="s">
        <v>76</v>
      </c>
      <c r="H134" s="23">
        <v>5.0000000000000001E-3</v>
      </c>
      <c r="J134" s="5" t="s">
        <v>77</v>
      </c>
      <c r="L134" s="107">
        <f>D34</f>
        <v>11</v>
      </c>
      <c r="N134" s="5" t="s">
        <v>78</v>
      </c>
      <c r="P134" s="108">
        <v>1</v>
      </c>
    </row>
    <row r="135" spans="1:21" ht="16" customHeight="1" x14ac:dyDescent="0.2">
      <c r="B135" s="5" t="s">
        <v>38</v>
      </c>
      <c r="D135" s="106">
        <f>D32</f>
        <v>9.8911148524075052E-2</v>
      </c>
      <c r="F135" s="5" t="s">
        <v>79</v>
      </c>
      <c r="H135" s="23">
        <v>5.0000000000000001E-3</v>
      </c>
      <c r="J135" s="5" t="s">
        <v>80</v>
      </c>
      <c r="L135" s="106">
        <f>D32</f>
        <v>9.8911148524075052E-2</v>
      </c>
      <c r="N135" s="5" t="s">
        <v>79</v>
      </c>
      <c r="P135" s="23">
        <v>5.0000000000000001E-3</v>
      </c>
    </row>
    <row r="137" spans="1:21" ht="16" customHeight="1" x14ac:dyDescent="0.2">
      <c r="D137" s="157" t="s">
        <v>39</v>
      </c>
      <c r="E137" s="157"/>
      <c r="F137" s="157"/>
      <c r="G137" s="157"/>
      <c r="H137" s="157"/>
      <c r="L137" s="157" t="s">
        <v>40</v>
      </c>
      <c r="M137" s="157"/>
      <c r="N137" s="157"/>
      <c r="O137" s="157"/>
      <c r="P137" s="157"/>
    </row>
    <row r="138" spans="1:21" ht="16" customHeight="1" x14ac:dyDescent="0.2">
      <c r="D138" s="157"/>
      <c r="E138" s="157"/>
      <c r="F138" s="157"/>
      <c r="G138" s="157"/>
      <c r="H138" s="157"/>
      <c r="L138" s="157"/>
      <c r="M138" s="157"/>
      <c r="N138" s="157"/>
      <c r="O138" s="157"/>
      <c r="P138" s="157"/>
    </row>
    <row r="139" spans="1:21" ht="16" customHeight="1" x14ac:dyDescent="0.2">
      <c r="C139" s="103">
        <f ca="1">D130</f>
        <v>117.41960961751592</v>
      </c>
      <c r="D139" s="109">
        <f>E139-H134</f>
        <v>2.5000000000000001E-2</v>
      </c>
      <c r="E139" s="109">
        <f>F139-H134</f>
        <v>3.0000000000000002E-2</v>
      </c>
      <c r="F139" s="110">
        <f>CHOOSE(D28,H28,L28,P28,H33)</f>
        <v>3.5000000000000003E-2</v>
      </c>
      <c r="G139" s="109">
        <f>F139+H134</f>
        <v>0.04</v>
      </c>
      <c r="H139" s="109">
        <f>G139+H134</f>
        <v>4.4999999999999998E-2</v>
      </c>
      <c r="K139" s="103">
        <f ca="1">D130</f>
        <v>117.41960961751592</v>
      </c>
      <c r="L139" s="111">
        <f>M139-P134</f>
        <v>9</v>
      </c>
      <c r="M139" s="111">
        <f>N139-P134</f>
        <v>10</v>
      </c>
      <c r="N139" s="111">
        <f>CHOOSE(D29,H29,L29,P29,H34)</f>
        <v>11</v>
      </c>
      <c r="O139" s="111">
        <f>N139+P134</f>
        <v>12</v>
      </c>
      <c r="P139" s="111">
        <f>O139+P134</f>
        <v>13</v>
      </c>
    </row>
    <row r="140" spans="1:21" ht="16" customHeight="1" x14ac:dyDescent="0.2">
      <c r="B140" s="157" t="s">
        <v>38</v>
      </c>
      <c r="C140" s="112">
        <f>C141-H135</f>
        <v>8.8911148524075043E-2</v>
      </c>
      <c r="D140" s="95">
        <f t="dataTable" ref="D140:H144" dt2D="1" dtr="1" r1="D33" r2="D32" ca="1"/>
        <v>125.87983307722668</v>
      </c>
      <c r="E140" s="95">
        <v>130.04044975646457</v>
      </c>
      <c r="F140" s="95">
        <v>135.14857448754876</v>
      </c>
      <c r="G140" s="95">
        <v>141.5694655914692</v>
      </c>
      <c r="H140" s="95">
        <v>149.88380217965621</v>
      </c>
      <c r="J140" s="157" t="s">
        <v>38</v>
      </c>
      <c r="K140" s="112">
        <f>K141-P135</f>
        <v>8.8911148524075043E-2</v>
      </c>
      <c r="L140" s="95">
        <f t="dataTable" ref="L140:P144" dt2D="1" dtr="1" r1="D34" r2="D32" ca="1"/>
        <v>128.0687564479687</v>
      </c>
      <c r="M140" s="95">
        <v>131.60866546775873</v>
      </c>
      <c r="N140" s="95">
        <v>135.14857448754876</v>
      </c>
      <c r="O140" s="95">
        <v>138.68848350733879</v>
      </c>
      <c r="P140" s="95">
        <v>142.22839252712882</v>
      </c>
    </row>
    <row r="141" spans="1:21" ht="16" customHeight="1" x14ac:dyDescent="0.2">
      <c r="B141" s="157"/>
      <c r="C141" s="112">
        <f>C142-H135</f>
        <v>9.3911148524075047E-2</v>
      </c>
      <c r="D141" s="95">
        <v>118.23927298524767</v>
      </c>
      <c r="E141" s="113">
        <v>121.55354612307207</v>
      </c>
      <c r="F141" s="113">
        <v>125.54543024281668</v>
      </c>
      <c r="G141" s="113">
        <v>130.44639651001546</v>
      </c>
      <c r="H141" s="95">
        <v>136.60689030418163</v>
      </c>
      <c r="J141" s="157"/>
      <c r="K141" s="112">
        <f>K142-P135</f>
        <v>9.3911148524075047E-2</v>
      </c>
      <c r="L141" s="95">
        <v>118.78406629877469</v>
      </c>
      <c r="M141" s="113">
        <v>122.16474827079567</v>
      </c>
      <c r="N141" s="113">
        <v>125.54543024281668</v>
      </c>
      <c r="O141" s="113">
        <v>128.92611221483764</v>
      </c>
      <c r="P141" s="95">
        <v>132.30679418685864</v>
      </c>
    </row>
    <row r="142" spans="1:21" ht="16" customHeight="1" x14ac:dyDescent="0.2">
      <c r="B142" s="157"/>
      <c r="C142" s="112">
        <f>CHOOSE(D27,H27,L27,P27,H32)</f>
        <v>9.8911148524075052E-2</v>
      </c>
      <c r="D142" s="95">
        <v>111.55631510867863</v>
      </c>
      <c r="E142" s="113">
        <v>114.23914296915689</v>
      </c>
      <c r="F142" s="114">
        <v>117.41960961751592</v>
      </c>
      <c r="G142" s="113">
        <v>121.25033019454597</v>
      </c>
      <c r="H142" s="95">
        <v>125.95343072650469</v>
      </c>
      <c r="J142" s="157"/>
      <c r="K142" s="112">
        <f>CHOOSE(D27,H27,L27,P27,H32)</f>
        <v>9.8911148524075052E-2</v>
      </c>
      <c r="L142" s="95">
        <v>110.961013886423</v>
      </c>
      <c r="M142" s="113">
        <v>114.19031175196946</v>
      </c>
      <c r="N142" s="114">
        <v>117.41960961751592</v>
      </c>
      <c r="O142" s="113">
        <v>120.64890748306237</v>
      </c>
      <c r="P142" s="95">
        <v>123.87820534860882</v>
      </c>
    </row>
    <row r="143" spans="1:21" ht="16" customHeight="1" x14ac:dyDescent="0.2">
      <c r="B143" s="157"/>
      <c r="C143" s="112">
        <f>C142+H135</f>
        <v>0.10391114852407506</v>
      </c>
      <c r="D143" s="95">
        <v>105.63945854131218</v>
      </c>
      <c r="E143" s="113">
        <v>107.84078744781415</v>
      </c>
      <c r="F143" s="113">
        <v>110.41578567865504</v>
      </c>
      <c r="G143" s="113">
        <v>113.4684213372519</v>
      </c>
      <c r="H143" s="95">
        <v>117.14517557631804</v>
      </c>
      <c r="J143" s="157"/>
      <c r="K143" s="112">
        <f>K142+P135</f>
        <v>0.10391114852407506</v>
      </c>
      <c r="L143" s="95">
        <v>104.24511137677517</v>
      </c>
      <c r="M143" s="113">
        <v>107.33044852771509</v>
      </c>
      <c r="N143" s="113">
        <v>110.41578567865504</v>
      </c>
      <c r="O143" s="113">
        <v>113.50112282959498</v>
      </c>
      <c r="P143" s="95">
        <v>116.58645998053491</v>
      </c>
    </row>
    <row r="144" spans="1:21" ht="16" customHeight="1" x14ac:dyDescent="0.2">
      <c r="B144" s="157"/>
      <c r="C144" s="112">
        <f>C143+H135</f>
        <v>0.10891114852407506</v>
      </c>
      <c r="D144" s="95">
        <v>100.34788051273661</v>
      </c>
      <c r="E144" s="95">
        <v>102.17520878269158</v>
      </c>
      <c r="F144" s="95">
        <v>104.28845403460579</v>
      </c>
      <c r="G144" s="95">
        <v>106.76041666088089</v>
      </c>
      <c r="H144" s="95">
        <v>109.6909046003704</v>
      </c>
      <c r="J144" s="157"/>
      <c r="K144" s="112">
        <f>K143+P135</f>
        <v>0.10891114852407506</v>
      </c>
      <c r="L144" s="95">
        <v>98.391645066329502</v>
      </c>
      <c r="M144" s="95">
        <v>101.34004955046764</v>
      </c>
      <c r="N144" s="95">
        <v>104.28845403460579</v>
      </c>
      <c r="O144" s="95">
        <v>107.23685851874393</v>
      </c>
      <c r="P144" s="95">
        <v>110.18526300288205</v>
      </c>
    </row>
    <row r="146" spans="1:21" ht="16" customHeight="1" x14ac:dyDescent="0.2">
      <c r="A146" s="5" t="s">
        <v>11</v>
      </c>
      <c r="B146" s="12" t="s">
        <v>81</v>
      </c>
      <c r="C146" s="104"/>
      <c r="D146" s="104"/>
      <c r="E146" s="33">
        <v>2016</v>
      </c>
      <c r="F146" s="33">
        <f>E146+1</f>
        <v>2017</v>
      </c>
      <c r="G146" s="33">
        <f t="shared" ref="G146:J146" si="71">F146+1</f>
        <v>2018</v>
      </c>
      <c r="H146" s="33">
        <f t="shared" si="71"/>
        <v>2019</v>
      </c>
      <c r="I146" s="33">
        <f t="shared" si="71"/>
        <v>2020</v>
      </c>
      <c r="J146" s="33">
        <f t="shared" si="71"/>
        <v>2021</v>
      </c>
      <c r="K146" s="34">
        <v>2022</v>
      </c>
      <c r="L146" s="34">
        <f>K146+1</f>
        <v>2023</v>
      </c>
      <c r="M146" s="34">
        <f t="shared" ref="M146:U146" si="72">L146+1</f>
        <v>2024</v>
      </c>
      <c r="N146" s="34">
        <f t="shared" si="72"/>
        <v>2025</v>
      </c>
      <c r="O146" s="34">
        <f t="shared" si="72"/>
        <v>2026</v>
      </c>
      <c r="P146" s="34">
        <f t="shared" si="72"/>
        <v>2027</v>
      </c>
      <c r="Q146" s="34">
        <f t="shared" si="72"/>
        <v>2028</v>
      </c>
      <c r="R146" s="34">
        <f t="shared" si="72"/>
        <v>2029</v>
      </c>
      <c r="S146" s="34">
        <f t="shared" si="72"/>
        <v>2030</v>
      </c>
      <c r="T146" s="34">
        <f t="shared" si="72"/>
        <v>2031</v>
      </c>
      <c r="U146" s="34">
        <f t="shared" si="72"/>
        <v>2032</v>
      </c>
    </row>
    <row r="147" spans="1:21" ht="16" customHeight="1" x14ac:dyDescent="0.2">
      <c r="B147" s="12" t="s">
        <v>44</v>
      </c>
      <c r="C147" s="12"/>
      <c r="D147" s="12"/>
      <c r="E147" s="35">
        <f>EDATE(F147,-12)</f>
        <v>42735</v>
      </c>
      <c r="F147" s="35">
        <f t="shared" ref="F147:I147" si="73">EDATE(G147,-12)</f>
        <v>43100</v>
      </c>
      <c r="G147" s="35">
        <f t="shared" si="73"/>
        <v>43465</v>
      </c>
      <c r="H147" s="35">
        <f t="shared" si="73"/>
        <v>43830</v>
      </c>
      <c r="I147" s="35">
        <f t="shared" si="73"/>
        <v>44196</v>
      </c>
      <c r="J147" s="35">
        <f>EDATE(K147,-12)</f>
        <v>44561</v>
      </c>
      <c r="K147" s="35">
        <v>44926</v>
      </c>
      <c r="L147" s="35">
        <f>EDATE(K147,12)</f>
        <v>45291</v>
      </c>
      <c r="M147" s="35">
        <f t="shared" ref="M147:U147" si="74">EDATE(L147,12)</f>
        <v>45657</v>
      </c>
      <c r="N147" s="35">
        <f t="shared" si="74"/>
        <v>46022</v>
      </c>
      <c r="O147" s="35">
        <f t="shared" si="74"/>
        <v>46387</v>
      </c>
      <c r="P147" s="35">
        <f t="shared" si="74"/>
        <v>46752</v>
      </c>
      <c r="Q147" s="35">
        <f t="shared" si="74"/>
        <v>47118</v>
      </c>
      <c r="R147" s="35">
        <f t="shared" si="74"/>
        <v>47483</v>
      </c>
      <c r="S147" s="35">
        <f t="shared" si="74"/>
        <v>47848</v>
      </c>
      <c r="T147" s="35">
        <f t="shared" si="74"/>
        <v>48213</v>
      </c>
      <c r="U147" s="35">
        <f t="shared" si="74"/>
        <v>48579</v>
      </c>
    </row>
    <row r="148" spans="1:21" ht="16" customHeight="1" x14ac:dyDescent="0.2">
      <c r="B148" s="5" t="s">
        <v>48</v>
      </c>
      <c r="E148" s="38">
        <f>E78</f>
        <v>90272</v>
      </c>
      <c r="F148" s="38">
        <f t="shared" ref="F148:U149" si="75">F78</f>
        <v>110547</v>
      </c>
      <c r="G148" s="38">
        <f t="shared" si="75"/>
        <v>136362</v>
      </c>
      <c r="H148" s="38">
        <f t="shared" si="75"/>
        <v>160743</v>
      </c>
      <c r="I148" s="38">
        <f t="shared" si="75"/>
        <v>181694</v>
      </c>
      <c r="J148" s="115">
        <f t="shared" si="75"/>
        <v>256735</v>
      </c>
      <c r="K148" s="38">
        <f t="shared" ca="1" si="75"/>
        <v>281266.70999999996</v>
      </c>
      <c r="L148" s="38">
        <f t="shared" ca="1" si="75"/>
        <v>304128.17281999998</v>
      </c>
      <c r="M148" s="38">
        <f t="shared" ca="1" si="75"/>
        <v>342057.72612777457</v>
      </c>
      <c r="N148" s="38">
        <f t="shared" ca="1" si="75"/>
        <v>381939.7689453882</v>
      </c>
      <c r="O148" s="38">
        <f t="shared" ca="1" si="75"/>
        <v>423055.8276583617</v>
      </c>
      <c r="P148" s="38">
        <f t="shared" ca="1" si="75"/>
        <v>464486.92128043727</v>
      </c>
      <c r="Q148" s="38">
        <f t="shared" ca="1" si="75"/>
        <v>505131.79222114879</v>
      </c>
      <c r="R148" s="38">
        <f t="shared" ca="1" si="75"/>
        <v>543746.52378651756</v>
      </c>
      <c r="S148" s="38">
        <f t="shared" ca="1" si="75"/>
        <v>579005.97454764997</v>
      </c>
      <c r="T148" s="38">
        <f t="shared" ca="1" si="75"/>
        <v>609584.28265856986</v>
      </c>
      <c r="U148" s="38">
        <f t="shared" ca="1" si="75"/>
        <v>634248.21105138282</v>
      </c>
    </row>
    <row r="149" spans="1:21" s="39" customFormat="1" ht="16" customHeight="1" x14ac:dyDescent="0.2">
      <c r="B149" s="39" t="s">
        <v>45</v>
      </c>
      <c r="F149" s="116">
        <f t="shared" si="75"/>
        <v>0.2245989897199574</v>
      </c>
      <c r="G149" s="116">
        <f t="shared" si="75"/>
        <v>0.23352058400499343</v>
      </c>
      <c r="H149" s="116">
        <f t="shared" si="75"/>
        <v>0.17879614555374657</v>
      </c>
      <c r="I149" s="116">
        <f t="shared" si="75"/>
        <v>0.13033849063411784</v>
      </c>
      <c r="J149" s="117">
        <f t="shared" si="75"/>
        <v>0.41300758417999495</v>
      </c>
      <c r="K149" s="116">
        <f t="shared" ca="1" si="75"/>
        <v>9.5552651566790603E-2</v>
      </c>
      <c r="L149" s="116">
        <f t="shared" ca="1" si="75"/>
        <v>8.1280371999942647E-2</v>
      </c>
      <c r="M149" s="116">
        <f t="shared" ca="1" si="75"/>
        <v>0.12471568469331973</v>
      </c>
      <c r="N149" s="116">
        <f t="shared" ca="1" si="75"/>
        <v>0.11659448032089137</v>
      </c>
      <c r="O149" s="116">
        <f t="shared" ca="1" si="75"/>
        <v>0.10765063514203588</v>
      </c>
      <c r="P149" s="116">
        <f t="shared" ca="1" si="75"/>
        <v>9.7932922591798421E-2</v>
      </c>
      <c r="Q149" s="116">
        <f t="shared" ca="1" si="75"/>
        <v>8.7504877055885721E-2</v>
      </c>
      <c r="R149" s="116">
        <f t="shared" ca="1" si="75"/>
        <v>7.6444864805625068E-2</v>
      </c>
      <c r="S149" s="116">
        <f t="shared" ca="1" si="75"/>
        <v>6.484538147590202E-2</v>
      </c>
      <c r="T149" s="116">
        <f t="shared" ca="1" si="75"/>
        <v>5.2811731579815335E-2</v>
      </c>
      <c r="U149" s="116">
        <f t="shared" ca="1" si="75"/>
        <v>4.046024330753184E-2</v>
      </c>
    </row>
    <row r="150" spans="1:21" ht="16" customHeight="1" x14ac:dyDescent="0.2">
      <c r="B150" s="5" t="s">
        <v>82</v>
      </c>
      <c r="E150" s="38">
        <f t="shared" ref="E150:U150" si="76">E93+E81</f>
        <v>28983</v>
      </c>
      <c r="F150" s="38">
        <f t="shared" si="76"/>
        <v>34985</v>
      </c>
      <c r="G150" s="38">
        <f t="shared" si="76"/>
        <v>39556</v>
      </c>
      <c r="H150" s="38">
        <f t="shared" si="76"/>
        <v>45087</v>
      </c>
      <c r="I150" s="38">
        <f t="shared" si="76"/>
        <v>54129</v>
      </c>
      <c r="J150" s="115">
        <f t="shared" si="76"/>
        <v>90269</v>
      </c>
      <c r="K150" s="38">
        <f t="shared" ca="1" si="76"/>
        <v>93058.578806848236</v>
      </c>
      <c r="L150" s="38">
        <f t="shared" ca="1" si="76"/>
        <v>98533.645100050082</v>
      </c>
      <c r="M150" s="38">
        <f t="shared" ca="1" si="76"/>
        <v>111862.25335800595</v>
      </c>
      <c r="N150" s="38">
        <f t="shared" ca="1" si="76"/>
        <v>125491.99494627508</v>
      </c>
      <c r="O150" s="38">
        <f t="shared" ca="1" si="76"/>
        <v>139242.24032525194</v>
      </c>
      <c r="P150" s="38">
        <f t="shared" ca="1" si="76"/>
        <v>155344.91780493496</v>
      </c>
      <c r="Q150" s="38">
        <f t="shared" ca="1" si="76"/>
        <v>170377.85308881057</v>
      </c>
      <c r="R150" s="38">
        <f t="shared" ca="1" si="76"/>
        <v>184849.45173378917</v>
      </c>
      <c r="S150" s="38">
        <f t="shared" ca="1" si="76"/>
        <v>198333.13671388206</v>
      </c>
      <c r="T150" s="38">
        <f t="shared" ca="1" si="76"/>
        <v>210511.34618567018</v>
      </c>
      <c r="U150" s="38">
        <f t="shared" ca="1" si="76"/>
        <v>227844.86366883622</v>
      </c>
    </row>
    <row r="151" spans="1:21" s="39" customFormat="1" ht="16" customHeight="1" x14ac:dyDescent="0.2">
      <c r="B151" s="39" t="s">
        <v>50</v>
      </c>
      <c r="E151" s="40">
        <f>E150/E148</f>
        <v>0.32106300957107409</v>
      </c>
      <c r="F151" s="40">
        <f>F150/F148</f>
        <v>0.31647172695776454</v>
      </c>
      <c r="G151" s="40">
        <f t="shared" ref="G151:U151" si="77">G150/G148</f>
        <v>0.29008081430310495</v>
      </c>
      <c r="H151" s="40">
        <f t="shared" si="77"/>
        <v>0.28049121890222278</v>
      </c>
      <c r="I151" s="40">
        <f t="shared" si="77"/>
        <v>0.29791297456162558</v>
      </c>
      <c r="J151" s="41">
        <f t="shared" si="77"/>
        <v>0.35160379379515844</v>
      </c>
      <c r="K151" s="40">
        <f t="shared" ca="1" si="77"/>
        <v>0.3308552896531845</v>
      </c>
      <c r="L151" s="40">
        <f t="shared" ca="1" si="77"/>
        <v>0.32398723270654639</v>
      </c>
      <c r="M151" s="40">
        <f t="shared" ca="1" si="77"/>
        <v>0.32702741325076856</v>
      </c>
      <c r="N151" s="40">
        <f t="shared" ca="1" si="77"/>
        <v>0.32856488155916175</v>
      </c>
      <c r="O151" s="40">
        <f t="shared" ca="1" si="77"/>
        <v>0.32913443385466579</v>
      </c>
      <c r="P151" s="40">
        <f t="shared" ca="1" si="77"/>
        <v>0.33444411605110486</v>
      </c>
      <c r="Q151" s="40">
        <f t="shared" ca="1" si="77"/>
        <v>0.33729386214166152</v>
      </c>
      <c r="R151" s="40">
        <f t="shared" ca="1" si="77"/>
        <v>0.33995518802868457</v>
      </c>
      <c r="S151" s="40">
        <f t="shared" ca="1" si="77"/>
        <v>0.34254074298426779</v>
      </c>
      <c r="T151" s="40">
        <f t="shared" ca="1" si="77"/>
        <v>0.34533591526928897</v>
      </c>
      <c r="U151" s="40">
        <f t="shared" ca="1" si="77"/>
        <v>0.3592361156070768</v>
      </c>
    </row>
    <row r="152" spans="1:21" ht="16" customHeight="1" x14ac:dyDescent="0.2">
      <c r="B152" s="5" t="s">
        <v>53</v>
      </c>
      <c r="E152" s="38">
        <f t="shared" ref="E152:U152" si="78">E93</f>
        <v>5267</v>
      </c>
      <c r="F152" s="38">
        <f t="shared" si="78"/>
        <v>6103</v>
      </c>
      <c r="G152" s="38">
        <f t="shared" si="78"/>
        <v>8164</v>
      </c>
      <c r="H152" s="38">
        <f t="shared" si="78"/>
        <v>10856</v>
      </c>
      <c r="I152" s="38">
        <f t="shared" si="78"/>
        <v>12905</v>
      </c>
      <c r="J152" s="115">
        <f t="shared" si="78"/>
        <v>11555</v>
      </c>
      <c r="K152" s="38">
        <f t="shared" ca="1" si="78"/>
        <v>16799.904535123391</v>
      </c>
      <c r="L152" s="38">
        <f t="shared" ca="1" si="78"/>
        <v>18440.470141814309</v>
      </c>
      <c r="M152" s="38">
        <f t="shared" ca="1" si="78"/>
        <v>20792.540447350668</v>
      </c>
      <c r="N152" s="38">
        <f t="shared" ca="1" si="78"/>
        <v>22701.23735689466</v>
      </c>
      <c r="O152" s="38">
        <f t="shared" ca="1" si="78"/>
        <v>24164.454418327776</v>
      </c>
      <c r="P152" s="38">
        <f t="shared" ca="1" si="78"/>
        <v>27656.061238359023</v>
      </c>
      <c r="Q152" s="38">
        <f t="shared" ca="1" si="78"/>
        <v>30057.073434096732</v>
      </c>
      <c r="R152" s="38">
        <f t="shared" ca="1" si="78"/>
        <v>32231.846879604025</v>
      </c>
      <c r="S152" s="38">
        <f t="shared" ca="1" si="78"/>
        <v>34147.154197145042</v>
      </c>
      <c r="T152" s="38">
        <f t="shared" ca="1" si="78"/>
        <v>35894.294492841596</v>
      </c>
      <c r="U152" s="38">
        <f t="shared" ca="1" si="78"/>
        <v>37570.400353421363</v>
      </c>
    </row>
    <row r="153" spans="1:21" s="39" customFormat="1" ht="16" customHeight="1" x14ac:dyDescent="0.2">
      <c r="B153" s="39" t="s">
        <v>54</v>
      </c>
      <c r="E153" s="116">
        <f t="shared" ref="E153:U153" si="79">E95</f>
        <v>0.51576576576576572</v>
      </c>
      <c r="F153" s="116">
        <f t="shared" si="79"/>
        <v>0.4629095873786408</v>
      </c>
      <c r="G153" s="116">
        <f t="shared" si="79"/>
        <v>0.3247543657265603</v>
      </c>
      <c r="H153" s="116">
        <f t="shared" si="79"/>
        <v>0.46101579751995925</v>
      </c>
      <c r="I153" s="116">
        <f t="shared" si="79"/>
        <v>0.57919303442394865</v>
      </c>
      <c r="J153" s="117">
        <f t="shared" si="79"/>
        <v>0.46895292207792205</v>
      </c>
      <c r="K153" s="116">
        <f t="shared" ca="1" si="79"/>
        <v>0.49079460785031231</v>
      </c>
      <c r="L153" s="116">
        <f t="shared" ca="1" si="79"/>
        <v>0.53452815713110746</v>
      </c>
      <c r="M153" s="116">
        <f t="shared" ca="1" si="79"/>
        <v>0.55075610466526115</v>
      </c>
      <c r="N153" s="116">
        <f t="shared" ca="1" si="79"/>
        <v>0.51608792635979583</v>
      </c>
      <c r="O153" s="116">
        <f t="shared" ca="1" si="79"/>
        <v>0.50551873543729287</v>
      </c>
      <c r="P153" s="116">
        <f t="shared" ca="1" si="79"/>
        <v>0.52764743706096817</v>
      </c>
      <c r="Q153" s="116">
        <f t="shared" ca="1" si="79"/>
        <v>0.52348922144616705</v>
      </c>
      <c r="R153" s="116">
        <f t="shared" ca="1" si="79"/>
        <v>0.52380553275642161</v>
      </c>
      <c r="S153" s="116">
        <f t="shared" ca="1" si="79"/>
        <v>0.52086786963128717</v>
      </c>
      <c r="T153" s="116">
        <f t="shared" ca="1" si="79"/>
        <v>0.51946771886458132</v>
      </c>
      <c r="U153" s="116">
        <f t="shared" ca="1" si="79"/>
        <v>0.52306371972511434</v>
      </c>
    </row>
    <row r="154" spans="1:21" ht="16" customHeight="1" x14ac:dyDescent="0.2">
      <c r="B154" s="5" t="s">
        <v>83</v>
      </c>
      <c r="E154" s="38">
        <f t="shared" ref="E154:U155" si="80">E81</f>
        <v>23716</v>
      </c>
      <c r="F154" s="38">
        <f t="shared" si="80"/>
        <v>28882</v>
      </c>
      <c r="G154" s="38">
        <f t="shared" si="80"/>
        <v>31392</v>
      </c>
      <c r="H154" s="38">
        <f t="shared" si="80"/>
        <v>34231</v>
      </c>
      <c r="I154" s="38">
        <f t="shared" si="80"/>
        <v>41224</v>
      </c>
      <c r="J154" s="115">
        <f t="shared" si="80"/>
        <v>78714</v>
      </c>
      <c r="K154" s="38">
        <f t="shared" ca="1" si="80"/>
        <v>76258.674271724842</v>
      </c>
      <c r="L154" s="38">
        <f t="shared" ca="1" si="80"/>
        <v>80093.174958235773</v>
      </c>
      <c r="M154" s="38">
        <f t="shared" ca="1" si="80"/>
        <v>91069.712910655289</v>
      </c>
      <c r="N154" s="38">
        <f t="shared" ca="1" si="80"/>
        <v>102790.75758938042</v>
      </c>
      <c r="O154" s="38">
        <f t="shared" ca="1" si="80"/>
        <v>115077.78590692418</v>
      </c>
      <c r="P154" s="38">
        <f t="shared" ca="1" si="80"/>
        <v>127688.85656657594</v>
      </c>
      <c r="Q154" s="38">
        <f t="shared" ca="1" si="80"/>
        <v>140320.77965471384</v>
      </c>
      <c r="R154" s="38">
        <f t="shared" ca="1" si="80"/>
        <v>152617.60485418513</v>
      </c>
      <c r="S154" s="38">
        <f t="shared" ca="1" si="80"/>
        <v>164185.98251673701</v>
      </c>
      <c r="T154" s="38">
        <f t="shared" ca="1" si="80"/>
        <v>174617.05169282857</v>
      </c>
      <c r="U154" s="38">
        <f t="shared" ca="1" si="80"/>
        <v>190274.46331541485</v>
      </c>
    </row>
    <row r="155" spans="1:21" s="39" customFormat="1" ht="16" customHeight="1" x14ac:dyDescent="0.2">
      <c r="B155" s="39" t="s">
        <v>50</v>
      </c>
      <c r="E155" s="40">
        <f t="shared" si="80"/>
        <v>0.26271712158808935</v>
      </c>
      <c r="F155" s="40">
        <f t="shared" si="80"/>
        <v>0.26126443955964429</v>
      </c>
      <c r="G155" s="40">
        <f t="shared" si="80"/>
        <v>0.23021076252915035</v>
      </c>
      <c r="H155" s="40">
        <f t="shared" si="80"/>
        <v>0.21295484095730452</v>
      </c>
      <c r="I155" s="40">
        <f t="shared" si="80"/>
        <v>0.22688696379627285</v>
      </c>
      <c r="J155" s="41">
        <f t="shared" si="80"/>
        <v>0.3065962957913802</v>
      </c>
      <c r="K155" s="40">
        <f t="shared" ca="1" si="80"/>
        <v>0.27112584447595967</v>
      </c>
      <c r="L155" s="40">
        <f t="shared" ca="1" si="80"/>
        <v>0.26335335597350062</v>
      </c>
      <c r="M155" s="40">
        <f t="shared" ca="1" si="80"/>
        <v>0.26624077152590464</v>
      </c>
      <c r="N155" s="40">
        <f t="shared" ca="1" si="80"/>
        <v>0.26912818707830866</v>
      </c>
      <c r="O155" s="40">
        <f t="shared" ca="1" si="80"/>
        <v>0.27201560263071267</v>
      </c>
      <c r="P155" s="40">
        <f t="shared" ca="1" si="80"/>
        <v>0.27490301818311669</v>
      </c>
      <c r="Q155" s="40">
        <f t="shared" ca="1" si="80"/>
        <v>0.2777904337355207</v>
      </c>
      <c r="R155" s="40">
        <f t="shared" ca="1" si="80"/>
        <v>0.28067784928792472</v>
      </c>
      <c r="S155" s="40">
        <f t="shared" ca="1" si="80"/>
        <v>0.28356526484032873</v>
      </c>
      <c r="T155" s="40">
        <f t="shared" ca="1" si="80"/>
        <v>0.28645268039273275</v>
      </c>
      <c r="U155" s="40">
        <f t="shared" ca="1" si="80"/>
        <v>0.3</v>
      </c>
    </row>
    <row r="156" spans="1:21" ht="16" customHeight="1" x14ac:dyDescent="0.2">
      <c r="B156" s="5" t="s">
        <v>36</v>
      </c>
      <c r="E156" s="38">
        <f t="shared" ref="E156:U157" si="81">E88</f>
        <v>4672</v>
      </c>
      <c r="F156" s="38">
        <f t="shared" si="81"/>
        <v>14531</v>
      </c>
      <c r="G156" s="38">
        <f t="shared" si="81"/>
        <v>4177</v>
      </c>
      <c r="H156" s="38">
        <f t="shared" si="81"/>
        <v>5282</v>
      </c>
      <c r="I156" s="38">
        <f t="shared" si="81"/>
        <v>7813</v>
      </c>
      <c r="J156" s="115">
        <f t="shared" si="81"/>
        <v>14701</v>
      </c>
      <c r="K156" s="38">
        <f t="shared" ca="1" si="81"/>
        <v>11283.029105680889</v>
      </c>
      <c r="L156" s="38">
        <f t="shared" ca="1" si="81"/>
        <v>12432.228077818882</v>
      </c>
      <c r="M156" s="38">
        <f t="shared" ca="1" si="81"/>
        <v>14690.319056553228</v>
      </c>
      <c r="N156" s="38">
        <f t="shared" ca="1" si="81"/>
        <v>17206.652710394479</v>
      </c>
      <c r="O156" s="38">
        <f t="shared" ca="1" si="81"/>
        <v>19963.852788398603</v>
      </c>
      <c r="P156" s="38">
        <f t="shared" ca="1" si="81"/>
        <v>22928.808892209359</v>
      </c>
      <c r="Q156" s="38">
        <f t="shared" ca="1" si="81"/>
        <v>26051.149315379284</v>
      </c>
      <c r="R156" s="38">
        <f t="shared" ca="1" si="81"/>
        <v>29263.004649968512</v>
      </c>
      <c r="S156" s="38">
        <f t="shared" ca="1" si="81"/>
        <v>32480.441008957645</v>
      </c>
      <c r="T156" s="38">
        <f t="shared" ca="1" si="81"/>
        <v>35606.785149004216</v>
      </c>
      <c r="U156" s="38">
        <f t="shared" ca="1" si="81"/>
        <v>39957.637296237117</v>
      </c>
    </row>
    <row r="157" spans="1:21" s="39" customFormat="1" ht="16" customHeight="1" x14ac:dyDescent="0.2">
      <c r="B157" s="39" t="s">
        <v>51</v>
      </c>
      <c r="E157" s="40">
        <f t="shared" si="81"/>
        <v>0.19699780738741779</v>
      </c>
      <c r="F157" s="40">
        <f t="shared" si="81"/>
        <v>0.5031161276919881</v>
      </c>
      <c r="G157" s="40">
        <f t="shared" si="81"/>
        <v>0.13305937818552496</v>
      </c>
      <c r="H157" s="40">
        <f t="shared" si="81"/>
        <v>0.15430457772194794</v>
      </c>
      <c r="I157" s="40">
        <f t="shared" si="81"/>
        <v>0.18952551911507859</v>
      </c>
      <c r="J157" s="41">
        <f t="shared" si="81"/>
        <v>0.18676474324770689</v>
      </c>
      <c r="K157" s="40">
        <f t="shared" si="81"/>
        <v>0.14795732044170096</v>
      </c>
      <c r="L157" s="40">
        <f t="shared" si="81"/>
        <v>0.15522206585394588</v>
      </c>
      <c r="M157" s="40">
        <f t="shared" si="81"/>
        <v>0.16130850298128521</v>
      </c>
      <c r="N157" s="40">
        <f t="shared" si="81"/>
        <v>0.16739494010862455</v>
      </c>
      <c r="O157" s="40">
        <f t="shared" si="81"/>
        <v>0.17348137723596388</v>
      </c>
      <c r="P157" s="40">
        <f t="shared" si="81"/>
        <v>0.17956781436330321</v>
      </c>
      <c r="Q157" s="40">
        <f t="shared" si="81"/>
        <v>0.18565425149064255</v>
      </c>
      <c r="R157" s="40">
        <f t="shared" si="81"/>
        <v>0.19174068861798188</v>
      </c>
      <c r="S157" s="40">
        <f t="shared" si="81"/>
        <v>0.19782712574532121</v>
      </c>
      <c r="T157" s="40">
        <f t="shared" si="81"/>
        <v>0.20391356287266055</v>
      </c>
      <c r="U157" s="40">
        <f t="shared" si="81"/>
        <v>0.21</v>
      </c>
    </row>
    <row r="158" spans="1:21" ht="16" customHeight="1" x14ac:dyDescent="0.2">
      <c r="B158" s="5" t="s">
        <v>52</v>
      </c>
      <c r="E158" s="38">
        <f t="shared" ref="E158:U158" si="82">E91</f>
        <v>19044</v>
      </c>
      <c r="F158" s="38">
        <f t="shared" si="82"/>
        <v>14351</v>
      </c>
      <c r="G158" s="38">
        <f t="shared" si="82"/>
        <v>27215</v>
      </c>
      <c r="H158" s="38">
        <f t="shared" si="82"/>
        <v>28949</v>
      </c>
      <c r="I158" s="38">
        <f t="shared" si="82"/>
        <v>33411</v>
      </c>
      <c r="J158" s="115">
        <f t="shared" si="82"/>
        <v>64013</v>
      </c>
      <c r="K158" s="38">
        <f t="shared" ca="1" si="82"/>
        <v>64975.645166043949</v>
      </c>
      <c r="L158" s="38">
        <f t="shared" ca="1" si="82"/>
        <v>67660.946880416886</v>
      </c>
      <c r="M158" s="38">
        <f t="shared" ca="1" si="82"/>
        <v>76379.393854102062</v>
      </c>
      <c r="N158" s="38">
        <f t="shared" ca="1" si="82"/>
        <v>85584.104878985934</v>
      </c>
      <c r="O158" s="38">
        <f t="shared" ca="1" si="82"/>
        <v>95113.933118525572</v>
      </c>
      <c r="P158" s="38">
        <f t="shared" ca="1" si="82"/>
        <v>104760.04767436658</v>
      </c>
      <c r="Q158" s="38">
        <f t="shared" ca="1" si="82"/>
        <v>114269.63033933456</v>
      </c>
      <c r="R158" s="38">
        <f t="shared" ca="1" si="82"/>
        <v>123354.60020421662</v>
      </c>
      <c r="S158" s="38">
        <f t="shared" ca="1" si="82"/>
        <v>131705.54150777936</v>
      </c>
      <c r="T158" s="38">
        <f t="shared" ca="1" si="82"/>
        <v>139010.26654382434</v>
      </c>
      <c r="U158" s="38">
        <f t="shared" ca="1" si="82"/>
        <v>150316.82601917774</v>
      </c>
    </row>
    <row r="159" spans="1:21" ht="16" customHeight="1" x14ac:dyDescent="0.2">
      <c r="B159" s="5" t="s">
        <v>84</v>
      </c>
      <c r="E159" s="38">
        <f>E152</f>
        <v>5267</v>
      </c>
      <c r="F159" s="38">
        <f t="shared" ref="F159:U159" si="83">F152</f>
        <v>6103</v>
      </c>
      <c r="G159" s="38">
        <f t="shared" si="83"/>
        <v>8164</v>
      </c>
      <c r="H159" s="38">
        <f t="shared" si="83"/>
        <v>10856</v>
      </c>
      <c r="I159" s="38">
        <f t="shared" si="83"/>
        <v>12905</v>
      </c>
      <c r="J159" s="115">
        <f t="shared" si="83"/>
        <v>11555</v>
      </c>
      <c r="K159" s="38">
        <f t="shared" ca="1" si="83"/>
        <v>16799.904535123391</v>
      </c>
      <c r="L159" s="38">
        <f t="shared" ca="1" si="83"/>
        <v>18440.470141814309</v>
      </c>
      <c r="M159" s="38">
        <f t="shared" ca="1" si="83"/>
        <v>20792.540447350668</v>
      </c>
      <c r="N159" s="38">
        <f t="shared" ca="1" si="83"/>
        <v>22701.23735689466</v>
      </c>
      <c r="O159" s="38">
        <f t="shared" ca="1" si="83"/>
        <v>24164.454418327776</v>
      </c>
      <c r="P159" s="38">
        <f t="shared" ca="1" si="83"/>
        <v>27656.061238359023</v>
      </c>
      <c r="Q159" s="38">
        <f t="shared" ca="1" si="83"/>
        <v>30057.073434096732</v>
      </c>
      <c r="R159" s="38">
        <f t="shared" ca="1" si="83"/>
        <v>32231.846879604025</v>
      </c>
      <c r="S159" s="38">
        <f t="shared" ca="1" si="83"/>
        <v>34147.154197145042</v>
      </c>
      <c r="T159" s="38">
        <f t="shared" ca="1" si="83"/>
        <v>35894.294492841596</v>
      </c>
      <c r="U159" s="38">
        <f t="shared" ca="1" si="83"/>
        <v>37570.400353421363</v>
      </c>
    </row>
    <row r="160" spans="1:21" ht="16" customHeight="1" x14ac:dyDescent="0.2">
      <c r="B160" s="5" t="s">
        <v>85</v>
      </c>
      <c r="E160" s="38">
        <f t="shared" ref="E160:U160" si="84">E97</f>
        <v>10212</v>
      </c>
      <c r="F160" s="38">
        <f t="shared" si="84"/>
        <v>13184</v>
      </c>
      <c r="G160" s="38">
        <f t="shared" si="84"/>
        <v>25139</v>
      </c>
      <c r="H160" s="38">
        <f t="shared" si="84"/>
        <v>23548</v>
      </c>
      <c r="I160" s="38">
        <f t="shared" si="84"/>
        <v>22281</v>
      </c>
      <c r="J160" s="115">
        <f t="shared" si="84"/>
        <v>24640</v>
      </c>
      <c r="K160" s="38">
        <f t="shared" ca="1" si="84"/>
        <v>34230.01040844198</v>
      </c>
      <c r="L160" s="38">
        <f t="shared" ca="1" si="84"/>
        <v>34498.594500216917</v>
      </c>
      <c r="M160" s="38">
        <f t="shared" ca="1" si="84"/>
        <v>37752.718982548489</v>
      </c>
      <c r="N160" s="38">
        <f t="shared" ca="1" si="84"/>
        <v>43987.150633452853</v>
      </c>
      <c r="O160" s="38">
        <f t="shared" ca="1" si="84"/>
        <v>47801.303343237334</v>
      </c>
      <c r="P160" s="38">
        <f t="shared" ca="1" si="84"/>
        <v>52413.902344347865</v>
      </c>
      <c r="Q160" s="38">
        <f t="shared" ca="1" si="84"/>
        <v>57416.795232311481</v>
      </c>
      <c r="R160" s="38">
        <f t="shared" ca="1" si="84"/>
        <v>61533.994705994024</v>
      </c>
      <c r="S160" s="38">
        <f t="shared" ca="1" si="84"/>
        <v>65558.188915198756</v>
      </c>
      <c r="T160" s="38">
        <f t="shared" ca="1" si="84"/>
        <v>69098.219560778496</v>
      </c>
      <c r="U160" s="38">
        <f t="shared" ca="1" si="84"/>
        <v>71827.57843187009</v>
      </c>
    </row>
    <row r="161" spans="2:21" ht="16" customHeight="1" x14ac:dyDescent="0.2">
      <c r="B161" s="5" t="s">
        <v>86</v>
      </c>
      <c r="E161" s="38">
        <f t="shared" ref="E161:U161" si="85">E100</f>
        <v>-2212</v>
      </c>
      <c r="F161" s="38">
        <f t="shared" si="85"/>
        <v>-4065</v>
      </c>
      <c r="G161" s="38">
        <f t="shared" si="85"/>
        <v>-6338</v>
      </c>
      <c r="H161" s="38">
        <f t="shared" si="85"/>
        <v>-2920</v>
      </c>
      <c r="I161" s="38">
        <f t="shared" si="85"/>
        <v>-5434</v>
      </c>
      <c r="J161" s="115">
        <f t="shared" si="85"/>
        <v>2980</v>
      </c>
      <c r="K161" s="38">
        <f t="shared" ca="1" si="85"/>
        <v>2812.6670999999997</v>
      </c>
      <c r="L161" s="38">
        <f t="shared" ca="1" si="85"/>
        <v>-5831.458165869497</v>
      </c>
      <c r="M161" s="38">
        <f t="shared" ca="1" si="85"/>
        <v>-6298.3103217779008</v>
      </c>
      <c r="N161" s="38">
        <f t="shared" ca="1" si="85"/>
        <v>-6030.9567989552261</v>
      </c>
      <c r="O161" s="38">
        <f t="shared" ca="1" si="85"/>
        <v>-4825.462610887238</v>
      </c>
      <c r="P161" s="38">
        <f t="shared" ca="1" si="85"/>
        <v>-4849.5100587348325</v>
      </c>
      <c r="Q161" s="38">
        <f t="shared" ca="1" si="85"/>
        <v>-3869.1049479053172</v>
      </c>
      <c r="R161" s="38">
        <f t="shared" ca="1" si="85"/>
        <v>-5661.4934136519569</v>
      </c>
      <c r="S161" s="38">
        <f t="shared" ca="1" si="85"/>
        <v>-7716.9972365349568</v>
      </c>
      <c r="T161" s="38">
        <f t="shared" ca="1" si="85"/>
        <v>-7615.4261618249793</v>
      </c>
      <c r="U161" s="38">
        <f t="shared" ca="1" si="85"/>
        <v>-7387.1386188805873</v>
      </c>
    </row>
    <row r="162" spans="2:21" ht="16" customHeight="1" x14ac:dyDescent="0.2">
      <c r="J162" s="46"/>
    </row>
    <row r="163" spans="2:21" ht="16" customHeight="1" x14ac:dyDescent="0.2">
      <c r="B163" s="91" t="s">
        <v>87</v>
      </c>
      <c r="C163" s="91"/>
      <c r="D163" s="91"/>
      <c r="E163" s="90">
        <f>E158+E159-E160-E161</f>
        <v>16311</v>
      </c>
      <c r="F163" s="90">
        <f t="shared" ref="F163:U163" si="86">F158+F159-F160-F161</f>
        <v>11335</v>
      </c>
      <c r="G163" s="90">
        <f t="shared" si="86"/>
        <v>16578</v>
      </c>
      <c r="H163" s="90">
        <f t="shared" si="86"/>
        <v>19177</v>
      </c>
      <c r="I163" s="90">
        <f t="shared" si="86"/>
        <v>29469</v>
      </c>
      <c r="J163" s="118">
        <f t="shared" si="86"/>
        <v>47948</v>
      </c>
      <c r="K163" s="90">
        <f t="shared" ca="1" si="86"/>
        <v>44732.872192725365</v>
      </c>
      <c r="L163" s="90">
        <f t="shared" ca="1" si="86"/>
        <v>57434.280687883773</v>
      </c>
      <c r="M163" s="90">
        <f t="shared" ca="1" si="86"/>
        <v>65717.525640682143</v>
      </c>
      <c r="N163" s="90">
        <f t="shared" ca="1" si="86"/>
        <v>70329.148401382976</v>
      </c>
      <c r="O163" s="90">
        <f t="shared" ca="1" si="86"/>
        <v>76302.546804503247</v>
      </c>
      <c r="P163" s="90">
        <f t="shared" ca="1" si="86"/>
        <v>84851.716627112575</v>
      </c>
      <c r="Q163" s="90">
        <f t="shared" ca="1" si="86"/>
        <v>90779.01348902515</v>
      </c>
      <c r="R163" s="90">
        <f t="shared" ca="1" si="86"/>
        <v>99713.945791478574</v>
      </c>
      <c r="S163" s="90">
        <f t="shared" ca="1" si="86"/>
        <v>108011.50402626061</v>
      </c>
      <c r="T163" s="90">
        <f t="shared" ca="1" si="86"/>
        <v>113421.7676377124</v>
      </c>
      <c r="U163" s="90">
        <f t="shared" ca="1" si="86"/>
        <v>123446.78655960961</v>
      </c>
    </row>
    <row r="164" spans="2:21" ht="16" customHeight="1" x14ac:dyDescent="0.2">
      <c r="E164" s="38"/>
    </row>
  </sheetData>
  <sheetProtection algorithmName="SHA-512" hashValue="bdU8VCHmnFUM3Ad/r7y2/xePH3UrpeNQkXTV0zp7mMJD0ugSpwjqlJpB4j4bOnVRL/nbzzPCEpqBI/5WfaafZw==" saltValue="QWiL+LfqxU9+Yjz8g2Ll9A==" spinCount="100000" sheet="1" objects="1" scenarios="1" selectLockedCells="1"/>
  <mergeCells count="4">
    <mergeCell ref="D137:H138"/>
    <mergeCell ref="L137:P138"/>
    <mergeCell ref="B140:B144"/>
    <mergeCell ref="J140:J144"/>
  </mergeCells>
  <pageMargins left="0.7" right="0.7" top="0.75" bottom="0.75" header="0.3" footer="0.3"/>
  <ignoredErrors>
    <ignoredError sqref="T22"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31AD9-7D3F-AD4A-A516-9F3CEDEC7096}">
  <dimension ref="B1:AJ47"/>
  <sheetViews>
    <sheetView zoomScaleNormal="100" workbookViewId="0">
      <pane xSplit="2" ySplit="2" topLeftCell="C3" activePane="bottomRight" state="frozen"/>
      <selection activeCell="H133" sqref="H133"/>
      <selection pane="topRight" activeCell="H133" sqref="H133"/>
      <selection pane="bottomLeft" activeCell="H133" sqref="H133"/>
      <selection pane="bottomRight" activeCell="H27" sqref="H27"/>
    </sheetView>
  </sheetViews>
  <sheetFormatPr baseColWidth="10" defaultRowHeight="16" x14ac:dyDescent="0.2"/>
  <cols>
    <col min="2" max="2" width="26.83203125" customWidth="1"/>
    <col min="24" max="24" width="10.83203125" customWidth="1"/>
    <col min="25" max="34" width="10.83203125" hidden="1" customWidth="1"/>
    <col min="36" max="36" width="10.83203125" customWidth="1"/>
  </cols>
  <sheetData>
    <row r="1" spans="2:35" x14ac:dyDescent="0.2">
      <c r="B1" s="62" t="e" vm="1">
        <v>#VALUE!</v>
      </c>
      <c r="C1" s="140"/>
      <c r="D1" s="140"/>
      <c r="E1" s="140"/>
      <c r="F1" s="140"/>
      <c r="G1" s="140"/>
      <c r="H1" s="140"/>
      <c r="I1" s="141">
        <v>44834</v>
      </c>
      <c r="J1" s="141">
        <v>44926</v>
      </c>
      <c r="L1" s="141"/>
      <c r="M1" s="140"/>
      <c r="N1" s="140"/>
      <c r="O1" s="140"/>
    </row>
    <row r="2" spans="2:35" x14ac:dyDescent="0.2">
      <c r="B2" s="142" t="s">
        <v>88</v>
      </c>
      <c r="C2" s="143" t="s">
        <v>89</v>
      </c>
      <c r="D2" s="143" t="s">
        <v>90</v>
      </c>
      <c r="E2" s="143" t="s">
        <v>91</v>
      </c>
      <c r="F2" s="143" t="s">
        <v>92</v>
      </c>
      <c r="G2" s="143" t="s">
        <v>93</v>
      </c>
      <c r="H2" s="143" t="s">
        <v>94</v>
      </c>
      <c r="I2" s="143" t="s">
        <v>95</v>
      </c>
      <c r="J2" s="143" t="s">
        <v>96</v>
      </c>
      <c r="K2" s="143" t="s">
        <v>97</v>
      </c>
      <c r="L2" s="143" t="s">
        <v>98</v>
      </c>
      <c r="M2" s="143" t="s">
        <v>99</v>
      </c>
      <c r="N2" s="143" t="s">
        <v>100</v>
      </c>
      <c r="O2" s="140"/>
      <c r="Q2" s="140" t="s">
        <v>101</v>
      </c>
      <c r="R2" s="140" t="s">
        <v>102</v>
      </c>
      <c r="S2" s="140" t="s">
        <v>103</v>
      </c>
      <c r="T2" s="144">
        <v>2019</v>
      </c>
      <c r="U2" s="144">
        <f>T2+1</f>
        <v>2020</v>
      </c>
      <c r="V2" s="144">
        <f t="shared" ref="V2" si="0">U2+1</f>
        <v>2021</v>
      </c>
      <c r="W2" s="145" t="s">
        <v>104</v>
      </c>
      <c r="X2" s="146">
        <v>2023</v>
      </c>
      <c r="Y2" s="146">
        <f>X2+1</f>
        <v>2024</v>
      </c>
      <c r="Z2" s="146">
        <f t="shared" ref="Z2:AH2" si="1">Y2+1</f>
        <v>2025</v>
      </c>
      <c r="AA2" s="146">
        <f t="shared" si="1"/>
        <v>2026</v>
      </c>
      <c r="AB2" s="146">
        <f t="shared" si="1"/>
        <v>2027</v>
      </c>
      <c r="AC2" s="146">
        <f t="shared" si="1"/>
        <v>2028</v>
      </c>
      <c r="AD2" s="146">
        <f t="shared" si="1"/>
        <v>2029</v>
      </c>
      <c r="AE2" s="146">
        <f t="shared" si="1"/>
        <v>2030</v>
      </c>
      <c r="AF2" s="146">
        <f t="shared" si="1"/>
        <v>2031</v>
      </c>
      <c r="AG2" s="146">
        <f t="shared" si="1"/>
        <v>2032</v>
      </c>
      <c r="AH2" s="146">
        <f t="shared" si="1"/>
        <v>2033</v>
      </c>
    </row>
    <row r="3" spans="2:35" x14ac:dyDescent="0.2">
      <c r="B3" t="s">
        <v>136</v>
      </c>
      <c r="C3" s="138">
        <v>31879</v>
      </c>
      <c r="D3" s="138">
        <v>35845</v>
      </c>
      <c r="E3" s="138">
        <v>37926</v>
      </c>
      <c r="F3" s="138">
        <v>43301</v>
      </c>
      <c r="G3" s="138">
        <v>39618</v>
      </c>
      <c r="H3" s="138">
        <v>40689</v>
      </c>
      <c r="I3" s="138">
        <v>39539</v>
      </c>
      <c r="J3" s="147">
        <f>F3*(1+J24)</f>
        <v>43734.01</v>
      </c>
      <c r="K3" s="147">
        <f t="shared" ref="K3:N7" si="2">G3*(1+K24)</f>
        <v>40806.54</v>
      </c>
      <c r="L3" s="147">
        <f t="shared" si="2"/>
        <v>42723.450000000004</v>
      </c>
      <c r="M3" s="147">
        <f t="shared" si="2"/>
        <v>41911.340000000004</v>
      </c>
      <c r="N3" s="147">
        <f t="shared" si="2"/>
        <v>47232.730800000005</v>
      </c>
      <c r="O3" s="138"/>
      <c r="P3" s="138"/>
      <c r="Q3" s="138"/>
      <c r="R3" s="138">
        <v>69811</v>
      </c>
      <c r="S3" s="147">
        <v>85296</v>
      </c>
      <c r="T3" s="138">
        <v>98115</v>
      </c>
      <c r="U3" s="138">
        <v>104062</v>
      </c>
      <c r="V3" s="138">
        <f>SUM(C3:F3)</f>
        <v>148951</v>
      </c>
      <c r="W3" s="138">
        <f>SUM(G3:J3)</f>
        <v>163580.01</v>
      </c>
      <c r="X3" s="138">
        <f>SUM(K3:N3)</f>
        <v>172674.06080000004</v>
      </c>
      <c r="Y3" s="138"/>
      <c r="Z3" s="138"/>
      <c r="AA3" s="138"/>
      <c r="AB3" s="138"/>
      <c r="AC3" s="138"/>
      <c r="AD3" s="138"/>
      <c r="AE3" s="138"/>
      <c r="AF3" s="138"/>
      <c r="AG3" s="138"/>
      <c r="AH3" s="153"/>
      <c r="AI3" s="138"/>
    </row>
    <row r="4" spans="2:35" x14ac:dyDescent="0.2">
      <c r="B4" t="s">
        <v>137</v>
      </c>
      <c r="C4" s="138">
        <v>6005</v>
      </c>
      <c r="D4" s="138">
        <v>7002</v>
      </c>
      <c r="E4" s="138">
        <v>7205</v>
      </c>
      <c r="F4" s="138">
        <v>8633</v>
      </c>
      <c r="G4" s="138">
        <v>6869</v>
      </c>
      <c r="H4" s="138">
        <v>7340</v>
      </c>
      <c r="I4" s="138">
        <v>7071</v>
      </c>
      <c r="J4" s="147">
        <f t="shared" ref="J4:J7" si="3">F4*(1+J25)</f>
        <v>8633</v>
      </c>
      <c r="K4" s="147">
        <f t="shared" si="2"/>
        <v>7006.38</v>
      </c>
      <c r="L4" s="147">
        <f t="shared" si="2"/>
        <v>7707</v>
      </c>
      <c r="M4" s="147">
        <f t="shared" si="2"/>
        <v>7495.26</v>
      </c>
      <c r="N4" s="147">
        <f t="shared" si="2"/>
        <v>9237.3100000000013</v>
      </c>
      <c r="O4" s="138"/>
      <c r="P4" s="138"/>
      <c r="Q4" s="138"/>
      <c r="R4" s="138">
        <v>8150</v>
      </c>
      <c r="S4" s="147">
        <v>11155</v>
      </c>
      <c r="T4" s="138">
        <v>15149</v>
      </c>
      <c r="U4" s="138">
        <v>19772</v>
      </c>
      <c r="V4" s="138">
        <f t="shared" ref="V4:V9" si="4">SUM(C4:F4)</f>
        <v>28845</v>
      </c>
      <c r="W4" s="138">
        <f>SUM(G4:J4)</f>
        <v>29913</v>
      </c>
      <c r="X4" s="138">
        <f>SUM(K4:N4)</f>
        <v>31445.95</v>
      </c>
      <c r="Y4" s="138"/>
      <c r="Z4" s="138"/>
      <c r="AA4" s="138"/>
      <c r="AB4" s="138"/>
      <c r="AC4" s="138"/>
      <c r="AD4" s="138"/>
      <c r="AE4" s="138"/>
      <c r="AF4" s="138"/>
      <c r="AG4" s="138"/>
      <c r="AH4" s="153"/>
      <c r="AI4" s="138"/>
    </row>
    <row r="5" spans="2:35" x14ac:dyDescent="0.2">
      <c r="B5" t="s">
        <v>138</v>
      </c>
      <c r="C5" s="138">
        <v>6800</v>
      </c>
      <c r="D5" s="138">
        <v>7597</v>
      </c>
      <c r="E5" s="138">
        <v>7999</v>
      </c>
      <c r="F5" s="138">
        <v>9305</v>
      </c>
      <c r="G5" s="138">
        <v>8174</v>
      </c>
      <c r="H5" s="138">
        <v>8259</v>
      </c>
      <c r="I5" s="138">
        <v>7872</v>
      </c>
      <c r="J5" s="147">
        <f t="shared" si="3"/>
        <v>8932.7999999999993</v>
      </c>
      <c r="K5" s="147">
        <f t="shared" si="2"/>
        <v>8092.26</v>
      </c>
      <c r="L5" s="147">
        <f t="shared" si="2"/>
        <v>8424.18</v>
      </c>
      <c r="M5" s="147">
        <f t="shared" si="2"/>
        <v>8108.16</v>
      </c>
      <c r="N5" s="147">
        <f t="shared" si="2"/>
        <v>9379.44</v>
      </c>
      <c r="O5" s="138"/>
      <c r="P5" s="138"/>
      <c r="Q5" s="138"/>
      <c r="R5" s="138">
        <v>17616</v>
      </c>
      <c r="S5" s="147">
        <v>20010</v>
      </c>
      <c r="T5" s="138">
        <v>21547</v>
      </c>
      <c r="U5" s="138">
        <v>23090</v>
      </c>
      <c r="V5" s="138">
        <f t="shared" si="4"/>
        <v>31701</v>
      </c>
      <c r="W5" s="138">
        <f>SUM(G5:J5)</f>
        <v>33237.800000000003</v>
      </c>
      <c r="X5" s="138">
        <f>SUM(K5:N5)</f>
        <v>34004.04</v>
      </c>
      <c r="Y5" s="138"/>
      <c r="Z5" s="138"/>
      <c r="AA5" s="138"/>
      <c r="AB5" s="138"/>
      <c r="AC5" s="138"/>
      <c r="AD5" s="138"/>
      <c r="AE5" s="138"/>
      <c r="AF5" s="138"/>
      <c r="AG5" s="138"/>
      <c r="AH5" s="153"/>
      <c r="AI5" s="138"/>
    </row>
    <row r="6" spans="2:35" x14ac:dyDescent="0.2">
      <c r="B6" t="s">
        <v>25</v>
      </c>
      <c r="C6" s="138">
        <v>6494</v>
      </c>
      <c r="D6" s="138">
        <v>6623</v>
      </c>
      <c r="E6" s="138">
        <v>6754</v>
      </c>
      <c r="F6" s="138">
        <v>8161</v>
      </c>
      <c r="G6" s="138">
        <v>6811</v>
      </c>
      <c r="H6" s="138">
        <v>6553</v>
      </c>
      <c r="I6" s="138">
        <v>6895</v>
      </c>
      <c r="J6" s="147">
        <f t="shared" si="3"/>
        <v>7997.78</v>
      </c>
      <c r="K6" s="147">
        <f t="shared" si="2"/>
        <v>6879.11</v>
      </c>
      <c r="L6" s="147">
        <f t="shared" si="2"/>
        <v>6684.06</v>
      </c>
      <c r="M6" s="147">
        <f t="shared" si="2"/>
        <v>7101.85</v>
      </c>
      <c r="N6" s="147">
        <f t="shared" si="2"/>
        <v>8397.6689999999999</v>
      </c>
      <c r="O6" s="147"/>
      <c r="P6" s="147"/>
      <c r="Q6" s="147"/>
      <c r="R6" s="147">
        <v>10914</v>
      </c>
      <c r="S6" s="147">
        <v>14063</v>
      </c>
      <c r="T6" s="138">
        <v>17014</v>
      </c>
      <c r="U6" s="138">
        <v>21711</v>
      </c>
      <c r="V6" s="138">
        <f>SUM(C6:F6)</f>
        <v>28032</v>
      </c>
      <c r="W6" s="138">
        <f>SUM(G6:J6)</f>
        <v>28256.78</v>
      </c>
      <c r="X6" s="138">
        <f>SUM(K6:N6)</f>
        <v>29062.688999999998</v>
      </c>
      <c r="Y6" s="138"/>
      <c r="Z6" s="138"/>
      <c r="AA6" s="138"/>
      <c r="AB6" s="138"/>
      <c r="AC6" s="138"/>
      <c r="AD6" s="138"/>
      <c r="AE6" s="138"/>
      <c r="AF6" s="138"/>
      <c r="AG6" s="138"/>
      <c r="AH6" s="153"/>
      <c r="AI6" s="138"/>
    </row>
    <row r="7" spans="2:35" x14ac:dyDescent="0.2">
      <c r="B7" t="s">
        <v>139</v>
      </c>
      <c r="C7" s="138">
        <v>4047</v>
      </c>
      <c r="D7" s="138">
        <v>4628</v>
      </c>
      <c r="E7" s="138">
        <v>4990</v>
      </c>
      <c r="F7" s="138">
        <v>5541</v>
      </c>
      <c r="G7" s="138">
        <v>5821</v>
      </c>
      <c r="H7" s="138">
        <v>6276</v>
      </c>
      <c r="I7" s="138">
        <v>6868</v>
      </c>
      <c r="J7" s="147">
        <f t="shared" si="3"/>
        <v>7314.12</v>
      </c>
      <c r="K7" s="147">
        <f>G7*(1+K28)</f>
        <v>7858.35</v>
      </c>
      <c r="L7" s="147">
        <f t="shared" si="2"/>
        <v>8598.1200000000008</v>
      </c>
      <c r="M7" s="147">
        <f t="shared" si="2"/>
        <v>9615.1999999999989</v>
      </c>
      <c r="N7" s="147">
        <f t="shared" si="2"/>
        <v>10605.474</v>
      </c>
      <c r="O7" s="138"/>
      <c r="P7" s="138"/>
      <c r="Q7" s="138"/>
      <c r="R7" s="138">
        <v>4056</v>
      </c>
      <c r="S7" s="138">
        <v>5838</v>
      </c>
      <c r="T7" s="138">
        <v>8918</v>
      </c>
      <c r="U7" s="138">
        <v>13059</v>
      </c>
      <c r="V7" s="138">
        <f t="shared" si="4"/>
        <v>19206</v>
      </c>
      <c r="W7" s="138">
        <f>SUM(G7:J7)</f>
        <v>26279.119999999999</v>
      </c>
      <c r="X7" s="138">
        <f>SUM(K7:N7)</f>
        <v>36677.144</v>
      </c>
      <c r="Y7" s="138"/>
      <c r="Z7" s="138"/>
      <c r="AA7" s="138"/>
      <c r="AB7" s="138"/>
      <c r="AC7" s="138"/>
      <c r="AD7" s="138"/>
      <c r="AE7" s="138"/>
      <c r="AF7" s="138"/>
      <c r="AG7" s="138"/>
      <c r="AH7" s="153"/>
      <c r="AI7" s="138"/>
    </row>
    <row r="8" spans="2:35" x14ac:dyDescent="0.2">
      <c r="B8" t="s">
        <v>121</v>
      </c>
      <c r="C8" s="138">
        <v>198</v>
      </c>
      <c r="D8" s="138">
        <v>192</v>
      </c>
      <c r="E8" s="138">
        <v>182</v>
      </c>
      <c r="F8" s="138">
        <v>181</v>
      </c>
      <c r="G8" s="138">
        <v>440</v>
      </c>
      <c r="H8" s="138">
        <v>193</v>
      </c>
      <c r="I8" s="138">
        <v>209</v>
      </c>
      <c r="J8" s="148">
        <v>200</v>
      </c>
      <c r="K8" s="148">
        <v>200</v>
      </c>
      <c r="L8" s="148">
        <v>200</v>
      </c>
      <c r="M8" s="148">
        <v>200</v>
      </c>
      <c r="N8" s="148">
        <v>200</v>
      </c>
      <c r="O8" s="138"/>
      <c r="P8" s="138"/>
      <c r="Q8" s="138"/>
      <c r="R8" s="138">
        <v>477</v>
      </c>
      <c r="S8" s="138">
        <v>595</v>
      </c>
      <c r="T8" s="138">
        <v>659</v>
      </c>
      <c r="U8" s="138">
        <v>657</v>
      </c>
      <c r="V8" s="138">
        <f t="shared" si="4"/>
        <v>753</v>
      </c>
      <c r="W8" s="138">
        <f>SUM(G8:J8)</f>
        <v>1042</v>
      </c>
      <c r="X8" s="138">
        <f>SUM(K8:N8)</f>
        <v>800</v>
      </c>
      <c r="Y8" s="138"/>
      <c r="Z8" s="138"/>
      <c r="AA8" s="138"/>
      <c r="AB8" s="138"/>
      <c r="AC8" s="138"/>
      <c r="AD8" s="138"/>
      <c r="AE8" s="138"/>
      <c r="AF8" s="138"/>
      <c r="AG8" s="138"/>
      <c r="AH8" s="153"/>
      <c r="AI8" s="138"/>
    </row>
    <row r="9" spans="2:35" x14ac:dyDescent="0.2">
      <c r="B9" t="s">
        <v>122</v>
      </c>
      <c r="C9" s="138">
        <v>-109</v>
      </c>
      <c r="D9" s="138">
        <v>-7</v>
      </c>
      <c r="E9" s="138">
        <v>62</v>
      </c>
      <c r="F9" s="138">
        <v>203</v>
      </c>
      <c r="G9" s="138">
        <v>278</v>
      </c>
      <c r="H9" s="138">
        <v>375</v>
      </c>
      <c r="I9" s="138">
        <v>638</v>
      </c>
      <c r="J9" s="148">
        <v>350</v>
      </c>
      <c r="K9" s="148">
        <v>350</v>
      </c>
      <c r="L9" s="148">
        <v>350</v>
      </c>
      <c r="M9" s="148">
        <v>350</v>
      </c>
      <c r="N9" s="148">
        <v>350</v>
      </c>
      <c r="O9" s="138"/>
      <c r="P9" s="138"/>
      <c r="Q9" s="138"/>
      <c r="R9" s="138">
        <v>-169</v>
      </c>
      <c r="S9" s="138">
        <v>-138</v>
      </c>
      <c r="T9" s="138">
        <v>455</v>
      </c>
      <c r="U9" s="138">
        <v>176</v>
      </c>
      <c r="V9" s="138">
        <f t="shared" si="4"/>
        <v>149</v>
      </c>
      <c r="W9" s="138">
        <f>SUM(G9:J9)</f>
        <v>1641</v>
      </c>
      <c r="X9" s="138">
        <f>SUM(K9:N9)</f>
        <v>1400</v>
      </c>
      <c r="Y9" s="138"/>
      <c r="Z9" s="138"/>
      <c r="AA9" s="138"/>
      <c r="AB9" s="138"/>
      <c r="AC9" s="138"/>
      <c r="AD9" s="138"/>
      <c r="AE9" s="138"/>
      <c r="AF9" s="138"/>
      <c r="AG9" s="138"/>
      <c r="AH9" s="156"/>
      <c r="AI9" s="138"/>
    </row>
    <row r="10" spans="2:35" x14ac:dyDescent="0.2">
      <c r="B10" s="137" t="s">
        <v>123</v>
      </c>
      <c r="C10" s="139">
        <f t="shared" ref="C10" si="5">SUM(C3:C9)</f>
        <v>55314</v>
      </c>
      <c r="D10" s="139">
        <f t="shared" ref="D10" si="6">SUM(D3:D9)</f>
        <v>61880</v>
      </c>
      <c r="E10" s="139">
        <f t="shared" ref="E10" si="7">SUM(E3:E9)</f>
        <v>65118</v>
      </c>
      <c r="F10" s="139">
        <f t="shared" ref="F10" si="8">SUM(F3:F9)</f>
        <v>75325</v>
      </c>
      <c r="G10" s="139">
        <f t="shared" ref="G10" si="9">SUM(G3:G9)</f>
        <v>68011</v>
      </c>
      <c r="H10" s="139">
        <f t="shared" ref="H10" si="10">SUM(H3:H9)</f>
        <v>69685</v>
      </c>
      <c r="I10" s="139">
        <f>SUM(I3:I9)</f>
        <v>69092</v>
      </c>
      <c r="J10" s="139">
        <f>SUM(J3:J9)</f>
        <v>77161.709999999992</v>
      </c>
      <c r="K10" s="139">
        <f>SUM(K3:K9)</f>
        <v>71192.639999999999</v>
      </c>
      <c r="L10" s="139">
        <f t="shared" ref="L10" si="11">SUM(L3:L9)</f>
        <v>74686.81</v>
      </c>
      <c r="M10" s="139">
        <f t="shared" ref="M10" si="12">SUM(M3:M9)</f>
        <v>74781.810000000012</v>
      </c>
      <c r="N10" s="139">
        <f t="shared" ref="N10" si="13">SUM(N3:N9)</f>
        <v>85402.623800000001</v>
      </c>
      <c r="O10" s="138"/>
      <c r="P10" s="138"/>
      <c r="Q10" s="139">
        <v>90272</v>
      </c>
      <c r="R10" s="139">
        <f t="shared" ref="Q10:S10" si="14">SUM(R3:R9)</f>
        <v>110855</v>
      </c>
      <c r="S10" s="139">
        <f t="shared" si="14"/>
        <v>136819</v>
      </c>
      <c r="T10" s="139">
        <f>SUM(T3:T9)</f>
        <v>161857</v>
      </c>
      <c r="U10" s="139">
        <f t="shared" ref="U10:V10" si="15">SUM(U3:U9)</f>
        <v>182527</v>
      </c>
      <c r="V10" s="139">
        <f t="shared" si="15"/>
        <v>257637</v>
      </c>
      <c r="W10" s="139">
        <f t="shared" ref="W10" si="16">SUM(W3:W9)</f>
        <v>283949.71000000002</v>
      </c>
      <c r="X10" s="139">
        <f t="shared" ref="X10" si="17">SUM(X3:X9)</f>
        <v>306063.88380000007</v>
      </c>
      <c r="Y10" s="138"/>
      <c r="Z10" s="138"/>
      <c r="AA10" s="138"/>
      <c r="AB10" s="138"/>
      <c r="AC10" s="138"/>
      <c r="AD10" s="138"/>
      <c r="AE10" s="138"/>
      <c r="AF10" s="138"/>
      <c r="AG10" s="138"/>
      <c r="AH10" s="156"/>
      <c r="AI10" s="138"/>
    </row>
    <row r="11" spans="2:35" x14ac:dyDescent="0.2">
      <c r="B11" t="s">
        <v>124</v>
      </c>
      <c r="C11" s="138">
        <v>24103</v>
      </c>
      <c r="D11" s="138">
        <v>26227</v>
      </c>
      <c r="E11" s="138">
        <v>27621</v>
      </c>
      <c r="F11" s="138">
        <v>32988</v>
      </c>
      <c r="G11" s="138">
        <v>29599</v>
      </c>
      <c r="H11" s="138">
        <v>30104</v>
      </c>
      <c r="I11" s="138">
        <v>31158</v>
      </c>
      <c r="J11" s="138">
        <f>J10*(1-J31)</f>
        <v>33904.188966347421</v>
      </c>
      <c r="K11" s="138">
        <f t="shared" ref="K11:N11" si="18">K10*(1-K31)</f>
        <v>31380.682081832216</v>
      </c>
      <c r="L11" s="138">
        <f t="shared" si="18"/>
        <v>33139.552761604748</v>
      </c>
      <c r="M11" s="138">
        <f t="shared" si="18"/>
        <v>33000.974373570272</v>
      </c>
      <c r="N11" s="138">
        <f t="shared" si="18"/>
        <v>37742.149091419182</v>
      </c>
      <c r="O11" s="138"/>
      <c r="P11" s="138"/>
      <c r="Q11" s="138">
        <v>35138</v>
      </c>
      <c r="R11" s="138">
        <v>45583</v>
      </c>
      <c r="S11" s="138">
        <v>59549</v>
      </c>
      <c r="T11" s="138">
        <v>71896</v>
      </c>
      <c r="U11" s="138">
        <v>84732</v>
      </c>
      <c r="V11" s="138">
        <f t="shared" ref="V11:V15" si="19">SUM(C11:F11)</f>
        <v>110939</v>
      </c>
      <c r="W11" s="138">
        <f>SUM(G11:J11)</f>
        <v>124765.18896634743</v>
      </c>
      <c r="X11" s="138">
        <f>SUM(K11:N11)</f>
        <v>135263.35830842642</v>
      </c>
      <c r="Y11" s="138"/>
      <c r="Z11" s="138"/>
      <c r="AA11" s="138"/>
      <c r="AB11" s="138"/>
      <c r="AC11" s="138"/>
      <c r="AD11" s="138"/>
      <c r="AE11" s="138"/>
      <c r="AF11" s="138"/>
      <c r="AG11" s="138"/>
      <c r="AH11" s="153"/>
      <c r="AI11" s="138"/>
    </row>
    <row r="12" spans="2:35" x14ac:dyDescent="0.2">
      <c r="B12" s="137" t="s">
        <v>125</v>
      </c>
      <c r="C12" s="139">
        <f t="shared" ref="C12:H12" si="20">C10-C11</f>
        <v>31211</v>
      </c>
      <c r="D12" s="139">
        <f t="shared" si="20"/>
        <v>35653</v>
      </c>
      <c r="E12" s="139">
        <f t="shared" si="20"/>
        <v>37497</v>
      </c>
      <c r="F12" s="139">
        <f t="shared" si="20"/>
        <v>42337</v>
      </c>
      <c r="G12" s="139">
        <f t="shared" si="20"/>
        <v>38412</v>
      </c>
      <c r="H12" s="139">
        <f t="shared" si="20"/>
        <v>39581</v>
      </c>
      <c r="I12" s="139">
        <f t="shared" ref="I12:N12" si="21">I10-I11</f>
        <v>37934</v>
      </c>
      <c r="J12" s="139">
        <f t="shared" si="21"/>
        <v>43257.521033652571</v>
      </c>
      <c r="K12" s="139">
        <f t="shared" si="21"/>
        <v>39811.957918167784</v>
      </c>
      <c r="L12" s="139">
        <f t="shared" si="21"/>
        <v>41547.25723839525</v>
      </c>
      <c r="M12" s="139">
        <f t="shared" si="21"/>
        <v>41780.83562642974</v>
      </c>
      <c r="N12" s="139">
        <f t="shared" si="21"/>
        <v>47660.474708580819</v>
      </c>
      <c r="O12" s="139"/>
      <c r="P12" s="138"/>
      <c r="Q12" s="139">
        <f t="shared" ref="Q12" si="22">Q10-Q11</f>
        <v>55134</v>
      </c>
      <c r="R12" s="139">
        <f t="shared" ref="R12" si="23">R10-R11</f>
        <v>65272</v>
      </c>
      <c r="S12" s="139">
        <f t="shared" ref="S12" si="24">S10-S11</f>
        <v>77270</v>
      </c>
      <c r="T12" s="139">
        <f t="shared" ref="T12" si="25">T10-T11</f>
        <v>89961</v>
      </c>
      <c r="U12" s="139">
        <f t="shared" ref="U12" si="26">U10-U11</f>
        <v>97795</v>
      </c>
      <c r="V12" s="139">
        <f t="shared" ref="V12" si="27">V10-V11</f>
        <v>146698</v>
      </c>
      <c r="W12" s="139">
        <f t="shared" ref="W12" si="28">W10-W11</f>
        <v>159184.52103365259</v>
      </c>
      <c r="X12" s="139">
        <f t="shared" ref="X12" si="29">X10-X11</f>
        <v>170800.52549157364</v>
      </c>
      <c r="Y12" s="139">
        <f t="shared" ref="Y12" si="30">Y10-Y11</f>
        <v>0</v>
      </c>
      <c r="Z12" s="139">
        <f t="shared" ref="Z12" si="31">Z10-Z11</f>
        <v>0</v>
      </c>
      <c r="AA12" s="139">
        <f t="shared" ref="AA12" si="32">AA10-AA11</f>
        <v>0</v>
      </c>
      <c r="AB12" s="139">
        <f t="shared" ref="AB12" si="33">AB10-AB11</f>
        <v>0</v>
      </c>
      <c r="AC12" s="139">
        <f t="shared" ref="AC12" si="34">AC10-AC11</f>
        <v>0</v>
      </c>
      <c r="AD12" s="139">
        <f t="shared" ref="AD12" si="35">AD10-AD11</f>
        <v>0</v>
      </c>
      <c r="AE12" s="139">
        <f t="shared" ref="AE12" si="36">AE10-AE11</f>
        <v>0</v>
      </c>
      <c r="AF12" s="139">
        <f t="shared" ref="AF12" si="37">AF10-AF11</f>
        <v>0</v>
      </c>
      <c r="AG12" s="139">
        <f t="shared" ref="AG12" si="38">AG10-AG11</f>
        <v>0</v>
      </c>
      <c r="AH12" s="139">
        <f t="shared" ref="AH12" si="39">AH10-AH11</f>
        <v>0</v>
      </c>
      <c r="AI12" s="138"/>
    </row>
    <row r="13" spans="2:35" x14ac:dyDescent="0.2">
      <c r="B13" t="s">
        <v>126</v>
      </c>
      <c r="C13" s="138">
        <v>7485</v>
      </c>
      <c r="D13" s="138">
        <v>7675</v>
      </c>
      <c r="E13" s="138">
        <v>7694</v>
      </c>
      <c r="F13" s="138">
        <v>8708</v>
      </c>
      <c r="G13" s="138">
        <v>9119</v>
      </c>
      <c r="H13" s="138">
        <v>9841</v>
      </c>
      <c r="I13" s="138">
        <v>10273</v>
      </c>
      <c r="J13" s="138">
        <f>J12*J32</f>
        <v>10913.030874271299</v>
      </c>
      <c r="K13" s="138">
        <f t="shared" ref="K13:N13" si="40">K12*K32</f>
        <v>10241.259893281274</v>
      </c>
      <c r="L13" s="138">
        <f t="shared" si="40"/>
        <v>10806.909789743522</v>
      </c>
      <c r="M13" s="138">
        <f t="shared" si="40"/>
        <v>10718.631202901348</v>
      </c>
      <c r="N13" s="138">
        <f t="shared" si="40"/>
        <v>12294.754566489426</v>
      </c>
      <c r="O13" s="138"/>
      <c r="P13" s="138"/>
      <c r="Q13" s="138">
        <v>13948</v>
      </c>
      <c r="R13" s="138">
        <v>16625</v>
      </c>
      <c r="S13" s="138">
        <v>21419</v>
      </c>
      <c r="T13" s="138">
        <v>26018</v>
      </c>
      <c r="U13" s="138">
        <v>27573</v>
      </c>
      <c r="V13" s="138">
        <f t="shared" si="19"/>
        <v>31562</v>
      </c>
      <c r="W13" s="138">
        <f>SUM(G13:J13)</f>
        <v>40146.030874271295</v>
      </c>
      <c r="X13" s="138">
        <f>SUM(K13:N13)</f>
        <v>44061.555452415574</v>
      </c>
      <c r="Y13" s="139"/>
      <c r="Z13" s="139"/>
      <c r="AA13" s="139"/>
      <c r="AB13" s="139"/>
      <c r="AC13" s="139"/>
      <c r="AD13" s="139"/>
      <c r="AE13" s="139"/>
      <c r="AF13" s="139"/>
      <c r="AG13" s="139"/>
      <c r="AH13" s="138"/>
      <c r="AI13" s="138"/>
    </row>
    <row r="14" spans="2:35" x14ac:dyDescent="0.2">
      <c r="B14" t="s">
        <v>127</v>
      </c>
      <c r="C14" s="138">
        <v>4516</v>
      </c>
      <c r="D14" s="138">
        <v>5276</v>
      </c>
      <c r="E14" s="138">
        <v>5516</v>
      </c>
      <c r="F14" s="138">
        <v>7604</v>
      </c>
      <c r="G14" s="138">
        <v>5825</v>
      </c>
      <c r="H14" s="138">
        <v>6630</v>
      </c>
      <c r="I14" s="138">
        <v>6929</v>
      </c>
      <c r="J14" s="138">
        <f>J12*J33</f>
        <v>8218.9289963939882</v>
      </c>
      <c r="K14" s="138">
        <f t="shared" ref="K14:N14" si="41">K12*K33</f>
        <v>6885.5705423448962</v>
      </c>
      <c r="L14" s="138">
        <f t="shared" si="41"/>
        <v>7407.0064640276696</v>
      </c>
      <c r="M14" s="138">
        <f t="shared" si="41"/>
        <v>7561.1901002468439</v>
      </c>
      <c r="N14" s="138">
        <f t="shared" si="41"/>
        <v>8605.1473305661984</v>
      </c>
      <c r="O14" s="138"/>
      <c r="P14" s="138"/>
      <c r="Q14" s="138">
        <v>10485</v>
      </c>
      <c r="R14" s="138">
        <v>12893</v>
      </c>
      <c r="S14" s="138">
        <v>16333</v>
      </c>
      <c r="T14" s="138">
        <v>18464</v>
      </c>
      <c r="U14" s="138">
        <v>17946</v>
      </c>
      <c r="V14" s="138">
        <f t="shared" si="19"/>
        <v>22912</v>
      </c>
      <c r="W14" s="138">
        <f>SUM(G14:J14)</f>
        <v>27602.928996393988</v>
      </c>
      <c r="X14" s="138">
        <f>SUM(K14:N14)</f>
        <v>30458.914437185609</v>
      </c>
      <c r="Y14" s="138"/>
      <c r="Z14" s="138"/>
      <c r="AA14" s="138"/>
      <c r="AB14" s="138"/>
      <c r="AC14" s="138"/>
      <c r="AD14" s="138"/>
      <c r="AE14" s="138"/>
      <c r="AF14" s="138"/>
      <c r="AG14" s="138"/>
      <c r="AH14" s="138"/>
      <c r="AI14" s="138"/>
    </row>
    <row r="15" spans="2:35" s="137" customFormat="1" x14ac:dyDescent="0.2">
      <c r="B15" t="s">
        <v>105</v>
      </c>
      <c r="C15" s="138">
        <v>2773</v>
      </c>
      <c r="D15" s="138">
        <v>3341</v>
      </c>
      <c r="E15" s="138">
        <v>3256</v>
      </c>
      <c r="F15" s="138">
        <v>4140</v>
      </c>
      <c r="G15" s="138">
        <v>3374</v>
      </c>
      <c r="H15" s="138">
        <v>3657</v>
      </c>
      <c r="I15" s="138">
        <v>3597</v>
      </c>
      <c r="J15" s="138">
        <f>J12*J34</f>
        <v>3821.4562505334607</v>
      </c>
      <c r="K15" s="138">
        <f t="shared" ref="K15:N15" si="42">K12*K34</f>
        <v>3704.5349129121496</v>
      </c>
      <c r="L15" s="138">
        <f t="shared" si="42"/>
        <v>3773.6584342089259</v>
      </c>
      <c r="M15" s="138">
        <f t="shared" si="42"/>
        <v>3888.3086797421311</v>
      </c>
      <c r="N15" s="138">
        <f t="shared" si="42"/>
        <v>4310.6026340957105</v>
      </c>
      <c r="O15" s="139"/>
      <c r="P15" s="139"/>
      <c r="Q15" s="160">
        <v>6985</v>
      </c>
      <c r="R15" s="160">
        <v>6872</v>
      </c>
      <c r="S15" s="160">
        <v>8126</v>
      </c>
      <c r="T15" s="138">
        <f>9551+1697</f>
        <v>11248</v>
      </c>
      <c r="U15" s="138">
        <v>11052</v>
      </c>
      <c r="V15" s="138">
        <f t="shared" si="19"/>
        <v>13510</v>
      </c>
      <c r="W15" s="138">
        <f>SUM(G15:J15)</f>
        <v>14449.456250533462</v>
      </c>
      <c r="X15" s="138">
        <f>SUM(K15:N15)</f>
        <v>15677.104660958918</v>
      </c>
      <c r="Y15" s="139"/>
      <c r="Z15" s="139"/>
      <c r="AA15" s="139"/>
      <c r="AB15" s="139"/>
      <c r="AC15" s="139"/>
      <c r="AD15" s="139"/>
      <c r="AE15" s="139"/>
      <c r="AF15" s="139"/>
      <c r="AG15" s="139"/>
      <c r="AH15" s="139"/>
      <c r="AI15" s="139"/>
    </row>
    <row r="16" spans="2:35" s="138" customFormat="1" x14ac:dyDescent="0.2">
      <c r="B16" s="137" t="s">
        <v>128</v>
      </c>
      <c r="C16" s="139">
        <f>C12-SUM(C13:C15)</f>
        <v>16437</v>
      </c>
      <c r="D16" s="139">
        <f t="shared" ref="D16:AH16" si="43">D12-SUM(D13:D15)</f>
        <v>19361</v>
      </c>
      <c r="E16" s="139">
        <f t="shared" si="43"/>
        <v>21031</v>
      </c>
      <c r="F16" s="139">
        <f t="shared" si="43"/>
        <v>21885</v>
      </c>
      <c r="G16" s="139">
        <f t="shared" si="43"/>
        <v>20094</v>
      </c>
      <c r="H16" s="139">
        <f t="shared" si="43"/>
        <v>19453</v>
      </c>
      <c r="I16" s="139">
        <f t="shared" si="43"/>
        <v>17135</v>
      </c>
      <c r="J16" s="139">
        <f>J12-SUM(J13:J15)</f>
        <v>20304.104912453822</v>
      </c>
      <c r="K16" s="139">
        <f t="shared" si="43"/>
        <v>18980.592569629462</v>
      </c>
      <c r="L16" s="139">
        <f t="shared" si="43"/>
        <v>19559.682550415131</v>
      </c>
      <c r="M16" s="139">
        <f t="shared" si="43"/>
        <v>19612.705643539415</v>
      </c>
      <c r="N16" s="139">
        <f t="shared" si="43"/>
        <v>22449.970177429484</v>
      </c>
      <c r="O16" s="139"/>
      <c r="P16" s="139"/>
      <c r="Q16" s="139">
        <f t="shared" si="43"/>
        <v>23716</v>
      </c>
      <c r="R16" s="139">
        <f t="shared" si="43"/>
        <v>28882</v>
      </c>
      <c r="S16" s="139">
        <f t="shared" si="43"/>
        <v>31392</v>
      </c>
      <c r="T16" s="139">
        <f t="shared" si="43"/>
        <v>34231</v>
      </c>
      <c r="U16" s="139">
        <f t="shared" si="43"/>
        <v>41224</v>
      </c>
      <c r="V16" s="139">
        <f>V12-SUM(V13:V15)</f>
        <v>78714</v>
      </c>
      <c r="W16" s="139">
        <f t="shared" si="43"/>
        <v>76986.104912453855</v>
      </c>
      <c r="X16" s="139">
        <f t="shared" si="43"/>
        <v>80602.950941013551</v>
      </c>
      <c r="Y16" s="139">
        <f t="shared" si="43"/>
        <v>0</v>
      </c>
      <c r="Z16" s="139">
        <f t="shared" si="43"/>
        <v>0</v>
      </c>
      <c r="AA16" s="139">
        <f t="shared" si="43"/>
        <v>0</v>
      </c>
      <c r="AB16" s="139">
        <f t="shared" si="43"/>
        <v>0</v>
      </c>
      <c r="AC16" s="139">
        <f t="shared" si="43"/>
        <v>0</v>
      </c>
      <c r="AD16" s="139">
        <f t="shared" si="43"/>
        <v>0</v>
      </c>
      <c r="AE16" s="139">
        <f t="shared" si="43"/>
        <v>0</v>
      </c>
      <c r="AF16" s="139">
        <f t="shared" si="43"/>
        <v>0</v>
      </c>
      <c r="AG16" s="139">
        <f t="shared" si="43"/>
        <v>0</v>
      </c>
      <c r="AH16" s="139">
        <f t="shared" si="43"/>
        <v>0</v>
      </c>
    </row>
    <row r="17" spans="2:36" x14ac:dyDescent="0.2">
      <c r="B17" t="s">
        <v>129</v>
      </c>
      <c r="C17" s="138">
        <v>4846</v>
      </c>
      <c r="D17" s="138">
        <v>2624</v>
      </c>
      <c r="E17" s="138">
        <v>2033</v>
      </c>
      <c r="F17" s="138">
        <v>2517</v>
      </c>
      <c r="G17" s="138">
        <v>-1160</v>
      </c>
      <c r="H17" s="138">
        <v>-439</v>
      </c>
      <c r="I17" s="138">
        <v>-902</v>
      </c>
      <c r="J17" s="156">
        <v>-1000</v>
      </c>
      <c r="K17" s="156">
        <v>-1000</v>
      </c>
      <c r="L17" s="156">
        <v>-1000</v>
      </c>
      <c r="M17" s="156">
        <v>-1000</v>
      </c>
      <c r="N17" s="156">
        <v>-1000</v>
      </c>
      <c r="O17" s="138"/>
      <c r="P17" s="138"/>
      <c r="Q17" s="138">
        <v>434</v>
      </c>
      <c r="R17" s="138">
        <f>1047-2736</f>
        <v>-1689</v>
      </c>
      <c r="S17" s="156">
        <f>8592-5071</f>
        <v>3521</v>
      </c>
      <c r="T17" s="138">
        <v>5394</v>
      </c>
      <c r="U17" s="138">
        <v>6858</v>
      </c>
      <c r="V17" s="138">
        <v>12020</v>
      </c>
      <c r="W17" s="138">
        <f>SUM(G17:J17)</f>
        <v>-3501</v>
      </c>
      <c r="X17" s="138">
        <f>SUM(K17:N17)</f>
        <v>-4000</v>
      </c>
      <c r="Y17" s="138"/>
      <c r="Z17" s="138"/>
      <c r="AA17" s="138"/>
      <c r="AB17" s="138"/>
      <c r="AC17" s="138"/>
      <c r="AD17" s="138"/>
      <c r="AE17" s="138"/>
      <c r="AF17" s="138"/>
      <c r="AG17" s="138"/>
      <c r="AH17" s="138"/>
      <c r="AI17" s="138"/>
    </row>
    <row r="18" spans="2:36" x14ac:dyDescent="0.2">
      <c r="B18" t="s">
        <v>130</v>
      </c>
      <c r="C18" s="138">
        <f t="shared" ref="C18:X18" si="44">C16+C17</f>
        <v>21283</v>
      </c>
      <c r="D18" s="138">
        <f t="shared" si="44"/>
        <v>21985</v>
      </c>
      <c r="E18" s="138">
        <f t="shared" si="44"/>
        <v>23064</v>
      </c>
      <c r="F18" s="138">
        <f t="shared" si="44"/>
        <v>24402</v>
      </c>
      <c r="G18" s="138">
        <f t="shared" si="44"/>
        <v>18934</v>
      </c>
      <c r="H18" s="138">
        <f t="shared" si="44"/>
        <v>19014</v>
      </c>
      <c r="I18" s="138">
        <f t="shared" si="44"/>
        <v>16233</v>
      </c>
      <c r="J18" s="138">
        <f t="shared" si="44"/>
        <v>19304.104912453822</v>
      </c>
      <c r="K18" s="138">
        <f t="shared" si="44"/>
        <v>17980.592569629462</v>
      </c>
      <c r="L18" s="138">
        <f t="shared" si="44"/>
        <v>18559.682550415131</v>
      </c>
      <c r="M18" s="138">
        <f t="shared" si="44"/>
        <v>18612.705643539415</v>
      </c>
      <c r="N18" s="138">
        <f t="shared" si="44"/>
        <v>21449.970177429484</v>
      </c>
      <c r="O18" s="138"/>
      <c r="P18" s="138"/>
      <c r="Q18" s="138">
        <f t="shared" si="44"/>
        <v>24150</v>
      </c>
      <c r="R18" s="138">
        <f t="shared" si="44"/>
        <v>27193</v>
      </c>
      <c r="S18" s="138">
        <f t="shared" si="44"/>
        <v>34913</v>
      </c>
      <c r="T18" s="138">
        <f t="shared" si="44"/>
        <v>39625</v>
      </c>
      <c r="U18" s="138">
        <f t="shared" si="44"/>
        <v>48082</v>
      </c>
      <c r="V18" s="138">
        <f t="shared" si="44"/>
        <v>90734</v>
      </c>
      <c r="W18" s="138">
        <f t="shared" si="44"/>
        <v>73485.104912453855</v>
      </c>
      <c r="X18" s="138">
        <f t="shared" si="44"/>
        <v>76602.950941013551</v>
      </c>
      <c r="Y18" s="153"/>
      <c r="Z18" s="153"/>
      <c r="AA18" s="153"/>
      <c r="AB18" s="153"/>
      <c r="AC18" s="153"/>
      <c r="AD18" s="153"/>
      <c r="AE18" s="153"/>
      <c r="AF18" s="153"/>
      <c r="AG18" s="153"/>
      <c r="AH18" s="153"/>
      <c r="AI18" s="138"/>
      <c r="AJ18" s="149"/>
    </row>
    <row r="19" spans="2:36" x14ac:dyDescent="0.2">
      <c r="B19" t="s">
        <v>131</v>
      </c>
      <c r="C19" s="138">
        <v>3353</v>
      </c>
      <c r="D19" s="138">
        <v>3460</v>
      </c>
      <c r="E19" s="138">
        <v>4128</v>
      </c>
      <c r="F19" s="138">
        <v>3760</v>
      </c>
      <c r="G19" s="138">
        <v>2498</v>
      </c>
      <c r="H19" s="138">
        <v>3012</v>
      </c>
      <c r="I19" s="138">
        <v>2323</v>
      </c>
      <c r="J19" s="156">
        <f>J18*J37</f>
        <v>3039.6592152239477</v>
      </c>
      <c r="K19" s="156">
        <f t="shared" ref="K19:N19" si="45">K18*K37</f>
        <v>3023.978402742679</v>
      </c>
      <c r="L19" s="156">
        <f t="shared" si="45"/>
        <v>3090.7992393184954</v>
      </c>
      <c r="M19" s="156">
        <f t="shared" si="45"/>
        <v>2661.7816751101145</v>
      </c>
      <c r="N19" s="156">
        <f t="shared" si="45"/>
        <v>3113.9089784013013</v>
      </c>
      <c r="O19" s="153"/>
      <c r="P19" s="153"/>
      <c r="Q19" s="153">
        <v>4672</v>
      </c>
      <c r="R19" s="153">
        <v>14531</v>
      </c>
      <c r="S19" s="153">
        <v>4177</v>
      </c>
      <c r="T19" s="138">
        <v>5282</v>
      </c>
      <c r="U19" s="138">
        <v>7813</v>
      </c>
      <c r="V19" s="138">
        <v>14701</v>
      </c>
      <c r="W19" s="138">
        <f>SUM(G19:J19)</f>
        <v>10872.659215223948</v>
      </c>
      <c r="X19" s="138">
        <f>SUM(K19:N19)</f>
        <v>11890.468295572591</v>
      </c>
      <c r="Y19" s="153"/>
      <c r="Z19" s="153"/>
      <c r="AA19" s="153"/>
      <c r="AB19" s="153"/>
      <c r="AC19" s="153"/>
      <c r="AD19" s="153"/>
      <c r="AE19" s="153"/>
      <c r="AF19" s="153"/>
      <c r="AG19" s="153"/>
      <c r="AH19" s="153"/>
      <c r="AI19" s="138"/>
      <c r="AJ19" s="136"/>
    </row>
    <row r="20" spans="2:36" x14ac:dyDescent="0.2">
      <c r="B20" s="137" t="s">
        <v>106</v>
      </c>
      <c r="C20" s="139">
        <f t="shared" ref="C20:AH20" si="46">C18-C19</f>
        <v>17930</v>
      </c>
      <c r="D20" s="139">
        <f t="shared" si="46"/>
        <v>18525</v>
      </c>
      <c r="E20" s="139">
        <f t="shared" si="46"/>
        <v>18936</v>
      </c>
      <c r="F20" s="139">
        <f t="shared" si="46"/>
        <v>20642</v>
      </c>
      <c r="G20" s="139">
        <f t="shared" si="46"/>
        <v>16436</v>
      </c>
      <c r="H20" s="139">
        <f t="shared" si="46"/>
        <v>16002</v>
      </c>
      <c r="I20" s="139">
        <f t="shared" si="46"/>
        <v>13910</v>
      </c>
      <c r="J20" s="139">
        <f t="shared" si="46"/>
        <v>16264.445697229874</v>
      </c>
      <c r="K20" s="139">
        <f t="shared" si="46"/>
        <v>14956.614166886782</v>
      </c>
      <c r="L20" s="139">
        <f t="shared" si="46"/>
        <v>15468.883311096635</v>
      </c>
      <c r="M20" s="139">
        <f t="shared" si="46"/>
        <v>15950.923968429301</v>
      </c>
      <c r="N20" s="139">
        <f t="shared" si="46"/>
        <v>18336.061199028183</v>
      </c>
      <c r="O20" s="139"/>
      <c r="P20" s="139"/>
      <c r="Q20" s="139">
        <f t="shared" si="46"/>
        <v>19478</v>
      </c>
      <c r="R20" s="139">
        <f t="shared" si="46"/>
        <v>12662</v>
      </c>
      <c r="S20" s="139">
        <f t="shared" si="46"/>
        <v>30736</v>
      </c>
      <c r="T20" s="139">
        <f t="shared" si="46"/>
        <v>34343</v>
      </c>
      <c r="U20" s="139">
        <f t="shared" si="46"/>
        <v>40269</v>
      </c>
      <c r="V20" s="139">
        <f t="shared" si="46"/>
        <v>76033</v>
      </c>
      <c r="W20" s="139">
        <f t="shared" si="46"/>
        <v>62612.445697229909</v>
      </c>
      <c r="X20" s="139">
        <f t="shared" si="46"/>
        <v>64712.482645440963</v>
      </c>
      <c r="Y20" s="139">
        <f t="shared" si="46"/>
        <v>0</v>
      </c>
      <c r="Z20" s="139">
        <f t="shared" si="46"/>
        <v>0</v>
      </c>
      <c r="AA20" s="139">
        <f t="shared" si="46"/>
        <v>0</v>
      </c>
      <c r="AB20" s="139">
        <f t="shared" si="46"/>
        <v>0</v>
      </c>
      <c r="AC20" s="139">
        <f t="shared" si="46"/>
        <v>0</v>
      </c>
      <c r="AD20" s="139">
        <f t="shared" si="46"/>
        <v>0</v>
      </c>
      <c r="AE20" s="139">
        <f t="shared" si="46"/>
        <v>0</v>
      </c>
      <c r="AF20" s="139">
        <f t="shared" si="46"/>
        <v>0</v>
      </c>
      <c r="AG20" s="139">
        <f t="shared" si="46"/>
        <v>0</v>
      </c>
      <c r="AH20" s="139">
        <f t="shared" si="46"/>
        <v>0</v>
      </c>
      <c r="AI20" s="138"/>
    </row>
    <row r="21" spans="2:36" x14ac:dyDescent="0.2">
      <c r="B21" t="s">
        <v>107</v>
      </c>
      <c r="C21" s="151">
        <f>26.29/20</f>
        <v>1.3145</v>
      </c>
      <c r="D21" s="151">
        <v>1.36</v>
      </c>
      <c r="E21" s="151">
        <v>1.4</v>
      </c>
      <c r="F21" s="151">
        <f>30.69/20</f>
        <v>1.5345</v>
      </c>
      <c r="G21" s="151">
        <f>24.62/20</f>
        <v>1.2310000000000001</v>
      </c>
      <c r="H21" s="151">
        <f t="shared" ref="H21:N21" si="47">H20/H22</f>
        <v>1.2184573212518084</v>
      </c>
      <c r="I21" s="151">
        <f t="shared" si="47"/>
        <v>1.0685205100629898</v>
      </c>
      <c r="J21" s="151">
        <f t="shared" si="47"/>
        <v>1.2620013079969983</v>
      </c>
      <c r="K21" s="151">
        <f t="shared" si="47"/>
        <v>1.1722456612261358</v>
      </c>
      <c r="L21" s="151">
        <f t="shared" si="47"/>
        <v>1.2246418944926427</v>
      </c>
      <c r="M21" s="151">
        <f t="shared" si="47"/>
        <v>1.2628041310255722</v>
      </c>
      <c r="N21" s="151">
        <f t="shared" si="47"/>
        <v>1.4516308819915071</v>
      </c>
      <c r="O21" s="136"/>
      <c r="P21" s="136"/>
      <c r="Q21" s="151">
        <f t="shared" ref="Q21:X21" si="48">Q20/Q22</f>
        <v>1.4139493016638114</v>
      </c>
      <c r="R21" s="151">
        <f t="shared" si="48"/>
        <v>0.91369606003752346</v>
      </c>
      <c r="S21" s="151">
        <f t="shared" si="48"/>
        <v>2.2107776850706333</v>
      </c>
      <c r="T21" s="151">
        <f t="shared" si="48"/>
        <v>2.4792988687472479</v>
      </c>
      <c r="U21" s="151">
        <f t="shared" si="48"/>
        <v>2.9574113378818034</v>
      </c>
      <c r="V21" s="151">
        <f t="shared" si="48"/>
        <v>5.6940762375496146</v>
      </c>
      <c r="W21" s="151">
        <f t="shared" si="48"/>
        <v>4.7940478105265019</v>
      </c>
      <c r="X21" s="151">
        <f t="shared" si="48"/>
        <v>5.1102587402123589</v>
      </c>
      <c r="Y21" s="136"/>
      <c r="Z21" s="136"/>
      <c r="AA21" s="136"/>
      <c r="AB21" s="136"/>
      <c r="AC21" s="136"/>
      <c r="AD21" s="136"/>
      <c r="AE21" s="136"/>
      <c r="AF21" s="136"/>
      <c r="AG21" s="136"/>
      <c r="AH21" s="136"/>
    </row>
    <row r="22" spans="2:36" x14ac:dyDescent="0.2">
      <c r="B22" t="s">
        <v>132</v>
      </c>
      <c r="C22" s="138">
        <v>13511.6</v>
      </c>
      <c r="D22" s="138">
        <v>13464.4</v>
      </c>
      <c r="E22" s="138">
        <v>13379</v>
      </c>
      <c r="F22" s="138">
        <v>13253.3</v>
      </c>
      <c r="G22" s="138">
        <v>13203</v>
      </c>
      <c r="H22" s="138">
        <v>13133</v>
      </c>
      <c r="I22" s="138">
        <v>13018</v>
      </c>
      <c r="J22" s="156">
        <f>I22*(1+J38)</f>
        <v>12887.82</v>
      </c>
      <c r="K22" s="156">
        <f t="shared" ref="K22:N22" si="49">J22*(1+K38)</f>
        <v>12758.941799999999</v>
      </c>
      <c r="L22" s="156">
        <f t="shared" si="49"/>
        <v>12631.352381999999</v>
      </c>
      <c r="M22" s="156">
        <f t="shared" si="49"/>
        <v>12631.352381999999</v>
      </c>
      <c r="N22" s="156">
        <f t="shared" si="49"/>
        <v>12631.352381999999</v>
      </c>
      <c r="O22" s="153"/>
      <c r="P22" s="153"/>
      <c r="Q22" s="153">
        <v>13775.6</v>
      </c>
      <c r="R22" s="153">
        <v>13858</v>
      </c>
      <c r="S22" s="153">
        <v>13902.8</v>
      </c>
      <c r="T22" s="138">
        <v>13851.9</v>
      </c>
      <c r="U22" s="138">
        <v>13616.3</v>
      </c>
      <c r="V22" s="138">
        <v>13353</v>
      </c>
      <c r="W22" s="153">
        <f>AVERAGE(G22:J22)</f>
        <v>13060.455</v>
      </c>
      <c r="X22" s="153">
        <f>AVERAGE(K22:N22)</f>
        <v>12663.249736499998</v>
      </c>
      <c r="Y22" s="153"/>
      <c r="Z22" s="153"/>
      <c r="AA22" s="153"/>
      <c r="AB22" s="153"/>
      <c r="AC22" s="153"/>
      <c r="AD22" s="153"/>
      <c r="AE22" s="153"/>
      <c r="AF22" s="153"/>
      <c r="AG22" s="153"/>
      <c r="AH22" s="153"/>
      <c r="AI22" s="138"/>
    </row>
    <row r="24" spans="2:36" s="137" customFormat="1" x14ac:dyDescent="0.2">
      <c r="B24" t="s">
        <v>140</v>
      </c>
      <c r="C24"/>
      <c r="D24"/>
      <c r="E24" s="152"/>
      <c r="F24" s="152"/>
      <c r="G24" s="152">
        <f>G3/C3-1</f>
        <v>0.24276169265033398</v>
      </c>
      <c r="H24" s="152">
        <f t="shared" ref="H24:I28" si="50">H3/D3-1</f>
        <v>0.13513739712651684</v>
      </c>
      <c r="I24" s="152">
        <f t="shared" si="50"/>
        <v>4.2530190370722032E-2</v>
      </c>
      <c r="J24" s="150">
        <v>0.01</v>
      </c>
      <c r="K24" s="150">
        <v>0.03</v>
      </c>
      <c r="L24" s="150">
        <v>0.05</v>
      </c>
      <c r="M24" s="150">
        <v>0.06</v>
      </c>
      <c r="N24" s="150">
        <v>0.08</v>
      </c>
      <c r="O24" s="152"/>
      <c r="P24" s="152"/>
      <c r="Q24" s="152"/>
      <c r="R24" s="152"/>
      <c r="S24" s="152">
        <f>S3/R3-1</f>
        <v>0.22181318130380601</v>
      </c>
      <c r="T24" s="152">
        <f t="shared" ref="T24:X24" si="51">T3/S3-1</f>
        <v>0.15028840742824978</v>
      </c>
      <c r="U24" s="152">
        <f t="shared" si="51"/>
        <v>6.0612546501554343E-2</v>
      </c>
      <c r="V24" s="152">
        <f t="shared" si="51"/>
        <v>0.43136783840402826</v>
      </c>
      <c r="W24" s="152">
        <f t="shared" si="51"/>
        <v>9.8213573591315217E-2</v>
      </c>
      <c r="X24" s="152">
        <f t="shared" si="51"/>
        <v>5.5593900501656801E-2</v>
      </c>
      <c r="Y24" s="152"/>
      <c r="Z24" s="152"/>
      <c r="AA24" s="152"/>
      <c r="AB24" s="152"/>
      <c r="AC24" s="152"/>
      <c r="AD24" s="152"/>
      <c r="AE24" s="152"/>
      <c r="AF24" s="152"/>
      <c r="AG24" s="152"/>
      <c r="AH24" s="152"/>
      <c r="AI24"/>
    </row>
    <row r="25" spans="2:36" x14ac:dyDescent="0.2">
      <c r="B25" t="s">
        <v>141</v>
      </c>
      <c r="G25" s="152">
        <f t="shared" ref="G25:G28" si="52">G4/C4-1</f>
        <v>0.143880099916736</v>
      </c>
      <c r="H25" s="152">
        <f t="shared" si="50"/>
        <v>4.8271922307911996E-2</v>
      </c>
      <c r="I25" s="152">
        <f t="shared" si="50"/>
        <v>-1.8598195697432374E-2</v>
      </c>
      <c r="J25" s="150">
        <v>0</v>
      </c>
      <c r="K25" s="150">
        <v>0.02</v>
      </c>
      <c r="L25" s="150">
        <v>0.05</v>
      </c>
      <c r="M25" s="150">
        <v>0.06</v>
      </c>
      <c r="N25" s="150">
        <v>7.0000000000000007E-2</v>
      </c>
      <c r="O25" s="152"/>
      <c r="P25" s="152"/>
      <c r="Q25" s="152"/>
      <c r="R25" s="152"/>
      <c r="S25" s="152">
        <f t="shared" ref="S25:X28" si="53">S4/R4-1</f>
        <v>0.36871165644171788</v>
      </c>
      <c r="T25" s="152">
        <f t="shared" si="53"/>
        <v>0.35804571940833707</v>
      </c>
      <c r="U25" s="152">
        <f t="shared" si="53"/>
        <v>0.30516865799722748</v>
      </c>
      <c r="V25" s="152">
        <f t="shared" si="53"/>
        <v>0.45888124620675708</v>
      </c>
      <c r="W25" s="152">
        <f t="shared" si="53"/>
        <v>3.7025481019240747E-2</v>
      </c>
      <c r="X25" s="152">
        <f t="shared" si="53"/>
        <v>5.1246949486845272E-2</v>
      </c>
      <c r="Y25" s="152"/>
      <c r="Z25" s="152"/>
      <c r="AA25" s="152"/>
      <c r="AB25" s="152"/>
      <c r="AC25" s="152"/>
      <c r="AD25" s="152"/>
      <c r="AE25" s="152"/>
      <c r="AF25" s="152"/>
      <c r="AG25" s="152"/>
    </row>
    <row r="26" spans="2:36" x14ac:dyDescent="0.2">
      <c r="B26" t="s">
        <v>142</v>
      </c>
      <c r="C26" s="152"/>
      <c r="D26" s="152"/>
      <c r="E26" s="152"/>
      <c r="F26" s="152"/>
      <c r="G26" s="152">
        <f t="shared" si="52"/>
        <v>0.20205882352941185</v>
      </c>
      <c r="H26" s="152">
        <f t="shared" si="50"/>
        <v>8.7139660392260065E-2</v>
      </c>
      <c r="I26" s="152">
        <f t="shared" si="50"/>
        <v>-1.587698462307785E-2</v>
      </c>
      <c r="J26" s="150">
        <v>-0.04</v>
      </c>
      <c r="K26" s="150">
        <v>-0.01</v>
      </c>
      <c r="L26" s="150">
        <v>0.02</v>
      </c>
      <c r="M26" s="150">
        <v>0.03</v>
      </c>
      <c r="N26" s="150">
        <v>0.05</v>
      </c>
      <c r="O26" s="152"/>
      <c r="P26" s="152"/>
      <c r="Q26" s="152"/>
      <c r="R26" s="152"/>
      <c r="S26" s="152">
        <f t="shared" si="53"/>
        <v>0.13589918256130784</v>
      </c>
      <c r="T26" s="152">
        <f t="shared" si="53"/>
        <v>7.6811594202898625E-2</v>
      </c>
      <c r="U26" s="152">
        <f t="shared" si="53"/>
        <v>7.161089710864621E-2</v>
      </c>
      <c r="V26" s="152">
        <f t="shared" si="53"/>
        <v>0.37293200519705505</v>
      </c>
      <c r="W26" s="152">
        <f t="shared" si="53"/>
        <v>4.8477965994763617E-2</v>
      </c>
      <c r="X26" s="152">
        <f t="shared" si="53"/>
        <v>2.3053270673750959E-2</v>
      </c>
      <c r="Y26" s="152"/>
      <c r="Z26" s="152"/>
      <c r="AA26" s="152"/>
      <c r="AB26" s="152"/>
      <c r="AC26" s="152"/>
      <c r="AD26" s="152"/>
      <c r="AE26" s="152"/>
      <c r="AF26" s="152"/>
      <c r="AG26" s="152"/>
    </row>
    <row r="27" spans="2:36" x14ac:dyDescent="0.2">
      <c r="B27" t="s">
        <v>143</v>
      </c>
      <c r="C27" s="152"/>
      <c r="D27" s="152"/>
      <c r="E27" s="152"/>
      <c r="F27" s="152"/>
      <c r="G27" s="152">
        <f t="shared" si="52"/>
        <v>4.8814290113951442E-2</v>
      </c>
      <c r="H27" s="152">
        <f t="shared" si="50"/>
        <v>-1.0569228446323464E-2</v>
      </c>
      <c r="I27" s="152">
        <f t="shared" si="50"/>
        <v>2.0876517619188739E-2</v>
      </c>
      <c r="J27" s="150">
        <v>-0.02</v>
      </c>
      <c r="K27" s="150">
        <v>0.01</v>
      </c>
      <c r="L27" s="150">
        <v>0.02</v>
      </c>
      <c r="M27" s="150">
        <v>0.03</v>
      </c>
      <c r="N27" s="150">
        <v>0.05</v>
      </c>
      <c r="O27" s="152"/>
      <c r="P27" s="152"/>
      <c r="Q27" s="152"/>
      <c r="R27" s="152"/>
      <c r="S27" s="152">
        <f t="shared" si="53"/>
        <v>0.28852849551035376</v>
      </c>
      <c r="T27" s="152">
        <f t="shared" si="53"/>
        <v>0.20984142786034266</v>
      </c>
      <c r="U27" s="152">
        <f t="shared" si="53"/>
        <v>0.27606676854355228</v>
      </c>
      <c r="V27" s="152">
        <f t="shared" si="53"/>
        <v>0.29114273870388274</v>
      </c>
      <c r="W27" s="152">
        <f t="shared" si="53"/>
        <v>8.0186929223744485E-3</v>
      </c>
      <c r="X27" s="152">
        <f t="shared" si="53"/>
        <v>2.8520907194662604E-2</v>
      </c>
      <c r="Y27" s="152"/>
      <c r="Z27" s="152"/>
      <c r="AA27" s="152"/>
      <c r="AB27" s="152"/>
      <c r="AC27" s="152"/>
      <c r="AD27" s="152"/>
      <c r="AE27" s="152"/>
      <c r="AF27" s="152"/>
      <c r="AG27" s="152"/>
    </row>
    <row r="28" spans="2:36" x14ac:dyDescent="0.2">
      <c r="B28" t="s">
        <v>144</v>
      </c>
      <c r="C28" s="152"/>
      <c r="D28" s="152"/>
      <c r="E28" s="152"/>
      <c r="F28" s="152"/>
      <c r="G28" s="152">
        <f t="shared" si="52"/>
        <v>0.4383493946132937</v>
      </c>
      <c r="H28" s="152">
        <f t="shared" si="50"/>
        <v>0.35609334485738975</v>
      </c>
      <c r="I28" s="152">
        <f t="shared" si="50"/>
        <v>0.37635270541082155</v>
      </c>
      <c r="J28" s="150">
        <v>0.32</v>
      </c>
      <c r="K28" s="150">
        <v>0.35</v>
      </c>
      <c r="L28" s="150">
        <v>0.37</v>
      </c>
      <c r="M28" s="150">
        <v>0.4</v>
      </c>
      <c r="N28" s="150">
        <v>0.45</v>
      </c>
      <c r="O28" s="152"/>
      <c r="P28" s="152"/>
      <c r="Q28" s="152"/>
      <c r="R28" s="152"/>
      <c r="S28" s="152">
        <f t="shared" si="53"/>
        <v>0.43934911242603558</v>
      </c>
      <c r="T28" s="152">
        <f t="shared" si="53"/>
        <v>0.52757793764988015</v>
      </c>
      <c r="U28" s="152">
        <f t="shared" si="53"/>
        <v>0.46434178066831122</v>
      </c>
      <c r="V28" s="152">
        <f t="shared" si="53"/>
        <v>0.47070985527222597</v>
      </c>
      <c r="W28" s="152">
        <f t="shared" si="53"/>
        <v>0.36827658023534315</v>
      </c>
      <c r="X28" s="152">
        <f t="shared" si="53"/>
        <v>0.39567626313209892</v>
      </c>
      <c r="Y28" s="152"/>
      <c r="Z28" s="152"/>
      <c r="AA28" s="152"/>
      <c r="AB28" s="152"/>
      <c r="AC28" s="152"/>
      <c r="AD28" s="152"/>
      <c r="AE28" s="152"/>
      <c r="AF28" s="152"/>
      <c r="AG28" s="152"/>
    </row>
    <row r="29" spans="2:36" s="137" customFormat="1" x14ac:dyDescent="0.2">
      <c r="B29" s="139" t="s">
        <v>108</v>
      </c>
      <c r="C29" s="135"/>
      <c r="D29" s="135"/>
      <c r="E29" s="135"/>
      <c r="F29" s="135"/>
      <c r="G29" s="135">
        <f>G10/C10-1</f>
        <v>0.22954405756228069</v>
      </c>
      <c r="H29" s="135">
        <f t="shared" ref="H29:N29" si="54">H10/D10-1</f>
        <v>0.12613122171945701</v>
      </c>
      <c r="I29" s="135">
        <f t="shared" si="54"/>
        <v>6.1027672840074931E-2</v>
      </c>
      <c r="J29" s="135">
        <f t="shared" si="54"/>
        <v>2.438380351808811E-2</v>
      </c>
      <c r="K29" s="135">
        <f t="shared" si="54"/>
        <v>4.6781255973298519E-2</v>
      </c>
      <c r="L29" s="135">
        <f t="shared" si="54"/>
        <v>7.1777426992896576E-2</v>
      </c>
      <c r="M29" s="135">
        <f t="shared" si="54"/>
        <v>8.2351212875586333E-2</v>
      </c>
      <c r="N29" s="135">
        <f t="shared" si="54"/>
        <v>0.10680055950030143</v>
      </c>
      <c r="O29" s="135"/>
      <c r="P29" s="135"/>
      <c r="Q29" s="135"/>
      <c r="R29" s="135">
        <f>R10/Q10-1</f>
        <v>0.22801090038993266</v>
      </c>
      <c r="S29" s="135">
        <f>S10/R10-1</f>
        <v>0.23421586757475987</v>
      </c>
      <c r="T29" s="135">
        <f t="shared" ref="T29:X29" si="55">T10/S10-1</f>
        <v>0.18300089899794614</v>
      </c>
      <c r="U29" s="135">
        <f t="shared" si="55"/>
        <v>0.12770532012826141</v>
      </c>
      <c r="V29" s="135">
        <f t="shared" si="55"/>
        <v>0.41150076427049154</v>
      </c>
      <c r="W29" s="135">
        <f t="shared" si="55"/>
        <v>0.10213094392497979</v>
      </c>
      <c r="X29" s="135">
        <f t="shared" si="55"/>
        <v>7.7880600054143656E-2</v>
      </c>
      <c r="Y29" s="135"/>
      <c r="Z29" s="135"/>
      <c r="AA29" s="135"/>
      <c r="AB29" s="135"/>
      <c r="AC29" s="135"/>
      <c r="AD29" s="135"/>
      <c r="AE29" s="135"/>
      <c r="AF29" s="135"/>
      <c r="AG29" s="135"/>
    </row>
    <row r="30" spans="2:36" s="137" customFormat="1" x14ac:dyDescent="0.2">
      <c r="B30" s="139"/>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row>
    <row r="31" spans="2:36" x14ac:dyDescent="0.2">
      <c r="B31" s="138" t="s">
        <v>133</v>
      </c>
      <c r="C31" s="136">
        <f>C12/C10</f>
        <v>0.56425136493473627</v>
      </c>
      <c r="D31" s="136">
        <f t="shared" ref="D31:I31" si="56">D12/D10</f>
        <v>0.57616354234001288</v>
      </c>
      <c r="E31" s="136">
        <f t="shared" si="56"/>
        <v>0.57583156730857832</v>
      </c>
      <c r="F31" s="136">
        <f t="shared" si="56"/>
        <v>0.56205774975107869</v>
      </c>
      <c r="G31" s="136">
        <f t="shared" si="56"/>
        <v>0.5647909896928438</v>
      </c>
      <c r="H31" s="136">
        <f t="shared" si="56"/>
        <v>0.56799885197675248</v>
      </c>
      <c r="I31" s="136">
        <f t="shared" si="56"/>
        <v>0.54903606785156023</v>
      </c>
      <c r="J31" s="150">
        <f>AVERAGE(G31:I31)</f>
        <v>0.56060863650705217</v>
      </c>
      <c r="K31" s="150">
        <f t="shared" ref="K31:N31" si="57">AVERAGE(H31:J31)</f>
        <v>0.55921451877845496</v>
      </c>
      <c r="L31" s="150">
        <f t="shared" si="57"/>
        <v>0.55628640771235582</v>
      </c>
      <c r="M31" s="150">
        <f t="shared" si="57"/>
        <v>0.55870318766595428</v>
      </c>
      <c r="N31" s="150">
        <f t="shared" si="57"/>
        <v>0.55806803805225502</v>
      </c>
      <c r="O31" s="136"/>
      <c r="P31" s="136"/>
      <c r="Q31" s="136">
        <f t="shared" ref="Q31:AH31" si="58">Q12/Q10</f>
        <v>0.61075416518964909</v>
      </c>
      <c r="R31" s="136">
        <f t="shared" si="58"/>
        <v>0.58880519597672631</v>
      </c>
      <c r="S31" s="136">
        <f t="shared" si="58"/>
        <v>0.5647607422945643</v>
      </c>
      <c r="T31" s="136">
        <f t="shared" si="58"/>
        <v>0.5558054331910266</v>
      </c>
      <c r="U31" s="136">
        <f t="shared" si="58"/>
        <v>0.53578374706207854</v>
      </c>
      <c r="V31" s="136">
        <f t="shared" si="58"/>
        <v>0.5693980290098084</v>
      </c>
      <c r="W31" s="136">
        <f t="shared" si="58"/>
        <v>0.560608147948637</v>
      </c>
      <c r="X31" s="136">
        <f t="shared" si="58"/>
        <v>0.55805514643205867</v>
      </c>
      <c r="Y31" s="136" t="e">
        <f t="shared" si="58"/>
        <v>#DIV/0!</v>
      </c>
      <c r="Z31" s="136" t="e">
        <f t="shared" si="58"/>
        <v>#DIV/0!</v>
      </c>
      <c r="AA31" s="136" t="e">
        <f t="shared" si="58"/>
        <v>#DIV/0!</v>
      </c>
      <c r="AB31" s="136" t="e">
        <f t="shared" si="58"/>
        <v>#DIV/0!</v>
      </c>
      <c r="AC31" s="136" t="e">
        <f t="shared" si="58"/>
        <v>#DIV/0!</v>
      </c>
      <c r="AD31" s="136" t="e">
        <f t="shared" si="58"/>
        <v>#DIV/0!</v>
      </c>
      <c r="AE31" s="136" t="e">
        <f t="shared" si="58"/>
        <v>#DIV/0!</v>
      </c>
      <c r="AF31" s="136" t="e">
        <f t="shared" si="58"/>
        <v>#DIV/0!</v>
      </c>
      <c r="AG31" s="136" t="e">
        <f t="shared" si="58"/>
        <v>#DIV/0!</v>
      </c>
      <c r="AH31" s="136" t="e">
        <f t="shared" si="58"/>
        <v>#DIV/0!</v>
      </c>
    </row>
    <row r="32" spans="2:36" x14ac:dyDescent="0.2">
      <c r="B32" t="s">
        <v>145</v>
      </c>
      <c r="C32" s="136">
        <f>C13/C$12</f>
        <v>0.23981929447951042</v>
      </c>
      <c r="D32" s="136">
        <f t="shared" ref="D32:I32" si="59">D13/D$12</f>
        <v>0.21526940229433708</v>
      </c>
      <c r="E32" s="136">
        <f t="shared" si="59"/>
        <v>0.20518974851321439</v>
      </c>
      <c r="F32" s="136">
        <f t="shared" si="59"/>
        <v>0.20568297234097835</v>
      </c>
      <c r="G32" s="136">
        <f t="shared" si="59"/>
        <v>0.23739977090492553</v>
      </c>
      <c r="H32" s="136">
        <f t="shared" si="59"/>
        <v>0.24862939289052829</v>
      </c>
      <c r="I32" s="136">
        <f t="shared" si="59"/>
        <v>0.27081246375283385</v>
      </c>
      <c r="J32" s="150">
        <f>AVERAGE(G32:I32)</f>
        <v>0.25228054251609588</v>
      </c>
      <c r="K32" s="150">
        <f t="shared" ref="K32:N32" si="60">AVERAGE(H32:J32)</f>
        <v>0.25724079971981934</v>
      </c>
      <c r="L32" s="150">
        <f t="shared" si="60"/>
        <v>0.26011126866291634</v>
      </c>
      <c r="M32" s="150">
        <f t="shared" si="60"/>
        <v>0.25654420363294389</v>
      </c>
      <c r="N32" s="150">
        <f t="shared" si="60"/>
        <v>0.25796542400522654</v>
      </c>
      <c r="O32" s="136"/>
      <c r="P32" s="136"/>
      <c r="Q32" s="136">
        <f t="shared" ref="Q32:AH32" si="61">Q13/Q$12</f>
        <v>0.25298363985925199</v>
      </c>
      <c r="R32" s="136">
        <f t="shared" si="61"/>
        <v>0.25470339502389999</v>
      </c>
      <c r="S32" s="136">
        <f t="shared" si="61"/>
        <v>0.27719684224149088</v>
      </c>
      <c r="T32" s="136">
        <f t="shared" si="61"/>
        <v>0.28921421504874334</v>
      </c>
      <c r="U32" s="136">
        <f t="shared" si="61"/>
        <v>0.28194692980213715</v>
      </c>
      <c r="V32" s="136">
        <f t="shared" si="61"/>
        <v>0.21514949079060383</v>
      </c>
      <c r="W32" s="136">
        <f t="shared" si="61"/>
        <v>0.25219808190888215</v>
      </c>
      <c r="X32" s="136">
        <f t="shared" si="61"/>
        <v>0.25797084245264412</v>
      </c>
      <c r="Y32" s="136" t="e">
        <f t="shared" si="61"/>
        <v>#DIV/0!</v>
      </c>
      <c r="Z32" s="136" t="e">
        <f t="shared" si="61"/>
        <v>#DIV/0!</v>
      </c>
      <c r="AA32" s="136" t="e">
        <f t="shared" si="61"/>
        <v>#DIV/0!</v>
      </c>
      <c r="AB32" s="136" t="e">
        <f t="shared" si="61"/>
        <v>#DIV/0!</v>
      </c>
      <c r="AC32" s="136" t="e">
        <f t="shared" si="61"/>
        <v>#DIV/0!</v>
      </c>
      <c r="AD32" s="136" t="e">
        <f t="shared" si="61"/>
        <v>#DIV/0!</v>
      </c>
      <c r="AE32" s="136" t="e">
        <f t="shared" si="61"/>
        <v>#DIV/0!</v>
      </c>
      <c r="AF32" s="136" t="e">
        <f t="shared" si="61"/>
        <v>#DIV/0!</v>
      </c>
      <c r="AG32" s="136" t="e">
        <f t="shared" si="61"/>
        <v>#DIV/0!</v>
      </c>
      <c r="AH32" s="136" t="e">
        <f t="shared" si="61"/>
        <v>#DIV/0!</v>
      </c>
    </row>
    <row r="33" spans="2:35" x14ac:dyDescent="0.2">
      <c r="B33" t="s">
        <v>146</v>
      </c>
      <c r="C33" s="136">
        <f t="shared" ref="C33:I34" si="62">C14/C$12</f>
        <v>0.14469257633526642</v>
      </c>
      <c r="D33" s="136">
        <f t="shared" si="62"/>
        <v>0.14798193700389869</v>
      </c>
      <c r="E33" s="136">
        <f t="shared" si="62"/>
        <v>0.14710510174147265</v>
      </c>
      <c r="F33" s="136">
        <f t="shared" si="62"/>
        <v>0.17960649077638946</v>
      </c>
      <c r="G33" s="136">
        <f t="shared" si="62"/>
        <v>0.15164531917109236</v>
      </c>
      <c r="H33" s="136">
        <f t="shared" si="62"/>
        <v>0.16750461079811022</v>
      </c>
      <c r="I33" s="136">
        <f t="shared" si="62"/>
        <v>0.18265935572309802</v>
      </c>
      <c r="J33" s="150">
        <v>0.19</v>
      </c>
      <c r="K33" s="150">
        <f>AVERAGE(G33:J33)</f>
        <v>0.17295232142307515</v>
      </c>
      <c r="L33" s="150">
        <f t="shared" ref="L33:N33" si="63">AVERAGE(H33:K33)</f>
        <v>0.17827907198607085</v>
      </c>
      <c r="M33" s="150">
        <f t="shared" si="63"/>
        <v>0.18097268728306101</v>
      </c>
      <c r="N33" s="150">
        <f t="shared" si="63"/>
        <v>0.18055102017305175</v>
      </c>
      <c r="Q33" s="136">
        <f t="shared" ref="Q33:AH33" si="64">Q14/Q$12</f>
        <v>0.19017303297420829</v>
      </c>
      <c r="R33" s="136">
        <f t="shared" si="64"/>
        <v>0.19752727049883564</v>
      </c>
      <c r="S33" s="136">
        <f t="shared" si="64"/>
        <v>0.21137569561278632</v>
      </c>
      <c r="T33" s="136">
        <f t="shared" si="64"/>
        <v>0.20524449483665144</v>
      </c>
      <c r="U33" s="136">
        <f t="shared" si="64"/>
        <v>0.18350631422874381</v>
      </c>
      <c r="V33" s="136">
        <f t="shared" si="64"/>
        <v>0.15618481506223669</v>
      </c>
      <c r="W33" s="136">
        <f t="shared" si="64"/>
        <v>0.17340209222075403</v>
      </c>
      <c r="X33" s="136">
        <f t="shared" si="64"/>
        <v>0.17833033212001612</v>
      </c>
      <c r="Y33" s="136" t="e">
        <f t="shared" si="64"/>
        <v>#DIV/0!</v>
      </c>
      <c r="Z33" s="136" t="e">
        <f t="shared" si="64"/>
        <v>#DIV/0!</v>
      </c>
      <c r="AA33" s="136" t="e">
        <f t="shared" si="64"/>
        <v>#DIV/0!</v>
      </c>
      <c r="AB33" s="136" t="e">
        <f t="shared" si="64"/>
        <v>#DIV/0!</v>
      </c>
      <c r="AC33" s="136" t="e">
        <f t="shared" si="64"/>
        <v>#DIV/0!</v>
      </c>
      <c r="AD33" s="136" t="e">
        <f t="shared" si="64"/>
        <v>#DIV/0!</v>
      </c>
      <c r="AE33" s="136" t="e">
        <f t="shared" si="64"/>
        <v>#DIV/0!</v>
      </c>
      <c r="AF33" s="136" t="e">
        <f t="shared" si="64"/>
        <v>#DIV/0!</v>
      </c>
      <c r="AG33" s="136" t="e">
        <f t="shared" si="64"/>
        <v>#DIV/0!</v>
      </c>
      <c r="AH33" s="136" t="e">
        <f t="shared" si="64"/>
        <v>#DIV/0!</v>
      </c>
    </row>
    <row r="34" spans="2:35" x14ac:dyDescent="0.2">
      <c r="B34" t="s">
        <v>109</v>
      </c>
      <c r="C34" s="136">
        <f t="shared" si="62"/>
        <v>8.8846880907372403E-2</v>
      </c>
      <c r="D34" s="136">
        <f t="shared" si="62"/>
        <v>9.3708804308192853E-2</v>
      </c>
      <c r="E34" s="136">
        <f t="shared" si="62"/>
        <v>8.6833613355735126E-2</v>
      </c>
      <c r="F34" s="136">
        <f t="shared" si="62"/>
        <v>9.7786805867208351E-2</v>
      </c>
      <c r="G34" s="136">
        <f t="shared" si="62"/>
        <v>8.783713422888681E-2</v>
      </c>
      <c r="H34" s="136">
        <f t="shared" si="62"/>
        <v>9.239281473434223E-2</v>
      </c>
      <c r="I34" s="136">
        <f t="shared" si="62"/>
        <v>9.482258659777508E-2</v>
      </c>
      <c r="J34" s="150">
        <f>AVERAGE(C34,G34)</f>
        <v>8.8342007568129599E-2</v>
      </c>
      <c r="K34" s="150">
        <f t="shared" ref="K34:N34" si="65">AVERAGE(D34,H34)</f>
        <v>9.3050809521267541E-2</v>
      </c>
      <c r="L34" s="150">
        <f t="shared" si="65"/>
        <v>9.0828099976755103E-2</v>
      </c>
      <c r="M34" s="150">
        <f t="shared" si="65"/>
        <v>9.3064406717668968E-2</v>
      </c>
      <c r="N34" s="150">
        <f t="shared" si="65"/>
        <v>9.0443971875077175E-2</v>
      </c>
      <c r="Q34" s="136">
        <f t="shared" ref="Q34:AH34" si="66">Q15/Q$12</f>
        <v>0.12669133384118691</v>
      </c>
      <c r="R34" s="136">
        <f t="shared" si="66"/>
        <v>0.10528251011153328</v>
      </c>
      <c r="S34" s="136">
        <f t="shared" si="66"/>
        <v>0.10516371166041154</v>
      </c>
      <c r="T34" s="136">
        <f t="shared" si="66"/>
        <v>0.12503195829303809</v>
      </c>
      <c r="U34" s="136">
        <f t="shared" si="66"/>
        <v>0.11301191267447211</v>
      </c>
      <c r="V34" s="136">
        <f t="shared" si="66"/>
        <v>9.2093961744536393E-2</v>
      </c>
      <c r="W34" s="136">
        <f t="shared" si="66"/>
        <v>9.077174185471687E-2</v>
      </c>
      <c r="X34" s="136">
        <f t="shared" si="66"/>
        <v>9.1786044661392674E-2</v>
      </c>
      <c r="Y34" s="136" t="e">
        <f t="shared" si="66"/>
        <v>#DIV/0!</v>
      </c>
      <c r="Z34" s="136" t="e">
        <f t="shared" si="66"/>
        <v>#DIV/0!</v>
      </c>
      <c r="AA34" s="136" t="e">
        <f t="shared" si="66"/>
        <v>#DIV/0!</v>
      </c>
      <c r="AB34" s="136" t="e">
        <f t="shared" si="66"/>
        <v>#DIV/0!</v>
      </c>
      <c r="AC34" s="136" t="e">
        <f t="shared" si="66"/>
        <v>#DIV/0!</v>
      </c>
      <c r="AD34" s="136" t="e">
        <f t="shared" si="66"/>
        <v>#DIV/0!</v>
      </c>
      <c r="AE34" s="136" t="e">
        <f t="shared" si="66"/>
        <v>#DIV/0!</v>
      </c>
      <c r="AF34" s="136" t="e">
        <f t="shared" si="66"/>
        <v>#DIV/0!</v>
      </c>
      <c r="AG34" s="136" t="e">
        <f t="shared" si="66"/>
        <v>#DIV/0!</v>
      </c>
      <c r="AH34" s="136" t="e">
        <f t="shared" si="66"/>
        <v>#DIV/0!</v>
      </c>
    </row>
    <row r="35" spans="2:35" s="137" customFormat="1" x14ac:dyDescent="0.2">
      <c r="B35" s="139" t="s">
        <v>134</v>
      </c>
      <c r="C35" s="135">
        <f>C16/C10</f>
        <v>0.29715804317171057</v>
      </c>
      <c r="D35" s="135">
        <f t="shared" ref="D35:N35" si="67">D16/D10</f>
        <v>0.312879767291532</v>
      </c>
      <c r="E35" s="135">
        <f t="shared" si="67"/>
        <v>0.32296753585798088</v>
      </c>
      <c r="F35" s="135">
        <f t="shared" si="67"/>
        <v>0.29054098904746101</v>
      </c>
      <c r="G35" s="135">
        <f t="shared" si="67"/>
        <v>0.29545220626075192</v>
      </c>
      <c r="H35" s="135">
        <f t="shared" si="67"/>
        <v>0.279156202913109</v>
      </c>
      <c r="I35" s="135">
        <f t="shared" si="67"/>
        <v>0.24800266311584554</v>
      </c>
      <c r="J35" s="135">
        <f>J16/J10</f>
        <v>0.26313705220443956</v>
      </c>
      <c r="K35" s="135">
        <f t="shared" si="67"/>
        <v>0.26660891588834834</v>
      </c>
      <c r="L35" s="135">
        <f t="shared" si="67"/>
        <v>0.26188938248152693</v>
      </c>
      <c r="M35" s="135">
        <f t="shared" si="67"/>
        <v>0.2622657253620822</v>
      </c>
      <c r="N35" s="135">
        <f t="shared" si="67"/>
        <v>0.26287213645805441</v>
      </c>
      <c r="O35" s="135"/>
      <c r="P35" s="135"/>
      <c r="Q35" s="135">
        <f t="shared" ref="Q35:AH35" si="68">Q16/Q10</f>
        <v>0.26271712158808935</v>
      </c>
      <c r="R35" s="135">
        <f t="shared" si="68"/>
        <v>0.26053854133778359</v>
      </c>
      <c r="S35" s="135">
        <f t="shared" si="68"/>
        <v>0.22944181729145804</v>
      </c>
      <c r="T35" s="135">
        <f t="shared" si="68"/>
        <v>0.21148915400631421</v>
      </c>
      <c r="U35" s="135">
        <f t="shared" si="68"/>
        <v>0.22585151785763202</v>
      </c>
      <c r="V35" s="135">
        <f t="shared" si="68"/>
        <v>0.3055228868524319</v>
      </c>
      <c r="W35" s="135">
        <f t="shared" si="68"/>
        <v>0.27112584447595967</v>
      </c>
      <c r="X35" s="135">
        <f t="shared" si="68"/>
        <v>0.26335335597350062</v>
      </c>
      <c r="Y35" s="135" t="e">
        <f t="shared" si="68"/>
        <v>#DIV/0!</v>
      </c>
      <c r="Z35" s="135" t="e">
        <f t="shared" si="68"/>
        <v>#DIV/0!</v>
      </c>
      <c r="AA35" s="135" t="e">
        <f t="shared" si="68"/>
        <v>#DIV/0!</v>
      </c>
      <c r="AB35" s="135" t="e">
        <f t="shared" si="68"/>
        <v>#DIV/0!</v>
      </c>
      <c r="AC35" s="135" t="e">
        <f t="shared" si="68"/>
        <v>#DIV/0!</v>
      </c>
      <c r="AD35" s="135" t="e">
        <f t="shared" si="68"/>
        <v>#DIV/0!</v>
      </c>
      <c r="AE35" s="135" t="e">
        <f t="shared" si="68"/>
        <v>#DIV/0!</v>
      </c>
      <c r="AF35" s="135" t="e">
        <f t="shared" si="68"/>
        <v>#DIV/0!</v>
      </c>
      <c r="AG35" s="135" t="e">
        <f t="shared" si="68"/>
        <v>#DIV/0!</v>
      </c>
      <c r="AH35" s="135" t="e">
        <f t="shared" si="68"/>
        <v>#DIV/0!</v>
      </c>
    </row>
    <row r="36" spans="2:35" x14ac:dyDescent="0.2">
      <c r="C36" s="136"/>
      <c r="D36" s="136"/>
      <c r="E36" s="136"/>
      <c r="F36" s="136"/>
      <c r="G36" s="136"/>
      <c r="H36" s="136"/>
      <c r="I36" s="136"/>
      <c r="J36" s="150"/>
      <c r="K36" s="150"/>
      <c r="L36" s="150"/>
      <c r="M36" s="150"/>
      <c r="N36" s="150"/>
      <c r="O36" s="136"/>
      <c r="P36" s="136"/>
      <c r="Q36" s="136"/>
      <c r="R36" s="136"/>
      <c r="S36" s="136"/>
      <c r="T36" s="136"/>
      <c r="U36" s="136"/>
      <c r="V36" s="136"/>
      <c r="W36" s="136"/>
      <c r="X36" s="136"/>
      <c r="Y36" s="136"/>
      <c r="Z36" s="136"/>
      <c r="AA36" s="136"/>
      <c r="AB36" s="136"/>
      <c r="AC36" s="136"/>
      <c r="AD36" s="136"/>
      <c r="AE36" s="136"/>
      <c r="AF36" s="136"/>
      <c r="AG36" s="136"/>
    </row>
    <row r="37" spans="2:35" x14ac:dyDescent="0.2">
      <c r="B37" t="s">
        <v>36</v>
      </c>
      <c r="C37" s="136">
        <f>C19/C18</f>
        <v>0.15754357938260583</v>
      </c>
      <c r="D37" s="136">
        <f t="shared" ref="D37:I37" si="69">D19/D18</f>
        <v>0.15738003183989083</v>
      </c>
      <c r="E37" s="136">
        <f t="shared" si="69"/>
        <v>0.17898022892819979</v>
      </c>
      <c r="F37" s="136">
        <f t="shared" si="69"/>
        <v>0.15408573067781328</v>
      </c>
      <c r="G37" s="136">
        <f t="shared" si="69"/>
        <v>0.13193197422625963</v>
      </c>
      <c r="H37" s="136">
        <f t="shared" si="69"/>
        <v>0.15840959293152415</v>
      </c>
      <c r="I37" s="136">
        <f t="shared" si="69"/>
        <v>0.14310355448777182</v>
      </c>
      <c r="J37" s="150">
        <f>AVERAGE(C37:D37)</f>
        <v>0.15746180561124834</v>
      </c>
      <c r="K37" s="150">
        <f t="shared" ref="K37:N37" si="70">AVERAGE(D37:E37)</f>
        <v>0.16818013038404531</v>
      </c>
      <c r="L37" s="150">
        <f t="shared" si="70"/>
        <v>0.16653297980300652</v>
      </c>
      <c r="M37" s="150">
        <f t="shared" si="70"/>
        <v>0.14300885245203646</v>
      </c>
      <c r="N37" s="150">
        <f t="shared" si="70"/>
        <v>0.1451707835788919</v>
      </c>
      <c r="O37" s="136"/>
      <c r="P37" s="136"/>
      <c r="Q37" s="136">
        <f t="shared" ref="Q37:AH37" si="71">Q19/Q18</f>
        <v>0.19345755693581781</v>
      </c>
      <c r="R37" s="136">
        <f t="shared" si="71"/>
        <v>0.53436546169970212</v>
      </c>
      <c r="S37" s="136">
        <f t="shared" si="71"/>
        <v>0.1196402486179933</v>
      </c>
      <c r="T37" s="136">
        <f t="shared" si="71"/>
        <v>0.13329968454258675</v>
      </c>
      <c r="U37" s="136">
        <f t="shared" si="71"/>
        <v>0.16249324071378063</v>
      </c>
      <c r="V37" s="136">
        <f t="shared" si="71"/>
        <v>0.16202305640663919</v>
      </c>
      <c r="W37" s="136">
        <f t="shared" si="71"/>
        <v>0.14795732044170096</v>
      </c>
      <c r="X37" s="136">
        <f t="shared" si="71"/>
        <v>0.15522206585394588</v>
      </c>
      <c r="Y37" s="136" t="e">
        <f t="shared" si="71"/>
        <v>#DIV/0!</v>
      </c>
      <c r="Z37" s="136" t="e">
        <f t="shared" si="71"/>
        <v>#DIV/0!</v>
      </c>
      <c r="AA37" s="136" t="e">
        <f t="shared" si="71"/>
        <v>#DIV/0!</v>
      </c>
      <c r="AB37" s="136" t="e">
        <f t="shared" si="71"/>
        <v>#DIV/0!</v>
      </c>
      <c r="AC37" s="136" t="e">
        <f t="shared" si="71"/>
        <v>#DIV/0!</v>
      </c>
      <c r="AD37" s="136" t="e">
        <f t="shared" si="71"/>
        <v>#DIV/0!</v>
      </c>
      <c r="AE37" s="136" t="e">
        <f t="shared" si="71"/>
        <v>#DIV/0!</v>
      </c>
      <c r="AF37" s="136" t="e">
        <f t="shared" si="71"/>
        <v>#DIV/0!</v>
      </c>
      <c r="AG37" s="136" t="e">
        <f t="shared" si="71"/>
        <v>#DIV/0!</v>
      </c>
      <c r="AH37" s="136" t="e">
        <f t="shared" si="71"/>
        <v>#DIV/0!</v>
      </c>
    </row>
    <row r="38" spans="2:35" x14ac:dyDescent="0.2">
      <c r="B38" t="s">
        <v>132</v>
      </c>
      <c r="D38" s="136">
        <f>D22/C22-1</f>
        <v>-3.4932946505226159E-3</v>
      </c>
      <c r="E38" s="136">
        <f t="shared" ref="E38:I38" si="72">E22/D22-1</f>
        <v>-6.3426517334600474E-3</v>
      </c>
      <c r="F38" s="136">
        <f t="shared" si="72"/>
        <v>-9.3953210254877906E-3</v>
      </c>
      <c r="G38" s="136">
        <f t="shared" si="72"/>
        <v>-3.7952811752544058E-3</v>
      </c>
      <c r="H38" s="136">
        <f t="shared" si="72"/>
        <v>-5.3018253427251638E-3</v>
      </c>
      <c r="I38" s="136">
        <f t="shared" si="72"/>
        <v>-8.7565674255691839E-3</v>
      </c>
      <c r="J38" s="150">
        <v>-0.01</v>
      </c>
      <c r="K38" s="150">
        <v>-0.01</v>
      </c>
      <c r="L38" s="150">
        <v>-0.01</v>
      </c>
      <c r="M38" s="150">
        <v>0</v>
      </c>
      <c r="N38" s="150">
        <v>0</v>
      </c>
      <c r="O38" s="136"/>
      <c r="P38" s="136"/>
      <c r="Q38" s="136"/>
      <c r="R38" s="136">
        <f t="shared" ref="R38" si="73">R22/Q22-1</f>
        <v>5.9815906385203288E-3</v>
      </c>
      <c r="S38" s="136">
        <f t="shared" ref="S38" si="74">S22/R22-1</f>
        <v>3.2327897243469295E-3</v>
      </c>
      <c r="T38" s="136">
        <f t="shared" ref="T38" si="75">T22/S22-1</f>
        <v>-3.6611330091780303E-3</v>
      </c>
      <c r="U38" s="136">
        <f t="shared" ref="U38" si="76">U22/T22-1</f>
        <v>-1.7008497029288416E-2</v>
      </c>
      <c r="V38" s="136">
        <f t="shared" ref="V38" si="77">V22/U22-1</f>
        <v>-1.9337118012969667E-2</v>
      </c>
      <c r="W38" s="136">
        <f t="shared" ref="W38" si="78">W22/V22-1</f>
        <v>-2.1908559874185607E-2</v>
      </c>
      <c r="X38" s="136">
        <f t="shared" ref="X38" si="79">X22/W22-1</f>
        <v>-3.0412819729481289E-2</v>
      </c>
      <c r="Y38" s="136">
        <f t="shared" ref="Y38" si="80">Y22/X22-1</f>
        <v>-1</v>
      </c>
      <c r="Z38" s="136" t="e">
        <f t="shared" ref="Z38" si="81">Z22/Y22-1</f>
        <v>#DIV/0!</v>
      </c>
      <c r="AA38" s="136" t="e">
        <f t="shared" ref="AA38" si="82">AA22/Z22-1</f>
        <v>#DIV/0!</v>
      </c>
      <c r="AB38" s="136" t="e">
        <f t="shared" ref="AB38" si="83">AB22/AA22-1</f>
        <v>#DIV/0!</v>
      </c>
      <c r="AC38" s="136" t="e">
        <f t="shared" ref="AC38" si="84">AC22/AB22-1</f>
        <v>#DIV/0!</v>
      </c>
      <c r="AD38" s="136" t="e">
        <f t="shared" ref="AD38" si="85">AD22/AC22-1</f>
        <v>#DIV/0!</v>
      </c>
      <c r="AE38" s="136" t="e">
        <f t="shared" ref="AE38" si="86">AE22/AD22-1</f>
        <v>#DIV/0!</v>
      </c>
      <c r="AF38" s="136" t="e">
        <f t="shared" ref="AF38" si="87">AF22/AE22-1</f>
        <v>#DIV/0!</v>
      </c>
      <c r="AG38" s="136" t="e">
        <f t="shared" ref="AG38" si="88">AG22/AF22-1</f>
        <v>#DIV/0!</v>
      </c>
      <c r="AH38" s="136" t="e">
        <f t="shared" ref="AH38" si="89">AH22/AG22-1</f>
        <v>#DIV/0!</v>
      </c>
    </row>
    <row r="39" spans="2:35" x14ac:dyDescent="0.2">
      <c r="J39" s="151"/>
      <c r="K39" s="151"/>
      <c r="L39" s="151"/>
      <c r="M39" s="151"/>
      <c r="N39" s="151"/>
      <c r="Q39" s="138"/>
      <c r="R39" s="138"/>
      <c r="S39" s="138"/>
      <c r="T39" s="138"/>
      <c r="U39" s="138"/>
      <c r="V39" s="138"/>
      <c r="W39" s="151"/>
      <c r="X39" s="151"/>
      <c r="Y39" s="151"/>
      <c r="Z39" s="151"/>
      <c r="AA39" s="151"/>
      <c r="AB39" s="151"/>
      <c r="AC39" s="151"/>
      <c r="AD39" s="151"/>
      <c r="AE39" s="151"/>
      <c r="AF39" s="151"/>
      <c r="AG39" s="151"/>
    </row>
    <row r="40" spans="2:35" x14ac:dyDescent="0.2">
      <c r="B40" t="s">
        <v>135</v>
      </c>
      <c r="J40">
        <v>1.21</v>
      </c>
      <c r="K40" s="151">
        <v>1.17</v>
      </c>
      <c r="L40" s="151">
        <v>1.26</v>
      </c>
      <c r="M40" s="151">
        <v>1.28</v>
      </c>
      <c r="N40" s="151">
        <v>1.46</v>
      </c>
      <c r="Q40" s="138"/>
      <c r="R40" s="138"/>
      <c r="S40" s="138"/>
      <c r="T40" s="138"/>
      <c r="U40" s="138"/>
      <c r="V40" s="138"/>
      <c r="W40" s="161">
        <v>4.75</v>
      </c>
      <c r="X40" s="161">
        <v>5.28</v>
      </c>
      <c r="Y40" s="138"/>
      <c r="Z40" s="138"/>
      <c r="AA40" s="138"/>
      <c r="AB40" s="138"/>
      <c r="AC40" s="138"/>
      <c r="AD40" s="138"/>
      <c r="AE40" s="138"/>
      <c r="AF40" s="138"/>
      <c r="AG40" s="138"/>
      <c r="AI40" s="138"/>
    </row>
    <row r="41" spans="2:35" x14ac:dyDescent="0.2">
      <c r="B41" t="s">
        <v>147</v>
      </c>
      <c r="J41">
        <v>76.63</v>
      </c>
      <c r="K41">
        <v>70.56</v>
      </c>
      <c r="L41">
        <v>73.739999999999995</v>
      </c>
      <c r="M41">
        <v>75.430000000000007</v>
      </c>
      <c r="N41">
        <v>85.24</v>
      </c>
      <c r="Q41" s="138"/>
      <c r="R41" s="138"/>
      <c r="S41" s="138"/>
      <c r="T41" s="138"/>
      <c r="U41" s="138"/>
      <c r="V41" s="138"/>
      <c r="W41" s="161">
        <v>283.32</v>
      </c>
      <c r="X41" s="161">
        <v>306.61</v>
      </c>
      <c r="Y41" s="138"/>
      <c r="Z41" s="138"/>
      <c r="AA41" s="138"/>
      <c r="AB41" s="138"/>
      <c r="AC41" s="138"/>
      <c r="AD41" s="138"/>
      <c r="AE41" s="138"/>
      <c r="AF41" s="138"/>
      <c r="AG41" s="138"/>
    </row>
    <row r="42" spans="2:35" s="138" customFormat="1" x14ac:dyDescent="0.2">
      <c r="B42" s="153" t="s">
        <v>148</v>
      </c>
      <c r="J42" s="138">
        <v>35</v>
      </c>
      <c r="K42" s="138">
        <v>25</v>
      </c>
      <c r="L42" s="138">
        <v>23</v>
      </c>
      <c r="M42" s="138">
        <v>23</v>
      </c>
      <c r="N42" s="138">
        <v>23</v>
      </c>
      <c r="W42" s="138">
        <v>41</v>
      </c>
      <c r="X42" s="138">
        <v>41</v>
      </c>
    </row>
    <row r="43" spans="2:35" s="138" customFormat="1" x14ac:dyDescent="0.2">
      <c r="B43" s="153"/>
    </row>
    <row r="44" spans="2:35" s="138" customFormat="1" x14ac:dyDescent="0.2">
      <c r="B44" s="153" t="s">
        <v>53</v>
      </c>
      <c r="Q44" s="138">
        <v>5267</v>
      </c>
      <c r="R44" s="138">
        <v>6103</v>
      </c>
      <c r="S44" s="138">
        <v>8164</v>
      </c>
      <c r="T44" s="138">
        <v>10856</v>
      </c>
      <c r="U44" s="138">
        <v>12905</v>
      </c>
      <c r="V44" s="138">
        <v>11555</v>
      </c>
    </row>
    <row r="45" spans="2:35" x14ac:dyDescent="0.2">
      <c r="B45" s="168" t="s">
        <v>55</v>
      </c>
      <c r="Q45" s="138">
        <v>-10212</v>
      </c>
      <c r="R45" s="138">
        <v>-13184</v>
      </c>
      <c r="S45" s="138">
        <v>-25139</v>
      </c>
      <c r="T45" s="138">
        <v>-23548</v>
      </c>
      <c r="U45" s="138">
        <v>-22281</v>
      </c>
      <c r="V45" s="138">
        <v>-24640</v>
      </c>
    </row>
    <row r="46" spans="2:35" x14ac:dyDescent="0.2">
      <c r="B46" s="136" t="s">
        <v>56</v>
      </c>
      <c r="C46" s="138"/>
      <c r="D46" s="138"/>
      <c r="E46" s="138"/>
      <c r="F46" s="138"/>
      <c r="G46" s="138"/>
      <c r="H46" s="138"/>
      <c r="I46" s="138"/>
      <c r="J46" s="138"/>
      <c r="K46" s="138"/>
      <c r="L46" s="138"/>
      <c r="M46" s="138"/>
      <c r="N46" s="138"/>
      <c r="Q46" s="138">
        <v>-2212</v>
      </c>
      <c r="R46" s="138">
        <v>-4065</v>
      </c>
      <c r="S46" s="138">
        <v>-6338</v>
      </c>
      <c r="T46" s="138">
        <v>-2920</v>
      </c>
      <c r="U46" s="138">
        <v>-5434</v>
      </c>
      <c r="V46" s="138">
        <v>2980</v>
      </c>
    </row>
    <row r="47" spans="2:35" s="155" customFormat="1" x14ac:dyDescent="0.2">
      <c r="B47" s="154"/>
      <c r="G47" s="154"/>
      <c r="H47" s="154"/>
      <c r="I47" s="154"/>
      <c r="J47" s="154"/>
      <c r="K47" s="154"/>
      <c r="L47" s="154"/>
      <c r="M47" s="154"/>
      <c r="N47" s="154"/>
    </row>
  </sheetData>
  <sheetProtection algorithmName="SHA-512" hashValue="4QkiHT8mumlqGVkR9WMG0NNh+rWlSjouoC1uMws7Nghmb5/QkXLmR+HiQezN6B6VeisRMGqpNdI49juHRiHd6w==" saltValue="QNd1KkYOlaB+qmeGd60Otw==" spinCount="100000" sheet="1" selectLockedCells="1"/>
  <pageMargins left="0.7" right="0.7" top="0.75" bottom="0.75" header="0.3" footer="0.3"/>
  <ignoredErrors>
    <ignoredError sqref="V3:V9"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8E33-E00A-4941-8817-9D6A3C8E44AD}">
  <dimension ref="A2:AD22"/>
  <sheetViews>
    <sheetView showGridLines="0" zoomScale="130" zoomScaleNormal="130" workbookViewId="0">
      <selection activeCell="H133" sqref="H133"/>
    </sheetView>
  </sheetViews>
  <sheetFormatPr baseColWidth="10" defaultColWidth="10.83203125" defaultRowHeight="16" x14ac:dyDescent="0.2"/>
  <cols>
    <col min="1" max="1" width="6.1640625" style="121" customWidth="1"/>
    <col min="2" max="5" width="10.83203125" style="121"/>
    <col min="6" max="6" width="12.83203125" style="121" customWidth="1"/>
    <col min="7" max="8" width="10.83203125" style="121"/>
    <col min="9" max="9" width="17" style="121" bestFit="1" customWidth="1"/>
    <col min="10" max="16384" width="10.83203125" style="121"/>
  </cols>
  <sheetData>
    <row r="2" spans="1:30" ht="22" thickBot="1" x14ac:dyDescent="0.3">
      <c r="A2" s="119"/>
      <c r="B2" s="120" t="s">
        <v>38</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row>
    <row r="4" spans="1:30" x14ac:dyDescent="0.2">
      <c r="B4" s="121" t="s">
        <v>110</v>
      </c>
    </row>
    <row r="5" spans="1:30" x14ac:dyDescent="0.2">
      <c r="B5" s="121" t="s">
        <v>111</v>
      </c>
    </row>
    <row r="7" spans="1:30" ht="20" customHeight="1" x14ac:dyDescent="0.2">
      <c r="B7" s="158" t="s">
        <v>112</v>
      </c>
      <c r="C7" s="159"/>
      <c r="D7" s="159"/>
      <c r="E7" s="159"/>
      <c r="F7" s="159"/>
    </row>
    <row r="9" spans="1:30" x14ac:dyDescent="0.2">
      <c r="B9" s="121" t="s">
        <v>73</v>
      </c>
      <c r="F9" s="122">
        <f>DCF!G5*DCF!D129</f>
        <v>1302117.284</v>
      </c>
      <c r="I9" s="122"/>
    </row>
    <row r="10" spans="1:30" x14ac:dyDescent="0.2">
      <c r="B10" s="121" t="s">
        <v>113</v>
      </c>
      <c r="F10" s="123">
        <f>DCF!T13+DCF!T14</f>
        <v>19193</v>
      </c>
    </row>
    <row r="11" spans="1:30" x14ac:dyDescent="0.2">
      <c r="B11" s="121" t="s">
        <v>23</v>
      </c>
      <c r="F11" s="124">
        <f>DCF!T15</f>
        <v>4.3799999999999999E-2</v>
      </c>
    </row>
    <row r="12" spans="1:30" x14ac:dyDescent="0.2">
      <c r="B12" s="121" t="s">
        <v>114</v>
      </c>
      <c r="F12" s="124">
        <f>DCF!K89</f>
        <v>0.14795732044170096</v>
      </c>
    </row>
    <row r="13" spans="1:30" x14ac:dyDescent="0.2">
      <c r="B13" s="125" t="s">
        <v>115</v>
      </c>
      <c r="C13" s="125"/>
      <c r="D13" s="125"/>
      <c r="E13" s="125"/>
      <c r="F13" s="126">
        <f>(F10)/(F10+F9)</f>
        <v>1.4525732700647019E-2</v>
      </c>
    </row>
    <row r="14" spans="1:30" x14ac:dyDescent="0.2">
      <c r="B14" s="127" t="s">
        <v>116</v>
      </c>
      <c r="C14" s="128"/>
      <c r="D14" s="128"/>
      <c r="E14" s="128"/>
      <c r="F14" s="129">
        <f>F11*(1-F12)</f>
        <v>3.7319469364653496E-2</v>
      </c>
    </row>
    <row r="16" spans="1:30" x14ac:dyDescent="0.2">
      <c r="B16" s="121" t="s">
        <v>117</v>
      </c>
      <c r="F16" s="124">
        <v>3.39E-2</v>
      </c>
    </row>
    <row r="17" spans="2:6" x14ac:dyDescent="0.2">
      <c r="B17" s="121" t="s">
        <v>30</v>
      </c>
      <c r="F17" s="130">
        <f>DCF!T20</f>
        <v>5.11E-2</v>
      </c>
    </row>
    <row r="18" spans="2:6" x14ac:dyDescent="0.2">
      <c r="B18" s="121" t="s">
        <v>31</v>
      </c>
      <c r="F18" s="121">
        <f>DCF!T21</f>
        <v>1.29</v>
      </c>
    </row>
    <row r="19" spans="2:6" x14ac:dyDescent="0.2">
      <c r="B19" s="125" t="s">
        <v>118</v>
      </c>
      <c r="C19" s="125"/>
      <c r="D19" s="125"/>
      <c r="E19" s="125"/>
      <c r="F19" s="126">
        <f>1-F13</f>
        <v>0.98547426729935295</v>
      </c>
    </row>
    <row r="20" spans="2:6" x14ac:dyDescent="0.2">
      <c r="B20" s="131" t="s">
        <v>119</v>
      </c>
      <c r="F20" s="130">
        <f>F16+F18*F17</f>
        <v>9.9819000000000005E-2</v>
      </c>
    </row>
    <row r="22" spans="2:6" ht="26" customHeight="1" x14ac:dyDescent="0.2">
      <c r="B22" s="132" t="s">
        <v>38</v>
      </c>
      <c r="C22" s="133"/>
      <c r="D22" s="133"/>
      <c r="E22" s="133"/>
      <c r="F22" s="134">
        <f>F14*F13+F20*F19</f>
        <v>9.8911148524075052E-2</v>
      </c>
    </row>
  </sheetData>
  <sheetProtection algorithmName="SHA-512" hashValue="xlWvcybKVxFj2geSW/gEGH3G/F3C7jO63nOq6EB6/4xaeu2myHEifotqKhWXsI7HvckBxUjgnfqaEEjIYKBO2A==" saltValue="WouyJ6pWcpO9rk2/M08aSA==" spinCount="100000" sheet="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2023-01-23T06:26:48Z</dcterms:created>
  <dcterms:modified xsi:type="dcterms:W3CDTF">2023-01-23T08:21:29Z</dcterms:modified>
</cp:coreProperties>
</file>