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0246A4B9-EE4A-184D-B9BC-A03AE6A654D6}" xr6:coauthVersionLast="47" xr6:coauthVersionMax="47" xr10:uidLastSave="{00000000-0000-0000-0000-000000000000}"/>
  <bookViews>
    <workbookView xWindow="0" yWindow="500" windowWidth="38400" windowHeight="19240" xr2:uid="{3D6F4DA7-775C-8148-BBD0-D8F3862603B6}"/>
  </bookViews>
  <sheets>
    <sheet name="DCF" sheetId="1" r:id="rId1"/>
    <sheet name="Financials + KPIs" sheetId="2" r:id="rId2"/>
    <sheet name="WAC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1" l="1"/>
  <c r="D27" i="1"/>
  <c r="D29" i="1"/>
  <c r="D107" i="1" l="1"/>
  <c r="D105" i="1"/>
  <c r="L128" i="1"/>
  <c r="M128" i="1" s="1"/>
  <c r="N128" i="1" s="1"/>
  <c r="O128" i="1" s="1"/>
  <c r="P128" i="1" s="1"/>
  <c r="Q128" i="1" s="1"/>
  <c r="R128" i="1" s="1"/>
  <c r="S128" i="1" s="1"/>
  <c r="T128" i="1" s="1"/>
  <c r="U128" i="1" s="1"/>
  <c r="J128" i="1"/>
  <c r="I128" i="1" s="1"/>
  <c r="H128" i="1" s="1"/>
  <c r="G128" i="1" s="1"/>
  <c r="F128" i="1" s="1"/>
  <c r="E128" i="1" s="1"/>
  <c r="L58" i="1"/>
  <c r="M58" i="1" s="1"/>
  <c r="N58" i="1" s="1"/>
  <c r="O58" i="1" s="1"/>
  <c r="P58" i="1" s="1"/>
  <c r="Q58" i="1" s="1"/>
  <c r="R58" i="1" s="1"/>
  <c r="S58" i="1" s="1"/>
  <c r="T58" i="1" s="1"/>
  <c r="U58" i="1" s="1"/>
  <c r="J58" i="1"/>
  <c r="I58" i="1" s="1"/>
  <c r="H58" i="1" s="1"/>
  <c r="G58" i="1" s="1"/>
  <c r="F58" i="1" s="1"/>
  <c r="E58" i="1" s="1"/>
  <c r="U70" i="1"/>
  <c r="F69" i="1"/>
  <c r="G69" i="1"/>
  <c r="H69" i="1"/>
  <c r="I69" i="1"/>
  <c r="J69" i="1"/>
  <c r="E69" i="1"/>
  <c r="F62" i="1"/>
  <c r="G62" i="1"/>
  <c r="H62" i="1"/>
  <c r="I62" i="1"/>
  <c r="J62" i="1"/>
  <c r="L44" i="1"/>
  <c r="X35" i="2"/>
  <c r="Y35" i="2"/>
  <c r="AD35" i="2"/>
  <c r="AE35" i="2"/>
  <c r="AF35" i="2"/>
  <c r="AG35" i="2"/>
  <c r="AH35" i="2"/>
  <c r="AI35" i="2"/>
  <c r="AJ35" i="2"/>
  <c r="AK35" i="2"/>
  <c r="H35" i="2"/>
  <c r="D7" i="2"/>
  <c r="E7" i="2"/>
  <c r="F7" i="2"/>
  <c r="G7" i="2"/>
  <c r="H7" i="2"/>
  <c r="I7" i="2"/>
  <c r="I35" i="2" s="1"/>
  <c r="J7" i="2"/>
  <c r="J35" i="2" s="1"/>
  <c r="K7" i="2"/>
  <c r="K35" i="2" s="1"/>
  <c r="L7" i="2"/>
  <c r="M7" i="2"/>
  <c r="V7" i="2"/>
  <c r="W7" i="2"/>
  <c r="W35" i="2" s="1"/>
  <c r="X7" i="2"/>
  <c r="Y7" i="2"/>
  <c r="Z7" i="2"/>
  <c r="Z35" i="2" s="1"/>
  <c r="AA7" i="2"/>
  <c r="AA35" i="2" s="1"/>
  <c r="C7" i="2"/>
  <c r="W37" i="2"/>
  <c r="W33" i="2"/>
  <c r="W31" i="2"/>
  <c r="AA31" i="2"/>
  <c r="AA32" i="2"/>
  <c r="AA38" i="2"/>
  <c r="AA27" i="2"/>
  <c r="AA37" i="2"/>
  <c r="AA40" i="2"/>
  <c r="AB20" i="2"/>
  <c r="X27" i="2"/>
  <c r="Y27" i="2"/>
  <c r="Z27" i="2"/>
  <c r="X28" i="2"/>
  <c r="Y28" i="2"/>
  <c r="Z28" i="2"/>
  <c r="AA28" i="2"/>
  <c r="W30" i="2"/>
  <c r="X30" i="2"/>
  <c r="Y30" i="2"/>
  <c r="Z30" i="2"/>
  <c r="AA30" i="2"/>
  <c r="X31" i="2"/>
  <c r="Y31" i="2"/>
  <c r="Z31" i="2"/>
  <c r="W32" i="2"/>
  <c r="X32" i="2"/>
  <c r="Y32" i="2"/>
  <c r="Z32" i="2"/>
  <c r="X33" i="2"/>
  <c r="Y33" i="2"/>
  <c r="Z33" i="2"/>
  <c r="AA33" i="2"/>
  <c r="W34" i="2"/>
  <c r="X34" i="2"/>
  <c r="Y34" i="2"/>
  <c r="Z34" i="2"/>
  <c r="X37" i="2"/>
  <c r="Y37" i="2"/>
  <c r="Z37" i="2"/>
  <c r="W38" i="2"/>
  <c r="X38" i="2"/>
  <c r="Y38" i="2"/>
  <c r="Z38" i="2"/>
  <c r="W39" i="2"/>
  <c r="X39" i="2"/>
  <c r="Y39" i="2"/>
  <c r="Z39" i="2"/>
  <c r="AA39" i="2"/>
  <c r="W40" i="2"/>
  <c r="X40" i="2"/>
  <c r="Y40" i="2"/>
  <c r="Z40" i="2"/>
  <c r="W41" i="2"/>
  <c r="X41" i="2"/>
  <c r="Y41" i="2"/>
  <c r="Z41" i="2"/>
  <c r="AA41" i="2"/>
  <c r="W42" i="2"/>
  <c r="X42" i="2"/>
  <c r="Y42" i="2"/>
  <c r="Z42" i="2"/>
  <c r="AA42" i="2"/>
  <c r="W43" i="2"/>
  <c r="X43" i="2"/>
  <c r="Y43" i="2"/>
  <c r="Z43" i="2"/>
  <c r="AA43" i="2"/>
  <c r="AB43" i="2" s="1"/>
  <c r="K70" i="1" s="1"/>
  <c r="O3" i="2"/>
  <c r="F47" i="1"/>
  <c r="G47" i="1"/>
  <c r="H47" i="1"/>
  <c r="I47" i="1"/>
  <c r="E47" i="1"/>
  <c r="F40" i="1"/>
  <c r="G40" i="1"/>
  <c r="H40" i="1"/>
  <c r="I40" i="1"/>
  <c r="J40" i="1"/>
  <c r="E40" i="1"/>
  <c r="F33" i="1"/>
  <c r="G33" i="1"/>
  <c r="H33" i="1"/>
  <c r="I33" i="1"/>
  <c r="J33" i="1"/>
  <c r="E33" i="1"/>
  <c r="V18" i="2"/>
  <c r="V14" i="2"/>
  <c r="V9" i="2"/>
  <c r="W28" i="2" s="1"/>
  <c r="M38" i="2"/>
  <c r="L38" i="2"/>
  <c r="K38" i="2"/>
  <c r="J38" i="2"/>
  <c r="I38" i="2"/>
  <c r="H38" i="2"/>
  <c r="G38" i="2"/>
  <c r="M34" i="2"/>
  <c r="L34" i="2"/>
  <c r="K34" i="2"/>
  <c r="J34" i="2"/>
  <c r="I34" i="2"/>
  <c r="H34" i="2"/>
  <c r="G34" i="2"/>
  <c r="M33" i="2"/>
  <c r="L33" i="2"/>
  <c r="K33" i="2"/>
  <c r="J33" i="2"/>
  <c r="I33" i="2"/>
  <c r="H33" i="2"/>
  <c r="G33" i="2"/>
  <c r="M32" i="2"/>
  <c r="L32" i="2"/>
  <c r="K32" i="2"/>
  <c r="J32" i="2"/>
  <c r="I32" i="2"/>
  <c r="H32" i="2"/>
  <c r="G32" i="2"/>
  <c r="M31" i="2"/>
  <c r="L31" i="2"/>
  <c r="K31" i="2"/>
  <c r="J31" i="2"/>
  <c r="I31" i="2"/>
  <c r="H31" i="2"/>
  <c r="G31" i="2"/>
  <c r="M30" i="2"/>
  <c r="L30" i="2"/>
  <c r="K30" i="2"/>
  <c r="J30" i="2"/>
  <c r="I30" i="2"/>
  <c r="H30" i="2"/>
  <c r="G30" i="2"/>
  <c r="N25" i="2"/>
  <c r="O25" i="2" s="1"/>
  <c r="P25" i="2" s="1"/>
  <c r="Q25" i="2" s="1"/>
  <c r="R25" i="2" s="1"/>
  <c r="AB25" i="2" s="1"/>
  <c r="N22" i="2"/>
  <c r="M18" i="2"/>
  <c r="L18" i="2"/>
  <c r="K18" i="2"/>
  <c r="J18" i="2"/>
  <c r="I18" i="2"/>
  <c r="H18" i="2"/>
  <c r="G18" i="2"/>
  <c r="F18" i="2"/>
  <c r="E18" i="2"/>
  <c r="D18" i="2"/>
  <c r="C18" i="2"/>
  <c r="N17" i="2"/>
  <c r="N16" i="2"/>
  <c r="M14" i="2"/>
  <c r="L14" i="2"/>
  <c r="K14" i="2"/>
  <c r="J14" i="2"/>
  <c r="I14" i="2"/>
  <c r="H14" i="2"/>
  <c r="G14" i="2"/>
  <c r="F14" i="2"/>
  <c r="E14" i="2"/>
  <c r="D14" i="2"/>
  <c r="C14" i="2"/>
  <c r="N13" i="2"/>
  <c r="N12" i="2"/>
  <c r="Q10" i="2"/>
  <c r="Q13" i="2" s="1"/>
  <c r="P10" i="2"/>
  <c r="P13" i="2" s="1"/>
  <c r="O10" i="2"/>
  <c r="O13" i="2" s="1"/>
  <c r="N10" i="2"/>
  <c r="N34" i="2" s="1"/>
  <c r="M9" i="2"/>
  <c r="L9" i="2"/>
  <c r="L11" i="2" s="1"/>
  <c r="K9" i="2"/>
  <c r="J9" i="2"/>
  <c r="I9" i="2"/>
  <c r="I11" i="2" s="1"/>
  <c r="H9" i="2"/>
  <c r="H11" i="2" s="1"/>
  <c r="G9" i="2"/>
  <c r="G37" i="2" s="1"/>
  <c r="F9" i="2"/>
  <c r="F11" i="2" s="1"/>
  <c r="E9" i="2"/>
  <c r="E11" i="2" s="1"/>
  <c r="D9" i="2"/>
  <c r="D11" i="2" s="1"/>
  <c r="C9" i="2"/>
  <c r="C11" i="2" s="1"/>
  <c r="Q6" i="2"/>
  <c r="P6" i="2"/>
  <c r="O6" i="2"/>
  <c r="N6" i="2"/>
  <c r="N33" i="2" s="1"/>
  <c r="Q5" i="2"/>
  <c r="P5" i="2"/>
  <c r="O5" i="2"/>
  <c r="N5" i="2"/>
  <c r="N32" i="2" s="1"/>
  <c r="Q4" i="2"/>
  <c r="Q7" i="2" s="1"/>
  <c r="Q35" i="2" s="1"/>
  <c r="P4" i="2"/>
  <c r="O4" i="2"/>
  <c r="N4" i="2"/>
  <c r="N31" i="2" s="1"/>
  <c r="Q3" i="2"/>
  <c r="P3" i="2"/>
  <c r="N3" i="2"/>
  <c r="N30" i="2" s="1"/>
  <c r="G35" i="2" l="1"/>
  <c r="M35" i="2"/>
  <c r="P7" i="2"/>
  <c r="P35" i="2" s="1"/>
  <c r="L35" i="2"/>
  <c r="N7" i="2"/>
  <c r="N35" i="2" s="1"/>
  <c r="O7" i="2"/>
  <c r="O35" i="2" s="1"/>
  <c r="G28" i="2"/>
  <c r="V11" i="2"/>
  <c r="AA34" i="2"/>
  <c r="J47" i="1"/>
  <c r="F15" i="2"/>
  <c r="F19" i="2" s="1"/>
  <c r="F21" i="2" s="1"/>
  <c r="F23" i="2" s="1"/>
  <c r="F24" i="2" s="1"/>
  <c r="E15" i="2"/>
  <c r="E19" i="2" s="1"/>
  <c r="E21" i="2" s="1"/>
  <c r="E23" i="2" s="1"/>
  <c r="E24" i="2" s="1"/>
  <c r="O9" i="2"/>
  <c r="O12" i="2" s="1"/>
  <c r="R4" i="2"/>
  <c r="R6" i="2"/>
  <c r="AB6" i="2" s="1"/>
  <c r="AB33" i="2" s="1"/>
  <c r="J28" i="2"/>
  <c r="R10" i="2"/>
  <c r="AB10" i="2" s="1"/>
  <c r="C15" i="2"/>
  <c r="C19" i="2" s="1"/>
  <c r="C21" i="2" s="1"/>
  <c r="C23" i="2" s="1"/>
  <c r="C24" i="2" s="1"/>
  <c r="D15" i="2"/>
  <c r="D19" i="2" s="1"/>
  <c r="D21" i="2" s="1"/>
  <c r="D23" i="2" s="1"/>
  <c r="D24" i="2" s="1"/>
  <c r="J11" i="2"/>
  <c r="J41" i="2" s="1"/>
  <c r="P9" i="2"/>
  <c r="P11" i="2" s="1"/>
  <c r="K28" i="2"/>
  <c r="H37" i="2"/>
  <c r="L37" i="2"/>
  <c r="N9" i="2"/>
  <c r="N37" i="2" s="1"/>
  <c r="M11" i="2"/>
  <c r="M15" i="2" s="1"/>
  <c r="H28" i="2"/>
  <c r="Q9" i="2"/>
  <c r="Q11" i="2" s="1"/>
  <c r="L28" i="2"/>
  <c r="H40" i="2"/>
  <c r="H41" i="2"/>
  <c r="H15" i="2"/>
  <c r="H27" i="2"/>
  <c r="I41" i="2"/>
  <c r="I40" i="2"/>
  <c r="I27" i="2"/>
  <c r="I15" i="2"/>
  <c r="L41" i="2"/>
  <c r="P41" i="2" s="1"/>
  <c r="L27" i="2"/>
  <c r="L15" i="2"/>
  <c r="L40" i="2"/>
  <c r="P40" i="2" s="1"/>
  <c r="K11" i="2"/>
  <c r="M28" i="2"/>
  <c r="I37" i="2"/>
  <c r="N18" i="2"/>
  <c r="N38" i="2"/>
  <c r="R38" i="2" s="1"/>
  <c r="J37" i="2"/>
  <c r="K37" i="2"/>
  <c r="R3" i="2"/>
  <c r="G11" i="2"/>
  <c r="I28" i="2"/>
  <c r="M37" i="2"/>
  <c r="R5" i="2"/>
  <c r="AB5" i="2" s="1"/>
  <c r="AB32" i="2" s="1"/>
  <c r="N14" i="2"/>
  <c r="P28" i="2" l="1"/>
  <c r="Q28" i="2"/>
  <c r="AB4" i="2"/>
  <c r="R7" i="2"/>
  <c r="R35" i="2" s="1"/>
  <c r="P12" i="2"/>
  <c r="P14" i="2" s="1"/>
  <c r="P15" i="2" s="1"/>
  <c r="O14" i="2"/>
  <c r="AB34" i="2"/>
  <c r="K50" i="1" s="1"/>
  <c r="AB3" i="2"/>
  <c r="AB30" i="2" s="1"/>
  <c r="K36" i="1" s="1"/>
  <c r="W27" i="2"/>
  <c r="V15" i="2"/>
  <c r="V19" i="2" s="1"/>
  <c r="O28" i="2"/>
  <c r="R13" i="2"/>
  <c r="AB13" i="2" s="1"/>
  <c r="AB38" i="2" s="1"/>
  <c r="O11" i="2"/>
  <c r="O27" i="2" s="1"/>
  <c r="J15" i="2"/>
  <c r="J39" i="2" s="1"/>
  <c r="J27" i="2"/>
  <c r="R9" i="2"/>
  <c r="R11" i="2" s="1"/>
  <c r="J40" i="2"/>
  <c r="M41" i="2"/>
  <c r="Q41" i="2" s="1"/>
  <c r="Q17" i="2" s="1"/>
  <c r="M40" i="2"/>
  <c r="Q40" i="2" s="1"/>
  <c r="Q16" i="2" s="1"/>
  <c r="N28" i="2"/>
  <c r="N11" i="2"/>
  <c r="Q37" i="2"/>
  <c r="Q12" i="2" s="1"/>
  <c r="Q14" i="2" s="1"/>
  <c r="Q15" i="2" s="1"/>
  <c r="M27" i="2"/>
  <c r="H39" i="2"/>
  <c r="H19" i="2"/>
  <c r="Q27" i="2"/>
  <c r="L39" i="2"/>
  <c r="L19" i="2"/>
  <c r="P16" i="2"/>
  <c r="P27" i="2"/>
  <c r="P17" i="2"/>
  <c r="K41" i="2"/>
  <c r="K27" i="2"/>
  <c r="K15" i="2"/>
  <c r="K40" i="2"/>
  <c r="I39" i="2"/>
  <c r="I19" i="2"/>
  <c r="M19" i="2"/>
  <c r="M39" i="2"/>
  <c r="G27" i="2"/>
  <c r="G15" i="2"/>
  <c r="G40" i="2"/>
  <c r="G41" i="2"/>
  <c r="J19" i="2" l="1"/>
  <c r="V21" i="2"/>
  <c r="V23" i="2" s="1"/>
  <c r="E62" i="1"/>
  <c r="K49" i="1"/>
  <c r="K51" i="1"/>
  <c r="K48" i="1"/>
  <c r="O16" i="2"/>
  <c r="AB31" i="2"/>
  <c r="AB7" i="2"/>
  <c r="O17" i="2"/>
  <c r="O15" i="2"/>
  <c r="O39" i="2" s="1"/>
  <c r="N41" i="2"/>
  <c r="R41" i="2" s="1"/>
  <c r="AB11" i="2"/>
  <c r="AB27" i="2" s="1"/>
  <c r="AB9" i="2"/>
  <c r="AB28" i="2" s="1"/>
  <c r="R28" i="2"/>
  <c r="N27" i="2"/>
  <c r="N40" i="2"/>
  <c r="R40" i="2" s="1"/>
  <c r="R16" i="2" s="1"/>
  <c r="N15" i="2"/>
  <c r="N19" i="2" s="1"/>
  <c r="R37" i="2"/>
  <c r="R12" i="2" s="1"/>
  <c r="AB12" i="2" s="1"/>
  <c r="R17" i="2"/>
  <c r="R27" i="2"/>
  <c r="I42" i="2"/>
  <c r="I21" i="2"/>
  <c r="J42" i="2"/>
  <c r="J21" i="2"/>
  <c r="M21" i="2"/>
  <c r="M42" i="2"/>
  <c r="Q39" i="2"/>
  <c r="P39" i="2"/>
  <c r="G39" i="2"/>
  <c r="G19" i="2"/>
  <c r="P18" i="2"/>
  <c r="P19" i="2" s="1"/>
  <c r="Q18" i="2"/>
  <c r="Q19" i="2" s="1"/>
  <c r="H42" i="2"/>
  <c r="H21" i="2"/>
  <c r="K39" i="2"/>
  <c r="K19" i="2"/>
  <c r="L21" i="2"/>
  <c r="L42" i="2"/>
  <c r="O18" i="2" l="1"/>
  <c r="AB16" i="2"/>
  <c r="AB40" i="2" s="1"/>
  <c r="AB17" i="2"/>
  <c r="AB41" i="2" s="1"/>
  <c r="AB35" i="2"/>
  <c r="K43" i="1" s="1"/>
  <c r="AC35" i="2"/>
  <c r="AB37" i="2"/>
  <c r="O19" i="2"/>
  <c r="O42" i="2" s="1"/>
  <c r="R14" i="2"/>
  <c r="AB14" i="2" s="1"/>
  <c r="N39" i="2"/>
  <c r="R18" i="2"/>
  <c r="AB18" i="2" s="1"/>
  <c r="P42" i="2"/>
  <c r="P21" i="2"/>
  <c r="Q42" i="2"/>
  <c r="Q21" i="2"/>
  <c r="H23" i="2"/>
  <c r="H24" i="2" s="1"/>
  <c r="H43" i="2"/>
  <c r="G42" i="2"/>
  <c r="G21" i="2"/>
  <c r="I43" i="2"/>
  <c r="I23" i="2"/>
  <c r="I24" i="2" s="1"/>
  <c r="L43" i="2"/>
  <c r="L23" i="2"/>
  <c r="L24" i="2" s="1"/>
  <c r="M23" i="2"/>
  <c r="M24" i="2" s="1"/>
  <c r="M43" i="2"/>
  <c r="K21" i="2"/>
  <c r="K42" i="2"/>
  <c r="J43" i="2"/>
  <c r="J23" i="2"/>
  <c r="J24" i="2" s="1"/>
  <c r="N42" i="2"/>
  <c r="N21" i="2"/>
  <c r="O21" i="2" l="1"/>
  <c r="O22" i="2" s="1"/>
  <c r="R15" i="2"/>
  <c r="AB15" i="2" s="1"/>
  <c r="AB39" i="2" s="1"/>
  <c r="N23" i="2"/>
  <c r="N24" i="2" s="1"/>
  <c r="N43" i="2"/>
  <c r="G23" i="2"/>
  <c r="G24" i="2" s="1"/>
  <c r="G43" i="2"/>
  <c r="Q22" i="2"/>
  <c r="Q23" i="2" s="1"/>
  <c r="Q24" i="2" s="1"/>
  <c r="K43" i="2"/>
  <c r="K23" i="2"/>
  <c r="K24" i="2" s="1"/>
  <c r="P22" i="2"/>
  <c r="P23" i="2" s="1"/>
  <c r="P24" i="2" s="1"/>
  <c r="O23" i="2" l="1"/>
  <c r="R19" i="2"/>
  <c r="AB19" i="2" s="1"/>
  <c r="AB42" i="2" s="1"/>
  <c r="K65" i="1" s="1"/>
  <c r="R39" i="2"/>
  <c r="O24" i="2" l="1"/>
  <c r="R42" i="2"/>
  <c r="R21" i="2"/>
  <c r="AB21" i="2" s="1"/>
  <c r="R22" i="2" l="1"/>
  <c r="AB22" i="2" s="1"/>
  <c r="F18" i="3"/>
  <c r="F17" i="3"/>
  <c r="F11" i="3"/>
  <c r="F10" i="3"/>
  <c r="AC2" i="2"/>
  <c r="AD2" i="2" s="1"/>
  <c r="AE2" i="2" s="1"/>
  <c r="AF2" i="2" s="1"/>
  <c r="AG2" i="2" s="1"/>
  <c r="AH2" i="2" s="1"/>
  <c r="AI2" i="2" s="1"/>
  <c r="AJ2" i="2" s="1"/>
  <c r="AK2" i="2" s="1"/>
  <c r="Y2" i="2"/>
  <c r="Z2" i="2" s="1"/>
  <c r="AA2" i="2" s="1"/>
  <c r="N120" i="1"/>
  <c r="O120" i="1" s="1"/>
  <c r="P120" i="1" s="1"/>
  <c r="D110" i="1"/>
  <c r="D106" i="1"/>
  <c r="D104" i="1"/>
  <c r="L90" i="1"/>
  <c r="M90" i="1" s="1"/>
  <c r="N90" i="1" s="1"/>
  <c r="O90" i="1" s="1"/>
  <c r="P90" i="1" s="1"/>
  <c r="Q90" i="1" s="1"/>
  <c r="R90" i="1" s="1"/>
  <c r="S90" i="1" s="1"/>
  <c r="T90" i="1" s="1"/>
  <c r="L89" i="1"/>
  <c r="M89" i="1" s="1"/>
  <c r="N89" i="1" s="1"/>
  <c r="O89" i="1" s="1"/>
  <c r="P89" i="1" s="1"/>
  <c r="Q89" i="1" s="1"/>
  <c r="R89" i="1" s="1"/>
  <c r="S89" i="1" s="1"/>
  <c r="T89" i="1" s="1"/>
  <c r="J81" i="1"/>
  <c r="I81" i="1"/>
  <c r="H81" i="1"/>
  <c r="G81" i="1"/>
  <c r="F81" i="1"/>
  <c r="E81" i="1"/>
  <c r="J78" i="1"/>
  <c r="J141" i="1" s="1"/>
  <c r="I78" i="1"/>
  <c r="I141" i="1" s="1"/>
  <c r="H78" i="1"/>
  <c r="G78" i="1"/>
  <c r="G141" i="1" s="1"/>
  <c r="F78" i="1"/>
  <c r="F141" i="1" s="1"/>
  <c r="E78" i="1"/>
  <c r="J74" i="1"/>
  <c r="J133" i="1" s="1"/>
  <c r="J140" i="1" s="1"/>
  <c r="I74" i="1"/>
  <c r="I133" i="1" s="1"/>
  <c r="I140" i="1" s="1"/>
  <c r="H74" i="1"/>
  <c r="G74" i="1"/>
  <c r="F74" i="1"/>
  <c r="E74" i="1"/>
  <c r="E133" i="1" s="1"/>
  <c r="E140" i="1" s="1"/>
  <c r="J137" i="1"/>
  <c r="I137" i="1"/>
  <c r="H137" i="1"/>
  <c r="G137" i="1"/>
  <c r="E137" i="1"/>
  <c r="U66" i="1"/>
  <c r="O66" i="1"/>
  <c r="O65" i="1"/>
  <c r="P65" i="1" s="1"/>
  <c r="Q65" i="1" s="1"/>
  <c r="Q63" i="1" s="1"/>
  <c r="Q136" i="1" s="1"/>
  <c r="U64" i="1"/>
  <c r="O64" i="1"/>
  <c r="J135" i="1"/>
  <c r="L57" i="1"/>
  <c r="M57" i="1" s="1"/>
  <c r="N57" i="1" s="1"/>
  <c r="O57" i="1" s="1"/>
  <c r="P57" i="1" s="1"/>
  <c r="Q57" i="1" s="1"/>
  <c r="R57" i="1" s="1"/>
  <c r="S57" i="1" s="1"/>
  <c r="T57" i="1" s="1"/>
  <c r="U57" i="1" s="1"/>
  <c r="L70" i="1" s="1"/>
  <c r="M70" i="1" s="1"/>
  <c r="N70" i="1" s="1"/>
  <c r="O70" i="1" s="1"/>
  <c r="P70" i="1" s="1"/>
  <c r="Q70" i="1" s="1"/>
  <c r="R70" i="1" s="1"/>
  <c r="S70" i="1" s="1"/>
  <c r="T70" i="1" s="1"/>
  <c r="F57" i="1"/>
  <c r="G57" i="1" s="1"/>
  <c r="H57" i="1" s="1"/>
  <c r="I57" i="1" s="1"/>
  <c r="J57" i="1" s="1"/>
  <c r="U51" i="1"/>
  <c r="N51" i="1"/>
  <c r="U50" i="1"/>
  <c r="N50" i="1"/>
  <c r="U49" i="1"/>
  <c r="N49" i="1"/>
  <c r="U44" i="1"/>
  <c r="U43" i="1"/>
  <c r="U41" i="1" s="1"/>
  <c r="L43" i="1"/>
  <c r="L41" i="1" s="1"/>
  <c r="U42" i="1"/>
  <c r="L42" i="1"/>
  <c r="U37" i="1"/>
  <c r="L37" i="1"/>
  <c r="U36" i="1"/>
  <c r="U34" i="1" s="1"/>
  <c r="L36" i="1"/>
  <c r="L34" i="1" s="1"/>
  <c r="U35" i="1"/>
  <c r="L35" i="1"/>
  <c r="L32" i="1"/>
  <c r="M32" i="1" s="1"/>
  <c r="N32" i="1" s="1"/>
  <c r="O32" i="1" s="1"/>
  <c r="P32" i="1" s="1"/>
  <c r="Q32" i="1" s="1"/>
  <c r="R32" i="1" s="1"/>
  <c r="S32" i="1" s="1"/>
  <c r="T32" i="1" s="1"/>
  <c r="U32" i="1" s="1"/>
  <c r="J32" i="1"/>
  <c r="I32" i="1" s="1"/>
  <c r="H32" i="1" s="1"/>
  <c r="G32" i="1" s="1"/>
  <c r="F32" i="1" s="1"/>
  <c r="E32" i="1" s="1"/>
  <c r="L31" i="1"/>
  <c r="M31" i="1" s="1"/>
  <c r="N31" i="1" s="1"/>
  <c r="O31" i="1" s="1"/>
  <c r="P31" i="1" s="1"/>
  <c r="Q31" i="1" s="1"/>
  <c r="R31" i="1" s="1"/>
  <c r="S31" i="1" s="1"/>
  <c r="T31" i="1" s="1"/>
  <c r="U31" i="1" s="1"/>
  <c r="F31" i="1"/>
  <c r="G31" i="1" s="1"/>
  <c r="H31" i="1" s="1"/>
  <c r="I31" i="1" s="1"/>
  <c r="J31" i="1" s="1"/>
  <c r="L115" i="1"/>
  <c r="P23" i="1"/>
  <c r="H23" i="1"/>
  <c r="J18" i="1"/>
  <c r="N18" i="1" s="1"/>
  <c r="G5" i="1" a="1"/>
  <c r="G5" i="1" s="1"/>
  <c r="F9" i="3" s="1"/>
  <c r="U48" i="1" l="1"/>
  <c r="L138" i="1"/>
  <c r="M120" i="1"/>
  <c r="L120" i="1" s="1"/>
  <c r="F20" i="3"/>
  <c r="F120" i="1"/>
  <c r="E120" i="1" s="1"/>
  <c r="D120" i="1" s="1"/>
  <c r="D115" i="1"/>
  <c r="M138" i="1"/>
  <c r="P64" i="1"/>
  <c r="Q64" i="1" s="1"/>
  <c r="R64" i="1" s="1"/>
  <c r="S64" i="1" s="1"/>
  <c r="T64" i="1" s="1"/>
  <c r="O63" i="1"/>
  <c r="O136" i="1" s="1"/>
  <c r="N48" i="1"/>
  <c r="R23" i="2"/>
  <c r="AB23" i="2" s="1"/>
  <c r="X44" i="2"/>
  <c r="F76" i="1"/>
  <c r="F134" i="1" s="1"/>
  <c r="I41" i="1"/>
  <c r="H41" i="1"/>
  <c r="G54" i="1"/>
  <c r="Y44" i="2"/>
  <c r="E70" i="1"/>
  <c r="E138" i="1" s="1"/>
  <c r="AC11" i="2"/>
  <c r="AD11" i="2" s="1"/>
  <c r="AE11" i="2" s="1"/>
  <c r="AF11" i="2" s="1"/>
  <c r="AG11" i="2" s="1"/>
  <c r="AH11" i="2" s="1"/>
  <c r="AI11" i="2" s="1"/>
  <c r="AJ11" i="2" s="1"/>
  <c r="AK11" i="2" s="1"/>
  <c r="F41" i="1"/>
  <c r="E54" i="1"/>
  <c r="E59" i="1" s="1"/>
  <c r="E129" i="1" s="1"/>
  <c r="F34" i="1"/>
  <c r="F48" i="1"/>
  <c r="H34" i="1"/>
  <c r="AC12" i="2"/>
  <c r="AD12" i="2" s="1"/>
  <c r="AE12" i="2" s="1"/>
  <c r="AF12" i="2" s="1"/>
  <c r="AG12" i="2" s="1"/>
  <c r="AH12" i="2" s="1"/>
  <c r="AI12" i="2" s="1"/>
  <c r="AJ12" i="2" s="1"/>
  <c r="AK12" i="2" s="1"/>
  <c r="I34" i="1"/>
  <c r="I76" i="1"/>
  <c r="I134" i="1" s="1"/>
  <c r="W44" i="2"/>
  <c r="G34" i="1"/>
  <c r="M36" i="1"/>
  <c r="M43" i="1"/>
  <c r="N43" i="1" s="1"/>
  <c r="O43" i="1" s="1"/>
  <c r="P43" i="1" s="1"/>
  <c r="Q43" i="1" s="1"/>
  <c r="R43" i="1" s="1"/>
  <c r="S43" i="1" s="1"/>
  <c r="T43" i="1" s="1"/>
  <c r="O50" i="1"/>
  <c r="P50" i="1" s="1"/>
  <c r="Q50" i="1" s="1"/>
  <c r="R50" i="1" s="1"/>
  <c r="S50" i="1" s="1"/>
  <c r="T50" i="1" s="1"/>
  <c r="M37" i="1"/>
  <c r="N37" i="1" s="1"/>
  <c r="O37" i="1" s="1"/>
  <c r="P37" i="1" s="1"/>
  <c r="Q37" i="1" s="1"/>
  <c r="R37" i="1" s="1"/>
  <c r="S37" i="1" s="1"/>
  <c r="T37" i="1" s="1"/>
  <c r="M42" i="1"/>
  <c r="N42" i="1" s="1"/>
  <c r="O42" i="1" s="1"/>
  <c r="P42" i="1" s="1"/>
  <c r="Q42" i="1" s="1"/>
  <c r="R42" i="1" s="1"/>
  <c r="S42" i="1" s="1"/>
  <c r="T42" i="1" s="1"/>
  <c r="M35" i="1"/>
  <c r="N35" i="1" s="1"/>
  <c r="O35" i="1" s="1"/>
  <c r="P35" i="1" s="1"/>
  <c r="Q35" i="1" s="1"/>
  <c r="R35" i="1" s="1"/>
  <c r="S35" i="1" s="1"/>
  <c r="T35" i="1" s="1"/>
  <c r="F137" i="1"/>
  <c r="F70" i="1"/>
  <c r="F138" i="1" s="1"/>
  <c r="P66" i="1"/>
  <c r="Q66" i="1" s="1"/>
  <c r="R66" i="1" s="1"/>
  <c r="S66" i="1" s="1"/>
  <c r="T66" i="1" s="1"/>
  <c r="O51" i="1"/>
  <c r="I142" i="1"/>
  <c r="I54" i="1"/>
  <c r="AE36" i="2"/>
  <c r="AF36" i="2" s="1"/>
  <c r="AG36" i="2" s="1"/>
  <c r="AH36" i="2" s="1"/>
  <c r="AI36" i="2" s="1"/>
  <c r="AJ36" i="2" s="1"/>
  <c r="AF33" i="2"/>
  <c r="AG33" i="2" s="1"/>
  <c r="AH33" i="2" s="1"/>
  <c r="AI33" i="2" s="1"/>
  <c r="AC6" i="2"/>
  <c r="AD6" i="2" s="1"/>
  <c r="AE6" i="2" s="1"/>
  <c r="AF6" i="2" s="1"/>
  <c r="AG6" i="2" s="1"/>
  <c r="AH6" i="2" s="1"/>
  <c r="AI6" i="2" s="1"/>
  <c r="AJ6" i="2" s="1"/>
  <c r="AK6" i="2" s="1"/>
  <c r="F54" i="1"/>
  <c r="G41" i="1"/>
  <c r="J70" i="1"/>
  <c r="J138" i="1" s="1"/>
  <c r="F131" i="1"/>
  <c r="F133" i="1"/>
  <c r="F140" i="1" s="1"/>
  <c r="F72" i="1"/>
  <c r="F135" i="1"/>
  <c r="H133" i="1"/>
  <c r="H140" i="1" s="1"/>
  <c r="H76" i="1"/>
  <c r="H134" i="1" s="1"/>
  <c r="R65" i="1"/>
  <c r="E141" i="1"/>
  <c r="M44" i="1"/>
  <c r="O49" i="1"/>
  <c r="P49" i="1" s="1"/>
  <c r="Q49" i="1" s="1"/>
  <c r="R49" i="1" s="1"/>
  <c r="S49" i="1" s="1"/>
  <c r="T49" i="1" s="1"/>
  <c r="P63" i="1"/>
  <c r="P136" i="1" s="1"/>
  <c r="E82" i="1"/>
  <c r="J72" i="1"/>
  <c r="G76" i="1"/>
  <c r="G134" i="1" s="1"/>
  <c r="E142" i="1"/>
  <c r="G133" i="1"/>
  <c r="G140" i="1" s="1"/>
  <c r="F142" i="1"/>
  <c r="Z44" i="2"/>
  <c r="J131" i="1"/>
  <c r="H141" i="1"/>
  <c r="G142" i="1"/>
  <c r="J76" i="1"/>
  <c r="J134" i="1" s="1"/>
  <c r="H142" i="1"/>
  <c r="F13" i="3"/>
  <c r="F19" i="3" s="1"/>
  <c r="J142" i="1"/>
  <c r="E76" i="1"/>
  <c r="E134" i="1" s="1"/>
  <c r="G120" i="1" l="1"/>
  <c r="H120" i="1" s="1"/>
  <c r="E75" i="1"/>
  <c r="N138" i="1"/>
  <c r="R24" i="2"/>
  <c r="AB24" i="2" s="1"/>
  <c r="E79" i="1"/>
  <c r="E63" i="1"/>
  <c r="E136" i="1" s="1"/>
  <c r="E72" i="1"/>
  <c r="E139" i="1" s="1"/>
  <c r="E144" i="1" s="1"/>
  <c r="E135" i="1"/>
  <c r="G48" i="1"/>
  <c r="H48" i="1"/>
  <c r="AC9" i="2"/>
  <c r="AD9" i="2" s="1"/>
  <c r="AE9" i="2" s="1"/>
  <c r="AF9" i="2" s="1"/>
  <c r="AG9" i="2" s="1"/>
  <c r="AH9" i="2" s="1"/>
  <c r="AI9" i="2" s="1"/>
  <c r="AJ9" i="2" s="1"/>
  <c r="AK9" i="2" s="1"/>
  <c r="E131" i="1"/>
  <c r="E132" i="1" s="1"/>
  <c r="H54" i="1"/>
  <c r="H59" i="1" s="1"/>
  <c r="I48" i="1"/>
  <c r="AC25" i="2"/>
  <c r="AC3" i="2"/>
  <c r="AC8" i="2"/>
  <c r="AD8" i="2" s="1"/>
  <c r="AE8" i="2" s="1"/>
  <c r="AF8" i="2" s="1"/>
  <c r="AG8" i="2" s="1"/>
  <c r="AH8" i="2" s="1"/>
  <c r="AI8" i="2" s="1"/>
  <c r="AJ8" i="2" s="1"/>
  <c r="AK8" i="2" s="1"/>
  <c r="O48" i="1"/>
  <c r="P51" i="1"/>
  <c r="J139" i="1"/>
  <c r="J144" i="1" s="1"/>
  <c r="J85" i="1"/>
  <c r="F59" i="1"/>
  <c r="F55" i="1"/>
  <c r="F60" i="1" s="1"/>
  <c r="F130" i="1" s="1"/>
  <c r="G59" i="1"/>
  <c r="G55" i="1"/>
  <c r="G60" i="1" s="1"/>
  <c r="G130" i="1" s="1"/>
  <c r="I59" i="1"/>
  <c r="F139" i="1"/>
  <c r="F144" i="1" s="1"/>
  <c r="F85" i="1"/>
  <c r="N44" i="1"/>
  <c r="M41" i="1"/>
  <c r="AF32" i="2"/>
  <c r="AC4" i="2"/>
  <c r="S65" i="1"/>
  <c r="R63" i="1"/>
  <c r="R136" i="1" s="1"/>
  <c r="N36" i="1"/>
  <c r="M34" i="1"/>
  <c r="E85" i="1" l="1"/>
  <c r="E86" i="1" s="1"/>
  <c r="I55" i="1"/>
  <c r="I60" i="1" s="1"/>
  <c r="I130" i="1" s="1"/>
  <c r="K34" i="1"/>
  <c r="J34" i="1"/>
  <c r="J41" i="1"/>
  <c r="H55" i="1"/>
  <c r="H60" i="1" s="1"/>
  <c r="H130" i="1" s="1"/>
  <c r="F86" i="1"/>
  <c r="T65" i="1"/>
  <c r="S63" i="1"/>
  <c r="S136" i="1" s="1"/>
  <c r="O138" i="1"/>
  <c r="H72" i="1"/>
  <c r="H135" i="1"/>
  <c r="H63" i="1"/>
  <c r="H136" i="1" s="1"/>
  <c r="H70" i="1"/>
  <c r="H138" i="1" s="1"/>
  <c r="H131" i="1"/>
  <c r="N41" i="1"/>
  <c r="O44" i="1"/>
  <c r="I79" i="1"/>
  <c r="I75" i="1"/>
  <c r="I129" i="1"/>
  <c r="I82" i="1"/>
  <c r="I83" i="1"/>
  <c r="AD25" i="2"/>
  <c r="AE25" i="2" s="1"/>
  <c r="H129" i="1"/>
  <c r="H82" i="1"/>
  <c r="H83" i="1"/>
  <c r="H75" i="1"/>
  <c r="H79" i="1"/>
  <c r="AB44" i="2"/>
  <c r="AC5" i="2"/>
  <c r="G129" i="1"/>
  <c r="G82" i="1"/>
  <c r="G79" i="1"/>
  <c r="G75" i="1"/>
  <c r="G83" i="1"/>
  <c r="Q51" i="1"/>
  <c r="P48" i="1"/>
  <c r="AD3" i="2"/>
  <c r="N34" i="1"/>
  <c r="O36" i="1"/>
  <c r="AC47" i="2"/>
  <c r="AD47" i="2" s="1"/>
  <c r="AE47" i="2" s="1"/>
  <c r="AF47" i="2" s="1"/>
  <c r="AG47" i="2" s="1"/>
  <c r="AH47" i="2" s="1"/>
  <c r="AI47" i="2" s="1"/>
  <c r="AJ47" i="2" s="1"/>
  <c r="AK47" i="2" s="1"/>
  <c r="AA44" i="2"/>
  <c r="AD4" i="2"/>
  <c r="AC14" i="2"/>
  <c r="AC42" i="2" s="1"/>
  <c r="F129" i="1"/>
  <c r="F132" i="1" s="1"/>
  <c r="F79" i="1"/>
  <c r="F82" i="1"/>
  <c r="F83" i="1"/>
  <c r="F63" i="1"/>
  <c r="F136" i="1" s="1"/>
  <c r="F75" i="1"/>
  <c r="K35" i="1" l="1"/>
  <c r="K33" i="1"/>
  <c r="L33" i="1" s="1"/>
  <c r="M33" i="1" s="1"/>
  <c r="N33" i="1" s="1"/>
  <c r="K37" i="1"/>
  <c r="Q48" i="1"/>
  <c r="R51" i="1"/>
  <c r="H139" i="1"/>
  <c r="H144" i="1" s="1"/>
  <c r="H85" i="1"/>
  <c r="H86" i="1" s="1"/>
  <c r="J48" i="1"/>
  <c r="O41" i="1"/>
  <c r="P44" i="1"/>
  <c r="P138" i="1"/>
  <c r="G70" i="1"/>
  <c r="G138" i="1" s="1"/>
  <c r="G135" i="1"/>
  <c r="G72" i="1"/>
  <c r="G63" i="1"/>
  <c r="G136" i="1" s="1"/>
  <c r="G131" i="1"/>
  <c r="G132" i="1" s="1"/>
  <c r="H132" i="1"/>
  <c r="U65" i="1"/>
  <c r="U63" i="1" s="1"/>
  <c r="U136" i="1" s="1"/>
  <c r="T63" i="1"/>
  <c r="T136" i="1" s="1"/>
  <c r="O34" i="1"/>
  <c r="P36" i="1"/>
  <c r="K44" i="1"/>
  <c r="K41" i="1" s="1"/>
  <c r="K40" i="1" s="1"/>
  <c r="K42" i="1"/>
  <c r="J54" i="1"/>
  <c r="AC38" i="2"/>
  <c r="AE3" i="2"/>
  <c r="AF25" i="2"/>
  <c r="AC16" i="2"/>
  <c r="AC44" i="2" s="1"/>
  <c r="AD5" i="2"/>
  <c r="AD14" i="2"/>
  <c r="AD42" i="2" s="1"/>
  <c r="AE4" i="2"/>
  <c r="L50" i="1"/>
  <c r="M50" i="1" s="1"/>
  <c r="L49" i="1"/>
  <c r="M49" i="1" s="1"/>
  <c r="I135" i="1"/>
  <c r="I63" i="1"/>
  <c r="I136" i="1" s="1"/>
  <c r="I72" i="1"/>
  <c r="I131" i="1"/>
  <c r="I132" i="1" s="1"/>
  <c r="I70" i="1"/>
  <c r="I138" i="1" s="1"/>
  <c r="O33" i="1" l="1"/>
  <c r="L51" i="1"/>
  <c r="K47" i="1"/>
  <c r="AD38" i="2"/>
  <c r="P34" i="1"/>
  <c r="Q36" i="1"/>
  <c r="Q138" i="1"/>
  <c r="AG25" i="2"/>
  <c r="AH25" i="2" s="1"/>
  <c r="G139" i="1"/>
  <c r="G144" i="1" s="1"/>
  <c r="G85" i="1"/>
  <c r="G86" i="1" s="1"/>
  <c r="AD16" i="2"/>
  <c r="AD44" i="2" s="1"/>
  <c r="AE5" i="2"/>
  <c r="R48" i="1"/>
  <c r="S51" i="1"/>
  <c r="AE14" i="2"/>
  <c r="AE42" i="2" s="1"/>
  <c r="AF4" i="2"/>
  <c r="P41" i="1"/>
  <c r="Q44" i="1"/>
  <c r="AC10" i="2"/>
  <c r="I85" i="1"/>
  <c r="I86" i="1" s="1"/>
  <c r="I139" i="1"/>
  <c r="I144" i="1" s="1"/>
  <c r="J59" i="1"/>
  <c r="J55" i="1"/>
  <c r="J60" i="1" s="1"/>
  <c r="J130" i="1" s="1"/>
  <c r="AF3" i="2"/>
  <c r="L40" i="1"/>
  <c r="AC46" i="2"/>
  <c r="AD46" i="2" s="1"/>
  <c r="AE46" i="2" s="1"/>
  <c r="AF46" i="2" s="1"/>
  <c r="AG46" i="2" s="1"/>
  <c r="AH46" i="2" s="1"/>
  <c r="AI46" i="2" s="1"/>
  <c r="AJ46" i="2" s="1"/>
  <c r="AK46" i="2" s="1"/>
  <c r="P33" i="1" l="1"/>
  <c r="AE38" i="2"/>
  <c r="Q41" i="1"/>
  <c r="R44" i="1"/>
  <c r="L48" i="1"/>
  <c r="L47" i="1" s="1"/>
  <c r="M51" i="1"/>
  <c r="M48" i="1" s="1"/>
  <c r="J75" i="1"/>
  <c r="J129" i="1"/>
  <c r="J132" i="1" s="1"/>
  <c r="J63" i="1"/>
  <c r="J136" i="1" s="1"/>
  <c r="J82" i="1"/>
  <c r="J79" i="1"/>
  <c r="J83" i="1"/>
  <c r="J86" i="1"/>
  <c r="AI25" i="2"/>
  <c r="AJ25" i="2" s="1"/>
  <c r="AK25" i="2" s="1"/>
  <c r="R138" i="1"/>
  <c r="AF14" i="2"/>
  <c r="AF42" i="2" s="1"/>
  <c r="AG4" i="2"/>
  <c r="M40" i="1"/>
  <c r="K54" i="1"/>
  <c r="AE16" i="2"/>
  <c r="AE44" i="2" s="1"/>
  <c r="AF5" i="2"/>
  <c r="AG3" i="2"/>
  <c r="AC15" i="2"/>
  <c r="AC43" i="2" s="1"/>
  <c r="AD10" i="2"/>
  <c r="AC18" i="2"/>
  <c r="T51" i="1"/>
  <c r="T48" i="1" s="1"/>
  <c r="S48" i="1"/>
  <c r="Q34" i="1"/>
  <c r="R36" i="1"/>
  <c r="K82" i="1" l="1"/>
  <c r="K75" i="1"/>
  <c r="L75" i="1" s="1"/>
  <c r="K79" i="1"/>
  <c r="L79" i="1" s="1"/>
  <c r="Q33" i="1"/>
  <c r="M47" i="1"/>
  <c r="N47" i="1" s="1"/>
  <c r="O47" i="1" s="1"/>
  <c r="P47" i="1" s="1"/>
  <c r="Q47" i="1" s="1"/>
  <c r="R47" i="1" s="1"/>
  <c r="S47" i="1" s="1"/>
  <c r="T47" i="1" s="1"/>
  <c r="U47" i="1" s="1"/>
  <c r="S44" i="1"/>
  <c r="R41" i="1"/>
  <c r="L54" i="1"/>
  <c r="S138" i="1"/>
  <c r="K59" i="1"/>
  <c r="K55" i="1"/>
  <c r="K60" i="1" s="1"/>
  <c r="K130" i="1" s="1"/>
  <c r="N40" i="1"/>
  <c r="L65" i="1"/>
  <c r="K64" i="1"/>
  <c r="L64" i="1" s="1"/>
  <c r="M64" i="1" s="1"/>
  <c r="N64" i="1" s="1"/>
  <c r="K66" i="1"/>
  <c r="AH3" i="2"/>
  <c r="AF38" i="2"/>
  <c r="AG38" i="2" s="1"/>
  <c r="AH38" i="2" s="1"/>
  <c r="R34" i="1"/>
  <c r="S36" i="1"/>
  <c r="AG14" i="2"/>
  <c r="AG42" i="2" s="1"/>
  <c r="AH4" i="2"/>
  <c r="AF16" i="2"/>
  <c r="AF44" i="2" s="1"/>
  <c r="AG5" i="2"/>
  <c r="AC23" i="2"/>
  <c r="AC22" i="2"/>
  <c r="AC21" i="2"/>
  <c r="AC20" i="2"/>
  <c r="AC19" i="2" s="1"/>
  <c r="AC30" i="2"/>
  <c r="AE10" i="2"/>
  <c r="AD15" i="2"/>
  <c r="AD43" i="2" s="1"/>
  <c r="AD18" i="2"/>
  <c r="L66" i="1" l="1"/>
  <c r="K63" i="1"/>
  <c r="K136" i="1" s="1"/>
  <c r="M75" i="1"/>
  <c r="N75" i="1"/>
  <c r="L82" i="1"/>
  <c r="M82" i="1"/>
  <c r="M79" i="1"/>
  <c r="N79" i="1"/>
  <c r="AI38" i="2"/>
  <c r="AJ38" i="2" s="1"/>
  <c r="AK38" i="2" s="1"/>
  <c r="AC24" i="2"/>
  <c r="AC26" i="2" s="1"/>
  <c r="R33" i="1"/>
  <c r="M54" i="1"/>
  <c r="M55" i="1" s="1"/>
  <c r="M60" i="1" s="1"/>
  <c r="M130" i="1" s="1"/>
  <c r="O40" i="1"/>
  <c r="N54" i="1"/>
  <c r="AI3" i="2"/>
  <c r="AF10" i="2"/>
  <c r="AE15" i="2"/>
  <c r="AE43" i="2" s="1"/>
  <c r="AE18" i="2"/>
  <c r="AH14" i="2"/>
  <c r="AH42" i="2" s="1"/>
  <c r="AI4" i="2"/>
  <c r="K129" i="1"/>
  <c r="K74" i="1"/>
  <c r="K78" i="1"/>
  <c r="K141" i="1" s="1"/>
  <c r="K81" i="1"/>
  <c r="T36" i="1"/>
  <c r="T34" i="1" s="1"/>
  <c r="S34" i="1"/>
  <c r="L59" i="1"/>
  <c r="L55" i="1"/>
  <c r="L60" i="1" s="1"/>
  <c r="L130" i="1" s="1"/>
  <c r="AG16" i="2"/>
  <c r="AG44" i="2" s="1"/>
  <c r="AH5" i="2"/>
  <c r="M65" i="1"/>
  <c r="T138" i="1"/>
  <c r="U138" i="1"/>
  <c r="AD23" i="2"/>
  <c r="AD22" i="2"/>
  <c r="AD21" i="2"/>
  <c r="AD20" i="2"/>
  <c r="AD30" i="2"/>
  <c r="T44" i="1"/>
  <c r="T41" i="1" s="1"/>
  <c r="S41" i="1"/>
  <c r="K62" i="1" l="1"/>
  <c r="K131" i="1" s="1"/>
  <c r="K132" i="1" s="1"/>
  <c r="M66" i="1"/>
  <c r="L63" i="1"/>
  <c r="L136" i="1" s="1"/>
  <c r="O79" i="1"/>
  <c r="P79" i="1" s="1"/>
  <c r="N82" i="1"/>
  <c r="O82" i="1" s="1"/>
  <c r="O75" i="1"/>
  <c r="P75" i="1" s="1"/>
  <c r="AD24" i="2"/>
  <c r="AD26" i="2" s="1"/>
  <c r="S33" i="1"/>
  <c r="T33" i="1" s="1"/>
  <c r="U33" i="1" s="1"/>
  <c r="AD19" i="2"/>
  <c r="M59" i="1"/>
  <c r="M129" i="1" s="1"/>
  <c r="AJ4" i="2"/>
  <c r="AI14" i="2"/>
  <c r="AI42" i="2" s="1"/>
  <c r="AJ3" i="2"/>
  <c r="N59" i="1"/>
  <c r="N55" i="1"/>
  <c r="N60" i="1" s="1"/>
  <c r="N130" i="1" s="1"/>
  <c r="AI5" i="2"/>
  <c r="AH16" i="2"/>
  <c r="AH44" i="2" s="1"/>
  <c r="N65" i="1"/>
  <c r="P40" i="1"/>
  <c r="O54" i="1"/>
  <c r="AE23" i="2"/>
  <c r="AE22" i="2"/>
  <c r="AE21" i="2"/>
  <c r="AE20" i="2"/>
  <c r="AE30" i="2"/>
  <c r="L78" i="1"/>
  <c r="L141" i="1" s="1"/>
  <c r="L129" i="1"/>
  <c r="L74" i="1"/>
  <c r="L81" i="1"/>
  <c r="K133" i="1"/>
  <c r="K140" i="1" s="1"/>
  <c r="K76" i="1"/>
  <c r="K134" i="1" s="1"/>
  <c r="AF15" i="2"/>
  <c r="AF43" i="2" s="1"/>
  <c r="AG10" i="2"/>
  <c r="AF18" i="2"/>
  <c r="K142" i="1"/>
  <c r="K83" i="1"/>
  <c r="K135" i="1" l="1"/>
  <c r="K69" i="1"/>
  <c r="K137" i="1" s="1"/>
  <c r="L62" i="1"/>
  <c r="L135" i="1" s="1"/>
  <c r="N63" i="1"/>
  <c r="N136" i="1" s="1"/>
  <c r="N66" i="1"/>
  <c r="M63" i="1"/>
  <c r="M136" i="1" s="1"/>
  <c r="P82" i="1"/>
  <c r="Q82" i="1" s="1"/>
  <c r="Q79" i="1"/>
  <c r="R79" i="1"/>
  <c r="Q75" i="1"/>
  <c r="R75" i="1" s="1"/>
  <c r="AE24" i="2"/>
  <c r="AE26" i="2" s="1"/>
  <c r="M81" i="1"/>
  <c r="M142" i="1" s="1"/>
  <c r="M78" i="1"/>
  <c r="M141" i="1" s="1"/>
  <c r="M74" i="1"/>
  <c r="M133" i="1" s="1"/>
  <c r="M140" i="1" s="1"/>
  <c r="L133" i="1"/>
  <c r="L140" i="1" s="1"/>
  <c r="L76" i="1"/>
  <c r="L134" i="1" s="1"/>
  <c r="N129" i="1"/>
  <c r="N81" i="1"/>
  <c r="N78" i="1"/>
  <c r="N141" i="1" s="1"/>
  <c r="N74" i="1"/>
  <c r="L142" i="1"/>
  <c r="L83" i="1"/>
  <c r="AC27" i="2"/>
  <c r="AC28" i="2" s="1"/>
  <c r="AG15" i="2"/>
  <c r="AG43" i="2" s="1"/>
  <c r="AH10" i="2"/>
  <c r="AG18" i="2"/>
  <c r="O55" i="1"/>
  <c r="O60" i="1" s="1"/>
  <c r="O130" i="1" s="1"/>
  <c r="O59" i="1"/>
  <c r="AK3" i="2"/>
  <c r="P54" i="1"/>
  <c r="Q40" i="1"/>
  <c r="AK4" i="2"/>
  <c r="AK14" i="2" s="1"/>
  <c r="AJ14" i="2"/>
  <c r="AJ42" i="2" s="1"/>
  <c r="AF23" i="2"/>
  <c r="AF22" i="2"/>
  <c r="AF21" i="2"/>
  <c r="AF20" i="2"/>
  <c r="AF19" i="2" s="1"/>
  <c r="AF30" i="2"/>
  <c r="AD27" i="2"/>
  <c r="AD28" i="2" s="1"/>
  <c r="K72" i="1"/>
  <c r="K85" i="1" s="1"/>
  <c r="F12" i="3"/>
  <c r="F14" i="3" s="1"/>
  <c r="K138" i="1"/>
  <c r="AE19" i="2"/>
  <c r="AJ5" i="2"/>
  <c r="AI16" i="2"/>
  <c r="AI44" i="2" s="1"/>
  <c r="N62" i="1" l="1"/>
  <c r="L131" i="1"/>
  <c r="L132" i="1" s="1"/>
  <c r="L69" i="1"/>
  <c r="L137" i="1" s="1"/>
  <c r="M62" i="1"/>
  <c r="M135" i="1" s="1"/>
  <c r="F22" i="3"/>
  <c r="L22" i="1" s="1"/>
  <c r="R82" i="1"/>
  <c r="S82" i="1" s="1"/>
  <c r="T82" i="1"/>
  <c r="U82" i="1" s="1"/>
  <c r="S75" i="1"/>
  <c r="T75" i="1" s="1"/>
  <c r="U75" i="1" s="1"/>
  <c r="S79" i="1"/>
  <c r="T79" i="1" s="1"/>
  <c r="AK42" i="2"/>
  <c r="M76" i="1"/>
  <c r="M134" i="1" s="1"/>
  <c r="M83" i="1"/>
  <c r="R40" i="1"/>
  <c r="Q54" i="1"/>
  <c r="N131" i="1"/>
  <c r="N132" i="1" s="1"/>
  <c r="N133" i="1"/>
  <c r="N140" i="1" s="1"/>
  <c r="N76" i="1"/>
  <c r="N134" i="1" s="1"/>
  <c r="P59" i="1"/>
  <c r="P55" i="1"/>
  <c r="P60" i="1" s="1"/>
  <c r="P130" i="1" s="1"/>
  <c r="AG23" i="2"/>
  <c r="AG22" i="2"/>
  <c r="AG21" i="2"/>
  <c r="AG20" i="2"/>
  <c r="AG19" i="2" s="1"/>
  <c r="AG30" i="2"/>
  <c r="AH15" i="2"/>
  <c r="AH43" i="2" s="1"/>
  <c r="AI10" i="2"/>
  <c r="AH18" i="2"/>
  <c r="N83" i="1"/>
  <c r="N142" i="1"/>
  <c r="AJ16" i="2"/>
  <c r="AJ44" i="2" s="1"/>
  <c r="AK5" i="2"/>
  <c r="AK16" i="2" s="1"/>
  <c r="K139" i="1"/>
  <c r="K144" i="1" s="1"/>
  <c r="AE27" i="2"/>
  <c r="AE28" i="2" s="1"/>
  <c r="AF24" i="2"/>
  <c r="O129" i="1"/>
  <c r="O74" i="1"/>
  <c r="O81" i="1"/>
  <c r="O78" i="1"/>
  <c r="O141" i="1" s="1"/>
  <c r="O62" i="1"/>
  <c r="N135" i="1"/>
  <c r="N69" i="1"/>
  <c r="N137" i="1" s="1"/>
  <c r="L72" i="1" l="1"/>
  <c r="L139" i="1" s="1"/>
  <c r="L144" i="1" s="1"/>
  <c r="M69" i="1"/>
  <c r="M137" i="1" s="1"/>
  <c r="M131" i="1"/>
  <c r="M132" i="1" s="1"/>
  <c r="H22" i="1"/>
  <c r="P22" i="1"/>
  <c r="U79" i="1"/>
  <c r="AK44" i="2"/>
  <c r="AG24" i="2"/>
  <c r="AG26" i="2" s="1"/>
  <c r="L85" i="1"/>
  <c r="K91" i="1" s="1"/>
  <c r="N72" i="1"/>
  <c r="N85" i="1" s="1"/>
  <c r="P129" i="1"/>
  <c r="P81" i="1"/>
  <c r="P78" i="1"/>
  <c r="P141" i="1" s="1"/>
  <c r="P74" i="1"/>
  <c r="P62" i="1"/>
  <c r="AH30" i="2"/>
  <c r="AH23" i="2"/>
  <c r="AH22" i="2"/>
  <c r="AH21" i="2"/>
  <c r="AH20" i="2"/>
  <c r="AI15" i="2"/>
  <c r="AI43" i="2" s="1"/>
  <c r="AJ10" i="2"/>
  <c r="AI18" i="2"/>
  <c r="K86" i="1"/>
  <c r="Q59" i="1"/>
  <c r="Q55" i="1"/>
  <c r="Q60" i="1" s="1"/>
  <c r="Q130" i="1" s="1"/>
  <c r="O83" i="1"/>
  <c r="O142" i="1"/>
  <c r="AF26" i="2"/>
  <c r="R54" i="1"/>
  <c r="S40" i="1"/>
  <c r="O135" i="1"/>
  <c r="O69" i="1"/>
  <c r="O137" i="1" s="1"/>
  <c r="O131" i="1"/>
  <c r="O132" i="1" s="1"/>
  <c r="O133" i="1"/>
  <c r="O140" i="1" s="1"/>
  <c r="O76" i="1"/>
  <c r="O134" i="1" s="1"/>
  <c r="M72" i="1" l="1"/>
  <c r="M139" i="1" s="1"/>
  <c r="M144" i="1" s="1"/>
  <c r="K123" i="1"/>
  <c r="C123" i="1"/>
  <c r="N139" i="1"/>
  <c r="N144" i="1" s="1"/>
  <c r="L86" i="1"/>
  <c r="P135" i="1"/>
  <c r="P69" i="1"/>
  <c r="P137" i="1" s="1"/>
  <c r="P133" i="1"/>
  <c r="P140" i="1" s="1"/>
  <c r="P76" i="1"/>
  <c r="P134" i="1" s="1"/>
  <c r="P131" i="1"/>
  <c r="P132" i="1" s="1"/>
  <c r="Q78" i="1"/>
  <c r="Q141" i="1" s="1"/>
  <c r="Q129" i="1"/>
  <c r="Q74" i="1"/>
  <c r="Q81" i="1"/>
  <c r="Q62" i="1"/>
  <c r="AH24" i="2"/>
  <c r="P83" i="1"/>
  <c r="P142" i="1"/>
  <c r="R59" i="1"/>
  <c r="R55" i="1"/>
  <c r="R60" i="1" s="1"/>
  <c r="R130" i="1" s="1"/>
  <c r="AF27" i="2"/>
  <c r="AF28" i="2" s="1"/>
  <c r="AG27" i="2"/>
  <c r="AG28" i="2" s="1"/>
  <c r="AH19" i="2"/>
  <c r="AJ15" i="2"/>
  <c r="AJ43" i="2" s="1"/>
  <c r="AK10" i="2"/>
  <c r="AJ18" i="2"/>
  <c r="T40" i="1"/>
  <c r="S54" i="1"/>
  <c r="O72" i="1"/>
  <c r="N86" i="1"/>
  <c r="AI23" i="2"/>
  <c r="AI22" i="2"/>
  <c r="AI21" i="2"/>
  <c r="AI20" i="2"/>
  <c r="AI30" i="2"/>
  <c r="M85" i="1" l="1"/>
  <c r="M91" i="1" s="1"/>
  <c r="C122" i="1"/>
  <c r="C121" i="1" s="1"/>
  <c r="C124" i="1"/>
  <c r="C125" i="1" s="1"/>
  <c r="K122" i="1"/>
  <c r="K121" i="1" s="1"/>
  <c r="K124" i="1"/>
  <c r="K125" i="1" s="1"/>
  <c r="L116" i="1"/>
  <c r="K96" i="1"/>
  <c r="D116" i="1"/>
  <c r="AI24" i="2"/>
  <c r="AI26" i="2" s="1"/>
  <c r="O139" i="1"/>
  <c r="O144" i="1" s="1"/>
  <c r="O85" i="1"/>
  <c r="S59" i="1"/>
  <c r="S55" i="1"/>
  <c r="S60" i="1" s="1"/>
  <c r="S130" i="1" s="1"/>
  <c r="AI19" i="2"/>
  <c r="Q135" i="1"/>
  <c r="Q69" i="1"/>
  <c r="Q137" i="1" s="1"/>
  <c r="AH26" i="2"/>
  <c r="T54" i="1"/>
  <c r="U40" i="1"/>
  <c r="U54" i="1" s="1"/>
  <c r="Q142" i="1"/>
  <c r="Q83" i="1"/>
  <c r="AJ23" i="2"/>
  <c r="AJ22" i="2"/>
  <c r="AJ21" i="2"/>
  <c r="AJ20" i="2"/>
  <c r="AJ30" i="2"/>
  <c r="AK15" i="2"/>
  <c r="AK43" i="2" s="1"/>
  <c r="AK18" i="2"/>
  <c r="R81" i="1"/>
  <c r="R78" i="1"/>
  <c r="R141" i="1" s="1"/>
  <c r="R62" i="1"/>
  <c r="R129" i="1"/>
  <c r="R74" i="1"/>
  <c r="Q133" i="1"/>
  <c r="Q140" i="1" s="1"/>
  <c r="Q76" i="1"/>
  <c r="Q134" i="1" s="1"/>
  <c r="Q131" i="1"/>
  <c r="Q132" i="1" s="1"/>
  <c r="P72" i="1"/>
  <c r="L91" i="1" l="1"/>
  <c r="L92" i="1" s="1"/>
  <c r="M86" i="1"/>
  <c r="T22" i="1"/>
  <c r="T96" i="1" s="1"/>
  <c r="L96" i="1" s="1"/>
  <c r="M96" i="1" s="1"/>
  <c r="N96" i="1" s="1"/>
  <c r="O96" i="1" s="1"/>
  <c r="P96" i="1" s="1"/>
  <c r="Q96" i="1" s="1"/>
  <c r="R96" i="1" s="1"/>
  <c r="S96" i="1" s="1"/>
  <c r="K97" i="1"/>
  <c r="K99" i="1" s="1"/>
  <c r="N91" i="1"/>
  <c r="N92" i="1" s="1"/>
  <c r="AJ24" i="2"/>
  <c r="AJ26" i="2" s="1"/>
  <c r="M92" i="1"/>
  <c r="Q72" i="1"/>
  <c r="Q85" i="1" s="1"/>
  <c r="R133" i="1"/>
  <c r="R140" i="1" s="1"/>
  <c r="R76" i="1"/>
  <c r="R134" i="1" s="1"/>
  <c r="R131" i="1"/>
  <c r="R132" i="1" s="1"/>
  <c r="S129" i="1"/>
  <c r="S74" i="1"/>
  <c r="S81" i="1"/>
  <c r="S62" i="1"/>
  <c r="S78" i="1"/>
  <c r="S141" i="1" s="1"/>
  <c r="O86" i="1"/>
  <c r="P139" i="1"/>
  <c r="P144" i="1" s="1"/>
  <c r="P85" i="1"/>
  <c r="R83" i="1"/>
  <c r="R142" i="1"/>
  <c r="AJ19" i="2"/>
  <c r="AH27" i="2"/>
  <c r="AH28" i="2" s="1"/>
  <c r="T55" i="1"/>
  <c r="T60" i="1" s="1"/>
  <c r="T130" i="1" s="1"/>
  <c r="T59" i="1"/>
  <c r="AK23" i="2"/>
  <c r="AK22" i="2"/>
  <c r="AK21" i="2"/>
  <c r="AK20" i="2"/>
  <c r="AK19" i="2" s="1"/>
  <c r="AK30" i="2"/>
  <c r="U55" i="1"/>
  <c r="U60" i="1" s="1"/>
  <c r="U130" i="1" s="1"/>
  <c r="U59" i="1"/>
  <c r="R135" i="1"/>
  <c r="R69" i="1"/>
  <c r="R137" i="1" s="1"/>
  <c r="AI27" i="2"/>
  <c r="AI28" i="2" s="1"/>
  <c r="L97" i="1" l="1"/>
  <c r="M97" i="1" s="1"/>
  <c r="M99" i="1" s="1"/>
  <c r="P91" i="1"/>
  <c r="O91" i="1"/>
  <c r="O92" i="1" s="1"/>
  <c r="Q139" i="1"/>
  <c r="Q144" i="1" s="1"/>
  <c r="S135" i="1"/>
  <c r="S69" i="1"/>
  <c r="S137" i="1" s="1"/>
  <c r="T78" i="1"/>
  <c r="T141" i="1" s="1"/>
  <c r="T129" i="1"/>
  <c r="T74" i="1"/>
  <c r="T81" i="1"/>
  <c r="T62" i="1"/>
  <c r="S142" i="1"/>
  <c r="S83" i="1"/>
  <c r="P86" i="1"/>
  <c r="Q86" i="1"/>
  <c r="S133" i="1"/>
  <c r="S140" i="1" s="1"/>
  <c r="S76" i="1"/>
  <c r="S134" i="1" s="1"/>
  <c r="S131" i="1"/>
  <c r="S132" i="1" s="1"/>
  <c r="AJ27" i="2"/>
  <c r="AJ28" i="2" s="1"/>
  <c r="R72" i="1"/>
  <c r="AK24" i="2"/>
  <c r="U129" i="1"/>
  <c r="U74" i="1"/>
  <c r="U81" i="1"/>
  <c r="U62" i="1"/>
  <c r="U78" i="1"/>
  <c r="U141" i="1" s="1"/>
  <c r="L99" i="1" l="1"/>
  <c r="T94" i="1"/>
  <c r="N97" i="1"/>
  <c r="O97" i="1" s="1"/>
  <c r="P92" i="1"/>
  <c r="S72" i="1"/>
  <c r="AK26" i="2"/>
  <c r="R139" i="1"/>
  <c r="R144" i="1" s="1"/>
  <c r="R85" i="1"/>
  <c r="T133" i="1"/>
  <c r="T140" i="1" s="1"/>
  <c r="T131" i="1"/>
  <c r="T132" i="1" s="1"/>
  <c r="T76" i="1"/>
  <c r="T134" i="1" s="1"/>
  <c r="U83" i="1"/>
  <c r="U142" i="1"/>
  <c r="U133" i="1"/>
  <c r="U140" i="1" s="1"/>
  <c r="U76" i="1"/>
  <c r="U134" i="1" s="1"/>
  <c r="U131" i="1"/>
  <c r="U132" i="1" s="1"/>
  <c r="T142" i="1"/>
  <c r="T83" i="1"/>
  <c r="U135" i="1"/>
  <c r="U69" i="1"/>
  <c r="U137" i="1" s="1"/>
  <c r="T135" i="1"/>
  <c r="T69" i="1"/>
  <c r="T137" i="1" s="1"/>
  <c r="N99" i="1" l="1"/>
  <c r="Q91" i="1"/>
  <c r="Q92" i="1" s="1"/>
  <c r="T72" i="1"/>
  <c r="T85" i="1" s="1"/>
  <c r="AK27" i="2"/>
  <c r="AK28" i="2" s="1"/>
  <c r="S139" i="1"/>
  <c r="S144" i="1" s="1"/>
  <c r="S85" i="1"/>
  <c r="U72" i="1"/>
  <c r="O99" i="1"/>
  <c r="P97" i="1"/>
  <c r="R86" i="1"/>
  <c r="S91" i="1" l="1"/>
  <c r="R91" i="1"/>
  <c r="R92" i="1" s="1"/>
  <c r="T139" i="1"/>
  <c r="T144" i="1" s="1"/>
  <c r="S86" i="1"/>
  <c r="P99" i="1"/>
  <c r="Q97" i="1"/>
  <c r="U139" i="1"/>
  <c r="U144" i="1" s="1"/>
  <c r="U85" i="1"/>
  <c r="U86" i="1" s="1"/>
  <c r="T86" i="1"/>
  <c r="T91" i="1" l="1"/>
  <c r="Q99" i="1"/>
  <c r="R97" i="1"/>
  <c r="S92" i="1"/>
  <c r="T93" i="1" l="1"/>
  <c r="T95" i="1" s="1"/>
  <c r="T92" i="1"/>
  <c r="R99" i="1"/>
  <c r="S97" i="1"/>
  <c r="T97" i="1" l="1"/>
  <c r="S99" i="1"/>
  <c r="T100" i="1" l="1"/>
  <c r="T99" i="1"/>
  <c r="D102" i="1" l="1"/>
  <c r="D108" i="1" s="1"/>
  <c r="D111" i="1" s="1"/>
  <c r="C120" i="1" l="1"/>
  <c r="K120" i="1"/>
  <c r="G4" i="1"/>
  <c r="O5" i="1" l="1"/>
  <c r="S4" i="1"/>
  <c r="S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tc={FFB2EE32-EE77-FD4F-8582-F302FE52ECF7}</author>
    <author>tc={C9EF99F7-EAD2-E148-A0D5-A07798026041}</author>
    <author>tc={6D85C66A-07CD-A34F-9A81-782554093E1B}</author>
    <author>tc={C86F19C1-B18F-694D-8ACE-47453F5BD08C}</author>
    <author>tc={087F7F1A-6FE5-E34B-ABA1-1B88373B2FD6}</author>
    <author>tc={2986CDA2-9756-0D47-B83C-74DA9D159C18}</author>
    <author>tc={2E7FC64F-D6FB-1647-9B99-CBDC768412DA}</author>
    <author>tc={163F0D41-1242-5740-A5FD-E64CA628D9B3}</author>
    <author>tc={9AE9AAAC-82B7-9848-92FC-E0EB3E1EC93C}</author>
  </authors>
  <commentList>
    <comment ref="G3" authorId="0" shapeId="0" xr:uid="{FFB2EE32-EE77-FD4F-8582-F302FE52ECF7}">
      <text>
        <t>[Threaded comment]
Your version of Excel allows you to read this threaded comment; however, any edits to it will get removed if the file is opened in a newer version of Excel. Learn more: https://go.microsoft.com/fwlink/?linkid=870924
Comment:
    iPhone 12 launch</t>
      </text>
    </comment>
    <comment ref="J3" authorId="1" shapeId="0" xr:uid="{C9EF99F7-EAD2-E148-A0D5-A07798026041}">
      <text>
        <t>[Threaded comment]
Your version of Excel allows you to read this threaded comment; however, any edits to it will get removed if the file is opened in a newer version of Excel. Learn more: https://go.microsoft.com/fwlink/?linkid=870924
Comment:
    iPhone 13 launch</t>
      </text>
    </comment>
    <comment ref="O3" authorId="2" shapeId="0" xr:uid="{6D85C66A-07CD-A34F-9A81-782554093E1B}">
      <text>
        <t>[Threaded comment]
Your version of Excel allows you to read this threaded comment; however, any edits to it will get removed if the file is opened in a newer version of Excel. Learn more: https://go.microsoft.com/fwlink/?linkid=870924
Comment:
    iPhone 14 release</t>
      </text>
    </comment>
    <comment ref="G4" authorId="3" shapeId="0" xr:uid="{C86F19C1-B18F-694D-8ACE-47453F5BD08C}">
      <text>
        <t>[Threaded comment]
Your version of Excel allows you to read this threaded comment; however, any edits to it will get removed if the file is opened in a newer version of Excel. Learn more: https://go.microsoft.com/fwlink/?linkid=870924
Comment:
    M1 Mac air release</t>
      </text>
    </comment>
    <comment ref="L4" authorId="4" shapeId="0" xr:uid="{087F7F1A-6FE5-E34B-ABA1-1B88373B2FD6}">
      <text>
        <t>[Threaded comment]
Your version of Excel allows you to read this threaded comment; however, any edits to it will get removed if the file is opened in a newer version of Excel. Learn more: https://go.microsoft.com/fwlink/?linkid=870924
Comment:
    Mac Studio launch</t>
      </text>
    </comment>
    <comment ref="M4" authorId="5" shapeId="0" xr:uid="{2986CDA2-9756-0D47-B83C-74DA9D159C18}">
      <text>
        <t>[Threaded comment]
Your version of Excel allows you to read this threaded comment; however, any edits to it will get removed if the file is opened in a newer version of Excel. Learn more: https://go.microsoft.com/fwlink/?linkid=870924
Comment:
    M2 MacBook Air release</t>
      </text>
    </comment>
    <comment ref="O5" authorId="6" shapeId="0" xr:uid="{2E7FC64F-D6FB-1647-9B99-CBDC768412DA}">
      <text>
        <t>[Threaded comment]
Your version of Excel allows you to read this threaded comment; however, any edits to it will get removed if the file is opened in a newer version of Excel. Learn more: https://go.microsoft.com/fwlink/?linkid=870924
Comment:
    new ipad pro release</t>
      </text>
    </comment>
    <comment ref="N6" authorId="7" shapeId="0" xr:uid="{163F0D41-1242-5740-A5FD-E64CA628D9B3}">
      <text>
        <t>[Threaded comment]
Your version of Excel allows you to read this threaded comment; however, any edits to it will get removed if the file is opened in a newer version of Excel. Learn more: https://go.microsoft.com/fwlink/?linkid=870924
Comment:
    Series 8 release</t>
      </text>
    </comment>
    <comment ref="O11" authorId="8" shapeId="0" xr:uid="{9AE9AAAC-82B7-9848-92FC-E0EB3E1EC93C}">
      <text>
        <t>[Threaded comment]
Your version of Excel allows you to read this threaded comment; however, any edits to it will get removed if the file is opened in a newer version of Excel. Learn more: https://go.microsoft.com/fwlink/?linkid=870924
Comment:
    Q422:
Decelerate y/y growth in Q123
42.5% - 43.5% in gross margin
OpEx 14.7-14.9 b
OI&amp;E -300m
16.5% tax rate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<sst xmlns="http://schemas.openxmlformats.org/spreadsheetml/2006/main" count="275" uniqueCount="166">
  <si>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</si>
  <si>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</si>
  <si>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</si>
  <si>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</si>
  <si>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</si>
  <si>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</si>
  <si>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</si>
  <si>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</si>
  <si>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</si>
  <si>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</si>
  <si>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</si>
  <si>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</si>
  <si>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</si>
  <si>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</si>
  <si>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</si>
  <si>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</si>
  <si>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</si>
  <si>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</si>
  <si>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Long &amp; Short Term Debt</t>
  </si>
  <si>
    <t>Minority Interest</t>
  </si>
  <si>
    <t>Market Value of Debt</t>
  </si>
  <si>
    <t>Operating Leases</t>
  </si>
  <si>
    <t>Pre-tax Cost of Debt</t>
  </si>
  <si>
    <t>Outstanding Diluted Shares</t>
  </si>
  <si>
    <t>EBIT</t>
  </si>
  <si>
    <t>EBIT - 2027</t>
  </si>
  <si>
    <t>Market Numbers</t>
  </si>
  <si>
    <t>EBIT - 2033</t>
  </si>
  <si>
    <t>Riskfree Rate</t>
  </si>
  <si>
    <t>Taxes</t>
  </si>
  <si>
    <t>Mature Market ERP</t>
  </si>
  <si>
    <t>Beta</t>
  </si>
  <si>
    <t>Terminal Cost of Capital</t>
  </si>
  <si>
    <t>WACC</t>
  </si>
  <si>
    <t>TGR</t>
  </si>
  <si>
    <t>EV/EBITDA</t>
  </si>
  <si>
    <t>Valuation Assumptions</t>
  </si>
  <si>
    <t>Manual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</si>
  <si>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</si>
  <si>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</si>
  <si>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</si>
  <si>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</si>
  <si>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</si>
  <si>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</si>
  <si>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</si>
  <si>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</si>
  <si>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</si>
  <si>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</si>
  <si>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</si>
  <si>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</si>
  <si>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</si>
  <si>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</si>
  <si>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 xml:space="preserve">Unlevered FCF </t>
  </si>
  <si>
    <t>Projection Period (9/30 YE)</t>
  </si>
  <si>
    <t>Adjusted Unlevered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</si>
  <si>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</si>
  <si>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</si>
  <si>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</si>
  <si>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</si>
  <si>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</si>
  <si>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</si>
  <si>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</si>
  <si>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</si>
  <si>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</si>
  <si>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</si>
  <si>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</si>
  <si>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</si>
  <si>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</si>
  <si>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</si>
  <si>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</si>
  <si>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</si>
  <si>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</si>
  <si>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</si>
  <si>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</si>
  <si>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</si>
  <si>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</si>
  <si>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</si>
  <si>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</si>
  <si>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</si>
  <si>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</si>
  <si>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</si>
  <si>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</si>
  <si>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</si>
  <si>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</si>
  <si>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</si>
  <si>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</si>
  <si>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</si>
  <si>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</si>
  <si>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</si>
  <si>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Q422A</t>
  </si>
  <si>
    <t>Q123A</t>
  </si>
  <si>
    <t>Q223E</t>
  </si>
  <si>
    <t>Q323E</t>
  </si>
  <si>
    <t>Q423E</t>
  </si>
  <si>
    <t>2017A</t>
  </si>
  <si>
    <t>2018A</t>
  </si>
  <si>
    <t>COGS</t>
  </si>
  <si>
    <t>Gross Profit</t>
  </si>
  <si>
    <t>R&amp;D</t>
  </si>
  <si>
    <t>Net Income</t>
  </si>
  <si>
    <t>Revenue y/y</t>
  </si>
  <si>
    <t>Gross Margin</t>
  </si>
  <si>
    <t>Operating Margin</t>
  </si>
  <si>
    <t>EPS Consensus</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</si>
  <si>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</si>
  <si>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</si>
  <si>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</si>
  <si>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</si>
  <si>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</si>
  <si>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</si>
  <si>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</si>
  <si>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</si>
  <si>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</si>
  <si>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</si>
  <si>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</si>
  <si>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iPhone</t>
  </si>
  <si>
    <t>Mac</t>
  </si>
  <si>
    <t>iPad</t>
  </si>
  <si>
    <t>Wearables</t>
  </si>
  <si>
    <t>Products</t>
  </si>
  <si>
    <t>Services</t>
  </si>
  <si>
    <t>COP</t>
  </si>
  <si>
    <t>COS</t>
  </si>
  <si>
    <t>SG&amp;A</t>
  </si>
  <si>
    <t>OpEx</t>
  </si>
  <si>
    <t>OpInc</t>
  </si>
  <si>
    <t>Interest</t>
  </si>
  <si>
    <t>Pretax Income</t>
  </si>
  <si>
    <t>EPS</t>
  </si>
  <si>
    <t>Shares</t>
  </si>
  <si>
    <t>Products y/y</t>
  </si>
  <si>
    <t>iPhone y/y</t>
  </si>
  <si>
    <t>Mac y/y</t>
  </si>
  <si>
    <t>iPad y/y</t>
  </si>
  <si>
    <t>Wearables y/y</t>
  </si>
  <si>
    <t>Service y/y</t>
  </si>
  <si>
    <t>R&amp;D % of sales</t>
  </si>
  <si>
    <t>SG&amp;A % of sales</t>
  </si>
  <si>
    <t>Revenue Consensus</t>
  </si>
  <si>
    <t>Revenue Growth</t>
  </si>
  <si>
    <t>Revenue Build (9/30 FYE)</t>
  </si>
  <si>
    <t>DCF (9/30 FYE)</t>
  </si>
  <si>
    <t>Summary Financials (9/30 FYE)</t>
  </si>
  <si>
    <t>Q120A</t>
  </si>
  <si>
    <t>Q220A</t>
  </si>
  <si>
    <t>Q320A</t>
  </si>
  <si>
    <t>Q420A</t>
  </si>
  <si>
    <t>n/a</t>
  </si>
  <si>
    <t>Other Products</t>
  </si>
  <si>
    <t>iPhone - 2023</t>
  </si>
  <si>
    <t>iPhone - 2024</t>
  </si>
  <si>
    <t>iPhone - 2033</t>
  </si>
  <si>
    <t>Other Products - 2023</t>
  </si>
  <si>
    <t>Other Products - 2024</t>
  </si>
  <si>
    <t>Other Products - 2033</t>
  </si>
  <si>
    <t>Other Products y/y</t>
  </si>
  <si>
    <t>Services - 2023</t>
  </si>
  <si>
    <t>Services - 2026</t>
  </si>
  <si>
    <t>Services - 2033</t>
  </si>
  <si>
    <t>Taxes - 2033</t>
  </si>
  <si>
    <t>Apple DCF</t>
  </si>
  <si>
    <t>AAPL</t>
  </si>
  <si>
    <t>Recommendation: HOLD</t>
  </si>
  <si>
    <t>Price Target: $143.14</t>
  </si>
  <si>
    <t>10yr CAGR: 9.40%</t>
  </si>
  <si>
    <t>Implied Downside: 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</si>
</sst>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4"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sz val="12"/>
      <color theme="9"/>
      <name val="Calibri"/>
      <family val="2"/>
      <scheme val="minor"/>
    </font>
    <font>
      <i/>
      <sz val="12"/>
      <name val="Calibri"/>
      <family val="2"/>
      <scheme val="minor"/>
    </font>
    <font>
      <sz val="12"/>
      <color rgb="FF7030A0"/>
      <name val="Calibri"/>
      <family val="2"/>
      <scheme val="minor"/>
    </font>
    <font>
      <i/>
      <sz val="12"/>
      <color theme="1"/>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b/>
      <sz val="18"/>
      <color theme="0"/>
      <name val="Calibri"/>
      <family val="2"/>
      <scheme val="minor"/>
    </font>
    <font>
      <b/>
      <sz val="16"/>
      <color theme="1"/>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7" fillId="0" borderId="0"/>
    <xf numFmtId="9" fontId="7" fillId="0" borderId="0" applyFont="0" applyFill="0" applyBorder="0" applyAlignment="0" applyProtection="0"/>
    <xf numFmtId="0" fontId="1" fillId="0" borderId="0"/>
    <xf numFmtId="9" fontId="1" fillId="0" borderId="0" applyFont="0" applyFill="0" applyBorder="0" applyAlignment="0" applyProtection="0"/>
  </cellStyleXfs>
  <cellXfs count="159">
    <xf numFmtId="0" fontId="0" fillId="0" borderId="0" xfId="0"/>
    <xf numFmtId="0" fontId="8" fillId="0" borderId="2" xfId="5" applyFont="1" applyBorder="1"/>
    <xf numFmtId="0" fontId="9" fillId="0" borderId="2" xfId="5" applyFont="1" applyBorder="1"/>
    <xf numFmtId="0" fontId="10" fillId="0" borderId="2" xfId="5" applyFont="1" applyBorder="1"/>
    <xf numFmtId="0" fontId="11" fillId="0" borderId="2" xfId="5" applyFont="1" applyBorder="1"/>
    <xf numFmtId="0" fontId="8" fillId="0" borderId="0" xfId="5"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xf numFmtId="0" fontId="12" fillId="5" borderId="0" xfId="5" applyFont="1" applyFill="1"/>
    <xf numFmtId="0" fontId="13" fillId="5" borderId="0" xfId="5" applyFont="1" applyFill="1"/>
    <xf numFmtId="0" fontId="8" fillId="5" borderId="0" xfId="5" applyFont="1" applyFill="1"/>
    <xf numFmtId="0" fontId="14" fillId="0" borderId="0" xfId="5" applyFont="1"/>
    <xf numFmtId="0" fontId="7" fillId="0" borderId="0" xfId="5"/>
    <xf numFmtId="0" fontId="3" fillId="3" borderId="1" xfId="3" applyAlignment="1" applyProtection="1">
      <alignment horizontal="center"/>
      <protection locked="0"/>
    </xf>
    <xf numFmtId="9" fontId="3" fillId="3" borderId="1" xfId="6" applyFont="1" applyFill="1" applyBorder="1" applyAlignment="1" applyProtection="1">
      <alignment horizontal="center"/>
    </xf>
    <xf numFmtId="0" fontId="7" fillId="0" borderId="0" xfId="5" applyAlignment="1">
      <alignment horizontal="center"/>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xf>
    <xf numFmtId="0" fontId="8" fillId="0" borderId="0" xfId="5" applyFont="1" applyAlignment="1">
      <alignment horizontal="center"/>
    </xf>
    <xf numFmtId="165" fontId="3" fillId="3" borderId="1" xfId="6" applyNumberFormat="1" applyFont="1" applyFill="1" applyBorder="1" applyAlignment="1" applyProtection="1">
      <alignment horizontal="center"/>
      <protection locked="0"/>
    </xf>
    <xf numFmtId="9" fontId="3" fillId="3" borderId="1" xfId="6" applyFont="1" applyFill="1" applyBorder="1" applyAlignment="1" applyProtection="1">
      <alignment horizontal="center"/>
      <protection locked="0"/>
    </xf>
    <xf numFmtId="0" fontId="3" fillId="3" borderId="1" xfId="6" applyNumberFormat="1" applyFont="1" applyFill="1" applyBorder="1" applyAlignment="1" applyProtection="1">
      <alignment horizontal="center"/>
      <protection locked="0"/>
    </xf>
    <xf numFmtId="165" fontId="15" fillId="3" borderId="1" xfId="3" applyNumberFormat="1" applyFont="1" applyAlignment="1" applyProtection="1">
      <alignment horizontal="center"/>
    </xf>
    <xf numFmtId="165" fontId="3" fillId="3" borderId="1" xfId="3" applyNumberFormat="1" applyAlignment="1" applyProtection="1">
      <alignment horizontal="center"/>
    </xf>
    <xf numFmtId="166" fontId="3" fillId="3" borderId="1" xfId="3" applyNumberFormat="1" applyAlignment="1" applyProtection="1">
      <alignment horizontal="center"/>
    </xf>
    <xf numFmtId="166" fontId="8" fillId="0" borderId="0" xfId="5" applyNumberFormat="1" applyFont="1"/>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167" fontId="4" fillId="5" borderId="0" xfId="5" applyNumberFormat="1" applyFont="1" applyFill="1"/>
    <xf numFmtId="168" fontId="4" fillId="5" borderId="0" xfId="5" applyNumberFormat="1" applyFont="1" applyFill="1"/>
    <xf numFmtId="17" fontId="4" fillId="5" borderId="0" xfId="5" applyNumberFormat="1" applyFont="1" applyFill="1"/>
    <xf numFmtId="37" fontId="15" fillId="0" borderId="0" xfId="5" applyNumberFormat="1" applyFont="1"/>
    <xf numFmtId="37" fontId="15" fillId="0" borderId="3" xfId="5" applyNumberFormat="1" applyFont="1" applyBorder="1"/>
    <xf numFmtId="37" fontId="8" fillId="0" borderId="0" xfId="5" applyNumberFormat="1" applyFont="1"/>
    <xf numFmtId="0" fontId="16" fillId="0" borderId="0" xfId="5" applyFont="1"/>
    <xf numFmtId="9" fontId="16" fillId="0" borderId="0" xfId="6" applyFont="1" applyProtection="1"/>
    <xf numFmtId="9" fontId="16" fillId="0" borderId="3" xfId="6" applyFont="1" applyBorder="1" applyProtection="1"/>
    <xf numFmtId="0" fontId="8" fillId="0" borderId="3" xfId="5" applyFont="1" applyBorder="1"/>
    <xf numFmtId="9" fontId="17" fillId="3" borderId="4" xfId="3" applyNumberFormat="1" applyFont="1" applyBorder="1" applyProtection="1"/>
    <xf numFmtId="9" fontId="17" fillId="3" borderId="1" xfId="3" applyNumberFormat="1" applyFont="1" applyProtection="1"/>
    <xf numFmtId="9" fontId="3" fillId="3" borderId="1" xfId="3" applyNumberFormat="1" applyProtection="1"/>
    <xf numFmtId="9" fontId="15" fillId="3" borderId="4" xfId="3" applyNumberFormat="1" applyFont="1" applyBorder="1" applyProtection="1"/>
    <xf numFmtId="165" fontId="17" fillId="3" borderId="1" xfId="3" applyNumberFormat="1" applyFont="1" applyProtection="1"/>
    <xf numFmtId="9" fontId="3" fillId="3" borderId="4" xfId="3" applyNumberFormat="1" applyBorder="1" applyProtection="1">
      <protection locked="0"/>
    </xf>
    <xf numFmtId="9" fontId="3" fillId="3" borderId="1" xfId="3" applyNumberFormat="1" applyProtection="1">
      <protection locked="0"/>
    </xf>
    <xf numFmtId="37" fontId="1" fillId="0" borderId="0" xfId="5" applyNumberFormat="1" applyFont="1"/>
    <xf numFmtId="0" fontId="0" fillId="0" borderId="3" xfId="0" applyBorder="1"/>
    <xf numFmtId="0" fontId="14" fillId="0" borderId="5" xfId="5" applyFont="1" applyBorder="1"/>
    <xf numFmtId="0" fontId="8" fillId="0" borderId="5" xfId="5" applyFont="1" applyBorder="1"/>
    <xf numFmtId="37" fontId="8" fillId="0" borderId="5" xfId="5" applyNumberFormat="1" applyFont="1" applyBorder="1"/>
    <xf numFmtId="37" fontId="8" fillId="0" borderId="6" xfId="5" applyNumberFormat="1" applyFont="1" applyBorder="1"/>
    <xf numFmtId="37" fontId="17" fillId="0" borderId="0" xfId="5" applyNumberFormat="1" applyFont="1"/>
    <xf numFmtId="37" fontId="17" fillId="0" borderId="3" xfId="5" applyNumberFormat="1" applyFont="1" applyBorder="1"/>
    <xf numFmtId="0" fontId="18" fillId="0" borderId="0" xfId="5" applyFont="1"/>
    <xf numFmtId="9" fontId="18" fillId="0" borderId="0" xfId="5" applyNumberFormat="1" applyFont="1"/>
    <xf numFmtId="9" fontId="18" fillId="0" borderId="3" xfId="5" applyNumberFormat="1" applyFont="1" applyBorder="1"/>
    <xf numFmtId="0" fontId="1" fillId="0" borderId="0" xfId="5" applyFont="1"/>
    <xf numFmtId="0" fontId="1" fillId="0" borderId="3" xfId="5" applyFont="1" applyBorder="1"/>
    <xf numFmtId="9" fontId="18" fillId="0" borderId="0" xfId="6" applyFont="1" applyProtection="1"/>
    <xf numFmtId="9" fontId="18" fillId="0" borderId="3" xfId="6" applyFont="1" applyBorder="1" applyProtection="1"/>
    <xf numFmtId="9" fontId="19" fillId="0" borderId="0" xfId="6" applyFont="1" applyProtection="1"/>
    <xf numFmtId="9" fontId="20" fillId="0" borderId="0" xfId="5" applyNumberFormat="1" applyFont="1"/>
    <xf numFmtId="0" fontId="8" fillId="0" borderId="7" xfId="5" applyFont="1" applyBorder="1"/>
    <xf numFmtId="37" fontId="1" fillId="0" borderId="7" xfId="5" applyNumberFormat="1" applyFont="1" applyBorder="1"/>
    <xf numFmtId="37" fontId="1" fillId="0" borderId="8" xfId="5" applyNumberFormat="1" applyFont="1" applyBorder="1"/>
    <xf numFmtId="0" fontId="1" fillId="0" borderId="6" xfId="5" applyFont="1" applyBorder="1"/>
    <xf numFmtId="9" fontId="21" fillId="0" borderId="0" xfId="6" applyFont="1" applyProtection="1"/>
    <xf numFmtId="37" fontId="1" fillId="0" borderId="3" xfId="5" applyNumberFormat="1" applyFont="1" applyBorder="1"/>
    <xf numFmtId="37" fontId="18" fillId="0" borderId="0" xfId="5" applyNumberFormat="1" applyFont="1"/>
    <xf numFmtId="9" fontId="1" fillId="0" borderId="0" xfId="6" applyFont="1" applyProtection="1"/>
    <xf numFmtId="9" fontId="1" fillId="0" borderId="3" xfId="6" applyFont="1" applyBorder="1" applyProtection="1"/>
    <xf numFmtId="37" fontId="1" fillId="0" borderId="5" xfId="6" applyNumberFormat="1" applyFont="1" applyBorder="1" applyProtection="1"/>
    <xf numFmtId="37" fontId="1" fillId="0" borderId="6" xfId="6" applyNumberFormat="1" applyFont="1" applyBorder="1" applyProtection="1"/>
    <xf numFmtId="9" fontId="18" fillId="0" borderId="0" xfId="6" applyFont="1" applyBorder="1" applyProtection="1"/>
    <xf numFmtId="9" fontId="8" fillId="0" borderId="0" xfId="6" applyFont="1" applyBorder="1" applyProtection="1"/>
    <xf numFmtId="9" fontId="8" fillId="0" borderId="3" xfId="6" applyFont="1" applyBorder="1" applyProtection="1"/>
    <xf numFmtId="37" fontId="8" fillId="0" borderId="0" xfId="6" applyNumberFormat="1" applyFont="1" applyBorder="1" applyProtection="1"/>
    <xf numFmtId="9" fontId="2" fillId="2" borderId="0" xfId="6" applyFont="1" applyFill="1" applyProtection="1"/>
    <xf numFmtId="37" fontId="4" fillId="5" borderId="0" xfId="5" applyNumberFormat="1" applyFont="1" applyFill="1"/>
    <xf numFmtId="0" fontId="5" fillId="0" borderId="0" xfId="5" applyFont="1"/>
    <xf numFmtId="9" fontId="8" fillId="0" borderId="0" xfId="6" applyFont="1" applyProtection="1"/>
    <xf numFmtId="37" fontId="8" fillId="0" borderId="0" xfId="6" applyNumberFormat="1" applyFont="1" applyProtection="1"/>
    <xf numFmtId="0" fontId="16" fillId="0" borderId="3" xfId="5" applyFont="1" applyBorder="1"/>
    <xf numFmtId="37" fontId="8" fillId="0" borderId="9" xfId="5" applyNumberFormat="1" applyFont="1" applyBorder="1"/>
    <xf numFmtId="0" fontId="8" fillId="0" borderId="9" xfId="5" applyFont="1" applyBorder="1"/>
    <xf numFmtId="0" fontId="8" fillId="0" borderId="10" xfId="5" applyFont="1" applyBorder="1"/>
    <xf numFmtId="165" fontId="17" fillId="0" borderId="0" xfId="6" applyNumberFormat="1" applyFont="1" applyProtection="1"/>
    <xf numFmtId="165" fontId="1" fillId="0" borderId="0" xfId="6" applyNumberFormat="1" applyFont="1" applyProtection="1"/>
    <xf numFmtId="2" fontId="8" fillId="0" borderId="0" xfId="5" applyNumberFormat="1" applyFont="1"/>
    <xf numFmtId="0" fontId="8" fillId="0" borderId="8" xfId="5" applyFont="1" applyBorder="1"/>
    <xf numFmtId="37" fontId="8" fillId="0" borderId="7" xfId="5" applyNumberFormat="1" applyFont="1" applyBorder="1"/>
    <xf numFmtId="0" fontId="12" fillId="0" borderId="5" xfId="5" applyFont="1" applyBorder="1"/>
    <xf numFmtId="3" fontId="1" fillId="0" borderId="5" xfId="5" applyNumberFormat="1" applyFont="1" applyBorder="1"/>
    <xf numFmtId="0" fontId="12" fillId="0" borderId="0" xfId="5" applyFont="1"/>
    <xf numFmtId="4" fontId="8" fillId="0" borderId="0" xfId="5" applyNumberFormat="1" applyFont="1"/>
    <xf numFmtId="0" fontId="6" fillId="5" borderId="0" xfId="5" applyFont="1" applyFill="1"/>
    <xf numFmtId="37" fontId="6" fillId="5" borderId="0" xfId="5" applyNumberFormat="1" applyFont="1" applyFill="1"/>
    <xf numFmtId="165" fontId="17" fillId="3" borderId="1" xfId="3" applyNumberFormat="1" applyFont="1" applyAlignment="1" applyProtection="1">
      <alignment horizontal="center"/>
    </xf>
    <xf numFmtId="166" fontId="17" fillId="3" borderId="1" xfId="3" applyNumberFormat="1" applyFont="1" applyAlignment="1" applyProtection="1">
      <alignment horizontal="center"/>
    </xf>
    <xf numFmtId="166" fontId="3" fillId="3" borderId="1" xfId="6" applyNumberFormat="1" applyFont="1" applyFill="1" applyBorder="1" applyAlignment="1" applyProtection="1">
      <alignment horizontal="center"/>
      <protection locked="0"/>
    </xf>
    <xf numFmtId="165" fontId="8" fillId="6" borderId="0" xfId="5" applyNumberFormat="1" applyFont="1" applyFill="1"/>
    <xf numFmtId="165" fontId="8" fillId="6" borderId="0" xfId="6" applyNumberFormat="1" applyFont="1" applyFill="1" applyProtection="1"/>
    <xf numFmtId="166" fontId="8" fillId="6" borderId="0" xfId="5" applyNumberFormat="1" applyFont="1" applyFill="1"/>
    <xf numFmtId="165" fontId="8" fillId="6" borderId="0" xfId="6" applyNumberFormat="1" applyFont="1" applyFill="1" applyAlignment="1" applyProtection="1"/>
    <xf numFmtId="2" fontId="8" fillId="6" borderId="0" xfId="5" applyNumberFormat="1" applyFont="1" applyFill="1"/>
    <xf numFmtId="2" fontId="6" fillId="5" borderId="0" xfId="5" applyNumberFormat="1" applyFont="1" applyFill="1"/>
    <xf numFmtId="37" fontId="8" fillId="0" borderId="3" xfId="5" applyNumberFormat="1" applyFont="1" applyBorder="1"/>
    <xf numFmtId="9" fontId="16" fillId="0" borderId="0" xfId="5" applyNumberFormat="1" applyFont="1"/>
    <xf numFmtId="9" fontId="16" fillId="0" borderId="3" xfId="5" applyNumberFormat="1" applyFont="1" applyBorder="1"/>
    <xf numFmtId="37" fontId="8" fillId="0" borderId="10" xfId="5" applyNumberFormat="1" applyFont="1" applyBorder="1"/>
    <xf numFmtId="0" fontId="0" fillId="0" borderId="0" xfId="0" applyAlignment="1">
      <alignment horizontal="right"/>
    </xf>
    <xf numFmtId="14" fontId="0" fillId="0" borderId="0" xfId="0" applyNumberFormat="1" applyAlignment="1">
      <alignment horizontal="right"/>
    </xf>
    <xf numFmtId="0" fontId="1" fillId="0" borderId="0" xfId="5" applyFont="1" applyAlignment="1">
      <alignment horizontal="left"/>
    </xf>
    <xf numFmtId="0" fontId="1" fillId="0" borderId="0" xfId="5" applyFont="1" applyAlignment="1">
      <alignment horizontal="right"/>
    </xf>
    <xf numFmtId="167" fontId="0" fillId="0" borderId="0" xfId="0" applyNumberFormat="1"/>
    <xf numFmtId="168" fontId="0" fillId="0" borderId="0" xfId="0" applyNumberFormat="1"/>
    <xf numFmtId="37" fontId="0" fillId="0" borderId="0" xfId="0" applyNumberFormat="1"/>
    <xf numFmtId="165" fontId="0" fillId="0" borderId="0" xfId="2" applyNumberFormat="1" applyFont="1"/>
    <xf numFmtId="165" fontId="0" fillId="0" borderId="0" xfId="2" applyNumberFormat="1" applyFont="1" applyBorder="1"/>
    <xf numFmtId="0" fontId="5" fillId="0" borderId="0" xfId="0" applyFont="1"/>
    <xf numFmtId="37" fontId="5" fillId="0" borderId="0" xfId="0" applyNumberFormat="1" applyFont="1"/>
    <xf numFmtId="9" fontId="0" fillId="0" borderId="0" xfId="2" applyFont="1"/>
    <xf numFmtId="9" fontId="5" fillId="0" borderId="0" xfId="2" applyFont="1"/>
    <xf numFmtId="9" fontId="1" fillId="0" borderId="0" xfId="2" applyFont="1"/>
    <xf numFmtId="9" fontId="1" fillId="0" borderId="0" xfId="4" applyNumberFormat="1" applyFill="1"/>
    <xf numFmtId="3" fontId="0" fillId="0" borderId="0" xfId="0" applyNumberFormat="1"/>
    <xf numFmtId="2" fontId="0" fillId="0" borderId="0" xfId="0" applyNumberFormat="1"/>
    <xf numFmtId="0" fontId="1" fillId="0" borderId="2" xfId="7" applyBorder="1"/>
    <xf numFmtId="0" fontId="23" fillId="0" borderId="2" xfId="7" applyFont="1" applyBorder="1"/>
    <xf numFmtId="0" fontId="1" fillId="0" borderId="0" xfId="7"/>
    <xf numFmtId="3" fontId="1" fillId="0" borderId="0" xfId="7" applyNumberFormat="1"/>
    <xf numFmtId="38" fontId="1" fillId="0" borderId="0" xfId="7" applyNumberFormat="1"/>
    <xf numFmtId="10" fontId="1" fillId="0" borderId="0" xfId="8" applyNumberFormat="1" applyFont="1"/>
    <xf numFmtId="0" fontId="1" fillId="0" borderId="9" xfId="7" applyBorder="1"/>
    <xf numFmtId="10" fontId="1" fillId="0" borderId="9" xfId="8" applyNumberFormat="1" applyFont="1" applyBorder="1"/>
    <xf numFmtId="0" fontId="5" fillId="0" borderId="7" xfId="7" applyFont="1" applyBorder="1"/>
    <xf numFmtId="0" fontId="1" fillId="0" borderId="7" xfId="7" applyBorder="1"/>
    <xf numFmtId="10" fontId="1" fillId="0" borderId="7" xfId="7" applyNumberFormat="1" applyBorder="1"/>
    <xf numFmtId="10" fontId="1" fillId="0" borderId="0" xfId="7" applyNumberFormat="1"/>
    <xf numFmtId="0" fontId="5" fillId="0" borderId="0" xfId="7" applyFont="1"/>
    <xf numFmtId="0" fontId="5" fillId="0" borderId="7" xfId="7" applyFont="1" applyBorder="1" applyAlignment="1">
      <alignment vertical="center"/>
    </xf>
    <xf numFmtId="0" fontId="1" fillId="0" borderId="7" xfId="7" applyBorder="1" applyAlignment="1">
      <alignment vertical="center"/>
    </xf>
    <xf numFmtId="10" fontId="5" fillId="0" borderId="7" xfId="7" applyNumberFormat="1" applyFont="1" applyBorder="1" applyAlignment="1">
      <alignment vertical="center"/>
    </xf>
    <xf numFmtId="37" fontId="0" fillId="0" borderId="0" xfId="0" applyNumberFormat="1" applyAlignment="1">
      <alignment horizontal="right"/>
    </xf>
    <xf numFmtId="39" fontId="0" fillId="0" borderId="0" xfId="0" applyNumberFormat="1"/>
    <xf numFmtId="2" fontId="0" fillId="0" borderId="0" xfId="2" applyNumberFormat="1" applyFont="1"/>
    <xf numFmtId="9" fontId="0" fillId="0" borderId="0" xfId="2" applyFont="1" applyAlignment="1">
      <alignment horizontal="right"/>
    </xf>
    <xf numFmtId="165" fontId="5" fillId="0" borderId="0" xfId="2" applyNumberFormat="1" applyFont="1" applyBorder="1"/>
    <xf numFmtId="9" fontId="21" fillId="0" borderId="0" xfId="5" applyNumberFormat="1" applyFont="1"/>
    <xf numFmtId="3" fontId="17" fillId="0" borderId="0" xfId="5" applyNumberFormat="1" applyFont="1"/>
    <xf numFmtId="3" fontId="17" fillId="0" borderId="9" xfId="5" applyNumberFormat="1" applyFont="1" applyBorder="1"/>
    <xf numFmtId="0" fontId="22" fillId="5" borderId="0" xfId="5" applyFont="1" applyFill="1" applyAlignment="1">
      <alignment horizontal="center" vertical="center"/>
    </xf>
    <xf numFmtId="0" fontId="4" fillId="5" borderId="0" xfId="7" applyFont="1" applyFill="1" applyAlignment="1">
      <alignment horizontal="center" vertical="center"/>
    </xf>
    <xf numFmtId="0" fontId="6" fillId="5" borderId="0" xfId="7" applyFont="1" applyFill="1" applyAlignment="1">
      <alignment horizontal="center" vertical="center"/>
    </xf>
  </cellXfs>
  <cellStyles count="9">
    <cellStyle name="60% - Accent5" xfId="4" builtinId="48"/>
    <cellStyle name="Currency" xfId="1" builtinId="4"/>
    <cellStyle name="Input" xfId="3" builtinId="20"/>
    <cellStyle name="Normal" xfId="0" builtinId="0"/>
    <cellStyle name="Normal 2" xfId="5" xr:uid="{F4C7D35C-47C7-7C4B-B392-2806CDB5E253}"/>
    <cellStyle name="Normal 2 2" xfId="7" xr:uid="{E8BA5362-5DD9-0F44-B59D-F7AB91177A4A}"/>
    <cellStyle name="Percent" xfId="2" builtinId="5"/>
    <cellStyle name="Percent 2" xfId="6" xr:uid="{C086E719-D390-9B41-88B7-E4800786F268}"/>
    <cellStyle name="Percent 2 2" xfId="8" xr:uid="{0582F17C-7B8D-E541-9923-FC643F59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14</xdr:col>
      <xdr:colOff>7055</xdr:colOff>
      <xdr:row>0</xdr:row>
      <xdr:rowOff>165100</xdr:rowOff>
    </xdr:from>
    <xdr:to>
      <xdr:col>14</xdr:col>
      <xdr:colOff>35791</xdr:colOff>
      <xdr:row>60</xdr:row>
      <xdr:rowOff>188191</xdr:rowOff>
    </xdr:to>
    <xdr:cxnSp macro="">
      <xdr:nvCxnSpPr>
        <xdr:cNvPr id="2" name="Straight Connector 1">
          <a:extLst>
            <a:ext uri="{FF2B5EF4-FFF2-40B4-BE49-F238E27FC236}">
              <a16:creationId xmlns:a16="http://schemas.microsoft.com/office/drawing/2014/main" id="{0798F002-7AE1-8D4B-B83F-82523FB884BA}"/>
            </a:ext>
          </a:extLst>
        </xdr:cNvPr>
        <xdr:cNvCxnSpPr/>
      </xdr:nvCxnSpPr>
      <xdr:spPr>
        <a:xfrm>
          <a:off x="13430955" y="165100"/>
          <a:ext cx="28736" cy="13434291"/>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11545</xdr:colOff>
      <xdr:row>0</xdr:row>
      <xdr:rowOff>69273</xdr:rowOff>
    </xdr:from>
    <xdr:to>
      <xdr:col>27</xdr:col>
      <xdr:colOff>23091</xdr:colOff>
      <xdr:row>59</xdr:row>
      <xdr:rowOff>196273</xdr:rowOff>
    </xdr:to>
    <xdr:cxnSp macro="">
      <xdr:nvCxnSpPr>
        <xdr:cNvPr id="3" name="Straight Connector 2">
          <a:extLst>
            <a:ext uri="{FF2B5EF4-FFF2-40B4-BE49-F238E27FC236}">
              <a16:creationId xmlns:a16="http://schemas.microsoft.com/office/drawing/2014/main" id="{E880BDD8-B483-6744-8FBC-2639D9FB0693}"/>
            </a:ext>
          </a:extLst>
        </xdr:cNvPr>
        <xdr:cNvCxnSpPr/>
      </xdr:nvCxnSpPr>
      <xdr:spPr>
        <a:xfrm>
          <a:off x="20864945" y="69273"/>
          <a:ext cx="11546" cy="13335000"/>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A2D27844-3043-3E4B-8331-1E0B220114CB}"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179.61</v>
    <v>124.17</v>
    <v>1.2722</v>
    <v>2.6</v>
    <v>1.9220999999999999E-2</v>
    <v>0.23</v>
    <v>1.668E-3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138.02000000000001</v>
    <v>Computers, Phones &amp; Household Electronics</v>
    <v>Stock</v>
    <v>44947.041658818751</v>
    <v>0</v>
    <v>134.22</v>
    <v>2183339000000</v>
    <v>APPLE INC.</v>
    <v>APPLE INC.</v>
    <v>135.28</v>
    <v>22.1678</v>
    <v>135.27000000000001</v>
    <v>137.87</v>
    <v>138.1</v>
    <v>15836210000</v>
    <v>AAPL</v>
    <v>APPLE INC. (XNAS:AAPL)</v>
    <v>80223626</v>
    <v>80878175</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 dT="2022-11-15T02:55:34.45" personId="{A2D27844-3043-3E4B-8331-1E0B220114CB}" id="{FFB2EE32-EE77-FD4F-8582-F302FE52ECF7}">
    <text>iPhone 12 launch</text>
  </threadedComment>
  <threadedComment ref="J3" dT="2022-11-15T02:55:13.03" personId="{A2D27844-3043-3E4B-8331-1E0B220114CB}" id="{C9EF99F7-EAD2-E148-A0D5-A07798026041}">
    <text>iPhone 13 launch</text>
  </threadedComment>
  <threadedComment ref="O3" dT="2022-11-15T03:00:36.85" personId="{A2D27844-3043-3E4B-8331-1E0B220114CB}" id="{6D85C66A-07CD-A34F-9A81-782554093E1B}">
    <text>iPhone 14 release</text>
  </threadedComment>
  <threadedComment ref="G4" dT="2022-11-15T02:57:24.38" personId="{A2D27844-3043-3E4B-8331-1E0B220114CB}" id="{C86F19C1-B18F-694D-8ACE-47453F5BD08C}">
    <text>M1 Mac air release</text>
  </threadedComment>
  <threadedComment ref="L4" dT="2022-11-15T02:58:31.91" personId="{A2D27844-3043-3E4B-8331-1E0B220114CB}" id="{087F7F1A-6FE5-E34B-ABA1-1B88373B2FD6}">
    <text>Mac Studio launch</text>
  </threadedComment>
  <threadedComment ref="M4" dT="2022-11-15T02:56:40.74" personId="{A2D27844-3043-3E4B-8331-1E0B220114CB}" id="{2986CDA2-9756-0D47-B83C-74DA9D159C18}">
    <text>M2 MacBook Air release</text>
  </threadedComment>
  <threadedComment ref="O5" dT="2022-11-15T02:59:06.86" personId="{A2D27844-3043-3E4B-8331-1E0B220114CB}" id="{2E7FC64F-D6FB-1647-9B99-CBDC768412DA}">
    <text>new ipad pro release</text>
  </threadedComment>
  <threadedComment ref="N6" dT="2022-11-15T03:02:36.08" personId="{A2D27844-3043-3E4B-8331-1E0B220114CB}" id="{163F0D41-1242-5740-A5FD-E64CA628D9B3}">
    <text>Series 8 release</text>
  </threadedComment>
  <threadedComment ref="O11" dT="2022-11-15T02:52:55.12" personId="{A2D27844-3043-3E4B-8331-1E0B220114CB}" id="{9AE9AAAC-82B7-9848-92FC-E0EB3E1EC93C}">
    <text>Q422:
Decelerate y/y growth in Q123
42.5% - 43.5% in gross margin
OpEx 14.7-14.9 b
OI&amp;E -300m
16.5% tax rate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BFEF-30E6-6241-A16F-846E4CE4C0F9}">
  <dimension ref="A2:AA145"/>
  <sheetViews>
    <sheetView showGridLines="0" tabSelected="1" topLeftCell="A93" zoomScale="120" zoomScaleNormal="120" workbookViewId="0">
      <selection activeCell="P115" sqref="P115:P116"/>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160</v>
      </c>
      <c r="E2" s="3" t="s">
        <v>163</v>
      </c>
      <c r="F2" s="4"/>
      <c r="G2" s="4"/>
      <c r="H2" s="3" t="s">
        <v>164</v>
      </c>
      <c r="K2" s="3" t="s">
        <v>162</v>
      </c>
      <c r="N2" s="3" t="s">
        <v>165</v>
      </c>
    </row>
    <row r="4" spans="1:27" ht="16" customHeight="1" x14ac:dyDescent="0.2">
      <c r="B4" s="5" t="s">
        <v>0</v>
      </c>
      <c r="C4" s="6" t="s">
        <v>161</v>
      </c>
      <c r="E4" s="5" t="s">
        <v>1</v>
      </c>
      <c r="G4" s="7">
        <f ca="1">D111</f>
        <v>143.14415646139344</v>
      </c>
      <c r="I4" s="5" t="s">
        <v>2</v>
      </c>
      <c r="K4" s="7">
        <v>121.64502266063641</v>
      </c>
      <c r="M4" s="5" t="s">
        <v>3</v>
      </c>
      <c r="O4" s="8">
        <v>104.90696877454531</v>
      </c>
      <c r="Q4" s="5" t="s">
        <v>4</v>
      </c>
      <c r="S4" s="8">
        <f ca="1">G4*(1+((1/T97)^(1/10)-1))^10</f>
        <v>338.54469216469863</v>
      </c>
    </row>
    <row r="5" spans="1:27" ht="16" customHeight="1" x14ac:dyDescent="0.2">
      <c r="B5" s="5" t="s">
        <v>5</v>
      </c>
      <c r="C5" s="9">
        <v>44947</v>
      </c>
      <c r="E5" s="5" t="s">
        <v>6</v>
      </c>
      <c r="G5" s="10" cm="1">
        <f t="array" ref="G5">_FV('Financials + KPIs'!B1,"Price")</f>
        <v>137.87</v>
      </c>
      <c r="I5" s="5" t="s">
        <v>7</v>
      </c>
      <c r="K5" s="7">
        <v>147.58032088911506</v>
      </c>
      <c r="M5" s="5" t="s">
        <v>8</v>
      </c>
      <c r="O5" s="11">
        <f ca="1">G4/G5-1</f>
        <v>3.825456198878241E-2</v>
      </c>
      <c r="Q5" s="5" t="s">
        <v>9</v>
      </c>
      <c r="S5" s="11">
        <f ca="1">(S4/G5)^(1/10)-1</f>
        <v>9.3993202067508719E-2</v>
      </c>
    </row>
    <row r="7" spans="1:27" ht="16" customHeight="1" x14ac:dyDescent="0.2">
      <c r="A7" s="5" t="s">
        <v>10</v>
      </c>
      <c r="B7" s="12" t="s">
        <v>11</v>
      </c>
      <c r="C7" s="13"/>
      <c r="D7" s="13"/>
      <c r="E7" s="14" t="s">
        <v>12</v>
      </c>
      <c r="F7" s="13"/>
      <c r="G7" s="13"/>
      <c r="H7" s="13"/>
      <c r="I7" s="13"/>
      <c r="J7" s="15"/>
      <c r="K7" s="15"/>
      <c r="L7" s="15"/>
      <c r="M7" s="15"/>
      <c r="N7" s="15"/>
      <c r="O7" s="15"/>
      <c r="P7" s="15"/>
      <c r="Q7" s="15"/>
      <c r="R7" s="15"/>
      <c r="S7" s="15"/>
      <c r="T7" s="15"/>
      <c r="U7" s="15"/>
      <c r="V7"/>
      <c r="W7"/>
      <c r="X7"/>
      <c r="Y7"/>
      <c r="Z7"/>
      <c r="AA7"/>
    </row>
    <row r="8" spans="1:27" ht="16" customHeight="1" x14ac:dyDescent="0.2">
      <c r="B8" s="16" t="s">
        <v>13</v>
      </c>
      <c r="F8" s="16" t="s">
        <v>3</v>
      </c>
      <c r="J8" s="16" t="s">
        <v>14</v>
      </c>
      <c r="N8" s="16" t="s">
        <v>7</v>
      </c>
      <c r="R8" s="16" t="s">
        <v>15</v>
      </c>
      <c r="S8" s="17"/>
      <c r="T8" s="17"/>
    </row>
    <row r="9" spans="1:27" ht="16" customHeight="1" x14ac:dyDescent="0.2">
      <c r="B9" s="5" t="s">
        <v>115</v>
      </c>
      <c r="D9" s="18">
        <v>2</v>
      </c>
      <c r="F9" s="5" t="s">
        <v>149</v>
      </c>
      <c r="H9" s="19">
        <v>0.8</v>
      </c>
      <c r="J9" s="5" t="s">
        <v>149</v>
      </c>
      <c r="L9" s="20"/>
      <c r="N9" s="5" t="s">
        <v>149</v>
      </c>
      <c r="P9" s="19">
        <v>1.2</v>
      </c>
      <c r="R9" s="5" t="s">
        <v>16</v>
      </c>
      <c r="S9" s="17"/>
      <c r="T9" s="21">
        <v>48304</v>
      </c>
    </row>
    <row r="10" spans="1:27" ht="16" customHeight="1" x14ac:dyDescent="0.2">
      <c r="F10" s="5" t="s">
        <v>150</v>
      </c>
      <c r="H10" s="19">
        <v>0.03</v>
      </c>
      <c r="J10" s="5" t="s">
        <v>150</v>
      </c>
      <c r="L10" s="19">
        <v>0.04</v>
      </c>
      <c r="N10" s="5" t="s">
        <v>150</v>
      </c>
      <c r="P10" s="19">
        <v>0.05</v>
      </c>
      <c r="R10" s="5" t="s">
        <v>17</v>
      </c>
      <c r="S10" s="17"/>
      <c r="T10" s="21">
        <v>98959</v>
      </c>
    </row>
    <row r="11" spans="1:27" ht="16" customHeight="1" x14ac:dyDescent="0.2">
      <c r="B11" s="17"/>
      <c r="C11" s="17"/>
      <c r="D11" s="17"/>
      <c r="F11" s="5" t="s">
        <v>151</v>
      </c>
      <c r="H11" s="19">
        <v>0.02</v>
      </c>
      <c r="J11" s="5" t="s">
        <v>151</v>
      </c>
      <c r="L11" s="22">
        <v>2.5000000000000001E-2</v>
      </c>
      <c r="N11" s="5" t="s">
        <v>151</v>
      </c>
      <c r="P11" s="19">
        <v>0.03</v>
      </c>
      <c r="R11" s="5" t="s">
        <v>18</v>
      </c>
      <c r="S11" s="17"/>
      <c r="T11" s="21">
        <v>120069</v>
      </c>
    </row>
    <row r="12" spans="1:27" ht="16" customHeight="1" x14ac:dyDescent="0.2">
      <c r="B12" s="5" t="s">
        <v>148</v>
      </c>
      <c r="D12" s="18">
        <v>2</v>
      </c>
      <c r="F12" s="5" t="s">
        <v>152</v>
      </c>
      <c r="H12" s="19">
        <v>0.7</v>
      </c>
      <c r="J12" s="5" t="s">
        <v>152</v>
      </c>
      <c r="L12" s="23"/>
      <c r="N12" s="5" t="s">
        <v>152</v>
      </c>
      <c r="P12" s="19">
        <v>1.3</v>
      </c>
      <c r="R12" s="5" t="s">
        <v>19</v>
      </c>
      <c r="S12" s="17"/>
      <c r="T12" s="21">
        <v>0</v>
      </c>
    </row>
    <row r="13" spans="1:27" ht="16" customHeight="1" x14ac:dyDescent="0.2">
      <c r="F13" s="5" t="s">
        <v>153</v>
      </c>
      <c r="H13" s="19">
        <v>7.0000000000000007E-2</v>
      </c>
      <c r="J13" s="5" t="s">
        <v>153</v>
      </c>
      <c r="L13" s="19">
        <v>0.1</v>
      </c>
      <c r="N13" s="5" t="s">
        <v>153</v>
      </c>
      <c r="P13" s="19">
        <v>0.13</v>
      </c>
      <c r="R13" s="5" t="s">
        <v>20</v>
      </c>
      <c r="S13" s="17"/>
      <c r="T13" s="21">
        <v>97214</v>
      </c>
    </row>
    <row r="14" spans="1:27" ht="16" customHeight="1" x14ac:dyDescent="0.2">
      <c r="F14" s="5" t="s">
        <v>154</v>
      </c>
      <c r="H14" s="19">
        <v>0.03</v>
      </c>
      <c r="J14" s="5" t="s">
        <v>154</v>
      </c>
      <c r="L14" s="19">
        <v>0.04</v>
      </c>
      <c r="N14" s="5" t="s">
        <v>154</v>
      </c>
      <c r="P14" s="19">
        <v>0.05</v>
      </c>
      <c r="R14" s="5" t="s">
        <v>21</v>
      </c>
      <c r="T14" s="21">
        <v>11673</v>
      </c>
    </row>
    <row r="15" spans="1:27" ht="16" customHeight="1" x14ac:dyDescent="0.2">
      <c r="B15" s="5" t="s">
        <v>120</v>
      </c>
      <c r="D15" s="18">
        <v>2</v>
      </c>
      <c r="F15" s="5" t="s">
        <v>156</v>
      </c>
      <c r="H15" s="19">
        <v>0.8</v>
      </c>
      <c r="J15" s="5" t="s">
        <v>156</v>
      </c>
      <c r="L15"/>
      <c r="N15" s="5" t="s">
        <v>156</v>
      </c>
      <c r="P15" s="19">
        <v>1.2</v>
      </c>
      <c r="R15" s="5" t="s">
        <v>22</v>
      </c>
      <c r="S15" s="17"/>
      <c r="T15" s="24">
        <v>4.2299999999999997E-2</v>
      </c>
    </row>
    <row r="16" spans="1:27" ht="16" customHeight="1" x14ac:dyDescent="0.2">
      <c r="F16" s="5" t="s">
        <v>157</v>
      </c>
      <c r="H16" s="19">
        <v>0.13</v>
      </c>
      <c r="J16" s="5" t="s">
        <v>157</v>
      </c>
      <c r="L16" s="19">
        <v>0.15</v>
      </c>
      <c r="N16" s="5" t="s">
        <v>157</v>
      </c>
      <c r="P16" s="19">
        <v>0.17</v>
      </c>
      <c r="R16" s="5" t="s">
        <v>23</v>
      </c>
      <c r="T16" s="21">
        <v>16325.8</v>
      </c>
    </row>
    <row r="17" spans="1:24" ht="16" customHeight="1" x14ac:dyDescent="0.2">
      <c r="F17" s="5" t="s">
        <v>158</v>
      </c>
      <c r="H17" s="22">
        <v>4.4999999999999998E-2</v>
      </c>
      <c r="J17" s="5" t="s">
        <v>158</v>
      </c>
      <c r="L17" s="19">
        <v>0.05</v>
      </c>
      <c r="N17" s="5" t="s">
        <v>158</v>
      </c>
      <c r="P17" s="22">
        <v>5.5E-2</v>
      </c>
      <c r="R17"/>
      <c r="S17"/>
      <c r="T17"/>
    </row>
    <row r="18" spans="1:24" ht="16" customHeight="1" x14ac:dyDescent="0.2">
      <c r="B18" s="5" t="s">
        <v>24</v>
      </c>
      <c r="D18" s="18">
        <v>3</v>
      </c>
      <c r="F18" s="5" t="s">
        <v>25</v>
      </c>
      <c r="H18" s="19">
        <v>0.28999999999999998</v>
      </c>
      <c r="J18" s="5" t="str">
        <f>F18</f>
        <v>EBIT - 2027</v>
      </c>
      <c r="L18" s="19">
        <v>0.31</v>
      </c>
      <c r="N18" s="5" t="str">
        <f>J18</f>
        <v>EBIT - 2027</v>
      </c>
      <c r="P18" s="19">
        <v>0.33</v>
      </c>
      <c r="R18" s="16" t="s">
        <v>26</v>
      </c>
      <c r="S18" s="17"/>
      <c r="T18" s="17"/>
    </row>
    <row r="19" spans="1:24" ht="16" customHeight="1" x14ac:dyDescent="0.2">
      <c r="F19" s="5" t="s">
        <v>27</v>
      </c>
      <c r="H19" s="19">
        <v>0.27</v>
      </c>
      <c r="J19" s="5" t="s">
        <v>27</v>
      </c>
      <c r="N19" s="5" t="s">
        <v>27</v>
      </c>
      <c r="P19" s="19">
        <v>0.35</v>
      </c>
      <c r="R19" s="5" t="s">
        <v>28</v>
      </c>
      <c r="S19" s="17"/>
      <c r="T19" s="24">
        <v>3.4770000000000002E-2</v>
      </c>
    </row>
    <row r="20" spans="1:24" ht="16" customHeight="1" x14ac:dyDescent="0.2">
      <c r="B20" s="5" t="s">
        <v>29</v>
      </c>
      <c r="F20" s="5" t="s">
        <v>29</v>
      </c>
      <c r="J20" s="5" t="s">
        <v>159</v>
      </c>
      <c r="L20" s="25">
        <v>0.21</v>
      </c>
      <c r="N20" s="5" t="s">
        <v>29</v>
      </c>
      <c r="R20" s="5" t="s">
        <v>30</v>
      </c>
      <c r="S20" s="17"/>
      <c r="T20" s="24">
        <v>5.11E-2</v>
      </c>
    </row>
    <row r="21" spans="1:24" ht="16" customHeight="1" x14ac:dyDescent="0.2">
      <c r="R21" s="5" t="s">
        <v>31</v>
      </c>
      <c r="T21" s="26">
        <v>1.25</v>
      </c>
    </row>
    <row r="22" spans="1:24" ht="16" customHeight="1" x14ac:dyDescent="0.2">
      <c r="B22" s="5" t="s">
        <v>33</v>
      </c>
      <c r="D22" s="18">
        <v>2</v>
      </c>
      <c r="F22" s="5" t="s">
        <v>33</v>
      </c>
      <c r="H22" s="22">
        <f>L22-0.5%</f>
        <v>8.989861436140778E-2</v>
      </c>
      <c r="J22" s="5" t="s">
        <v>33</v>
      </c>
      <c r="L22" s="27">
        <f>WACC!F22</f>
        <v>9.4898614361407785E-2</v>
      </c>
      <c r="N22" s="5" t="s">
        <v>33</v>
      </c>
      <c r="P22" s="22">
        <f>L22+0.5%</f>
        <v>9.9898614361407789E-2</v>
      </c>
      <c r="R22" s="5" t="s">
        <v>32</v>
      </c>
      <c r="S22" s="17"/>
      <c r="T22" s="24">
        <f>K96-1%</f>
        <v>8.489861436140779E-2</v>
      </c>
    </row>
    <row r="23" spans="1:24" ht="16" customHeight="1" x14ac:dyDescent="0.2">
      <c r="B23" s="5" t="s">
        <v>34</v>
      </c>
      <c r="D23" s="18">
        <v>3</v>
      </c>
      <c r="F23" s="5" t="s">
        <v>34</v>
      </c>
      <c r="H23" s="28">
        <f>L23-0.5%</f>
        <v>0.02</v>
      </c>
      <c r="J23" s="5" t="s">
        <v>34</v>
      </c>
      <c r="L23" s="28">
        <v>2.5000000000000001E-2</v>
      </c>
      <c r="N23" s="5" t="s">
        <v>34</v>
      </c>
      <c r="P23" s="28">
        <f>L23+0.5%</f>
        <v>3.0000000000000002E-2</v>
      </c>
    </row>
    <row r="24" spans="1:24" ht="16" customHeight="1" x14ac:dyDescent="0.2">
      <c r="B24" s="5" t="s">
        <v>35</v>
      </c>
      <c r="D24" s="18">
        <v>3</v>
      </c>
      <c r="F24" s="5" t="s">
        <v>35</v>
      </c>
      <c r="H24" s="29">
        <v>9</v>
      </c>
      <c r="I24" s="30"/>
      <c r="J24" s="30" t="s">
        <v>35</v>
      </c>
      <c r="K24" s="30"/>
      <c r="L24" s="29">
        <v>9</v>
      </c>
      <c r="M24" s="30"/>
      <c r="N24" s="30" t="s">
        <v>35</v>
      </c>
      <c r="O24" s="30"/>
      <c r="P24" s="29">
        <v>11</v>
      </c>
    </row>
    <row r="25" spans="1:24" ht="16" customHeight="1" x14ac:dyDescent="0.2">
      <c r="B25" s="17"/>
      <c r="C25" s="17"/>
      <c r="D25" s="17"/>
      <c r="E25" s="17"/>
      <c r="F25" s="17"/>
      <c r="G25" s="17"/>
      <c r="H25" s="17"/>
      <c r="I25" s="17"/>
      <c r="J25" s="17"/>
      <c r="K25" s="17"/>
      <c r="L25" s="17"/>
      <c r="M25" s="17"/>
      <c r="N25" s="17"/>
      <c r="O25" s="17"/>
      <c r="P25" s="17"/>
    </row>
    <row r="26" spans="1:24" s="17" customFormat="1" ht="16" customHeight="1" x14ac:dyDescent="0.2">
      <c r="B26" s="16" t="s">
        <v>36</v>
      </c>
      <c r="F26" s="16" t="s">
        <v>37</v>
      </c>
      <c r="V26" s="5"/>
      <c r="W26" s="5"/>
      <c r="X26" s="5"/>
    </row>
    <row r="27" spans="1:24" s="17" customFormat="1" ht="16" customHeight="1" x14ac:dyDescent="0.2">
      <c r="B27" s="5" t="s">
        <v>33</v>
      </c>
      <c r="D27" s="22">
        <f>CHOOSE(D22,H22,L22,P22,H27)</f>
        <v>9.4898614361407785E-2</v>
      </c>
      <c r="F27" s="5" t="s">
        <v>33</v>
      </c>
      <c r="G27" s="5"/>
      <c r="H27" s="24"/>
      <c r="V27" s="5"/>
      <c r="W27" s="5"/>
      <c r="X27" s="5"/>
    </row>
    <row r="28" spans="1:24" s="17" customFormat="1" ht="16" customHeight="1" x14ac:dyDescent="0.2">
      <c r="B28" s="5" t="s">
        <v>34</v>
      </c>
      <c r="D28" s="22">
        <f>CHOOSE(D23,H23,L23,P23,H28)</f>
        <v>3.0000000000000002E-2</v>
      </c>
      <c r="F28" s="5" t="s">
        <v>34</v>
      </c>
      <c r="G28" s="5"/>
      <c r="H28" s="31"/>
      <c r="V28" s="5"/>
      <c r="W28" s="5"/>
      <c r="X28" s="5"/>
    </row>
    <row r="29" spans="1:24" s="17" customFormat="1" ht="16" customHeight="1" x14ac:dyDescent="0.2">
      <c r="B29" s="5" t="s">
        <v>35</v>
      </c>
      <c r="D29" s="29">
        <f>CHOOSE(D24,H24,L24,P24,H29)</f>
        <v>11</v>
      </c>
      <c r="F29" s="30" t="s">
        <v>35</v>
      </c>
      <c r="G29" s="30"/>
      <c r="H29" s="32"/>
      <c r="V29" s="5"/>
    </row>
    <row r="31" spans="1:24" ht="16" customHeight="1" x14ac:dyDescent="0.2">
      <c r="A31" s="5" t="s">
        <v>10</v>
      </c>
      <c r="B31" s="12" t="s">
        <v>140</v>
      </c>
      <c r="C31" s="12"/>
      <c r="D31" s="12"/>
      <c r="E31" s="33">
        <v>2017</v>
      </c>
      <c r="F31" s="33">
        <f>E31+1</f>
        <v>2018</v>
      </c>
      <c r="G31" s="33">
        <f t="shared" ref="G31:J31" si="0">F31+1</f>
        <v>2019</v>
      </c>
      <c r="H31" s="33">
        <f t="shared" si="0"/>
        <v>2020</v>
      </c>
      <c r="I31" s="33">
        <f t="shared" si="0"/>
        <v>2021</v>
      </c>
      <c r="J31" s="33">
        <f t="shared" si="0"/>
        <v>2022</v>
      </c>
      <c r="K31" s="34">
        <v>2023</v>
      </c>
      <c r="L31" s="34">
        <f>K31+1</f>
        <v>2024</v>
      </c>
      <c r="M31" s="34">
        <f t="shared" ref="M31:U31" si="1">L31+1</f>
        <v>2025</v>
      </c>
      <c r="N31" s="34">
        <f t="shared" si="1"/>
        <v>2026</v>
      </c>
      <c r="O31" s="34">
        <f t="shared" si="1"/>
        <v>2027</v>
      </c>
      <c r="P31" s="34">
        <f t="shared" si="1"/>
        <v>2028</v>
      </c>
      <c r="Q31" s="34">
        <f t="shared" si="1"/>
        <v>2029</v>
      </c>
      <c r="R31" s="34">
        <f t="shared" si="1"/>
        <v>2030</v>
      </c>
      <c r="S31" s="34">
        <f t="shared" si="1"/>
        <v>2031</v>
      </c>
      <c r="T31" s="34">
        <f t="shared" si="1"/>
        <v>2032</v>
      </c>
      <c r="U31" s="34">
        <f t="shared" si="1"/>
        <v>2033</v>
      </c>
    </row>
    <row r="32" spans="1:24" ht="16" customHeight="1" x14ac:dyDescent="0.2">
      <c r="B32" s="12" t="s">
        <v>38</v>
      </c>
      <c r="C32" s="12"/>
      <c r="D32" s="12"/>
      <c r="E32" s="35">
        <f>EDATE(F32,-12)</f>
        <v>43008</v>
      </c>
      <c r="F32" s="35">
        <f t="shared" ref="F32:I32" si="2">EDATE(G32,-12)</f>
        <v>43373</v>
      </c>
      <c r="G32" s="35">
        <f t="shared" si="2"/>
        <v>43738</v>
      </c>
      <c r="H32" s="35">
        <f t="shared" si="2"/>
        <v>44104</v>
      </c>
      <c r="I32" s="35">
        <f t="shared" si="2"/>
        <v>44469</v>
      </c>
      <c r="J32" s="35">
        <f>EDATE(K32,-12)</f>
        <v>44834</v>
      </c>
      <c r="K32" s="35">
        <v>45199</v>
      </c>
      <c r="L32" s="35">
        <f>EDATE(K32,12)</f>
        <v>45565</v>
      </c>
      <c r="M32" s="35">
        <f t="shared" ref="M32:U32" si="3">EDATE(L32,12)</f>
        <v>45930</v>
      </c>
      <c r="N32" s="35">
        <f t="shared" si="3"/>
        <v>46295</v>
      </c>
      <c r="O32" s="35">
        <f t="shared" si="3"/>
        <v>46660</v>
      </c>
      <c r="P32" s="35">
        <f t="shared" si="3"/>
        <v>47026</v>
      </c>
      <c r="Q32" s="35">
        <f t="shared" si="3"/>
        <v>47391</v>
      </c>
      <c r="R32" s="35">
        <f t="shared" si="3"/>
        <v>47756</v>
      </c>
      <c r="S32" s="35">
        <f t="shared" si="3"/>
        <v>48121</v>
      </c>
      <c r="T32" s="35">
        <f t="shared" si="3"/>
        <v>48487</v>
      </c>
      <c r="U32" s="35">
        <f t="shared" si="3"/>
        <v>48852</v>
      </c>
    </row>
    <row r="33" spans="2:21" ht="16" customHeight="1" x14ac:dyDescent="0.2">
      <c r="B33" s="16" t="s">
        <v>115</v>
      </c>
      <c r="E33" s="36">
        <f>'Financials + KPIs'!V3</f>
        <v>141319</v>
      </c>
      <c r="F33" s="36">
        <f>'Financials + KPIs'!W3</f>
        <v>164888</v>
      </c>
      <c r="G33" s="36">
        <f>'Financials + KPIs'!X3</f>
        <v>142381</v>
      </c>
      <c r="H33" s="36">
        <f>'Financials + KPIs'!Y3</f>
        <v>137781</v>
      </c>
      <c r="I33" s="36">
        <f>'Financials + KPIs'!Z3</f>
        <v>191973</v>
      </c>
      <c r="J33" s="37">
        <f>'Financials + KPIs'!AA3</f>
        <v>205489</v>
      </c>
      <c r="K33" s="38">
        <f ca="1">J33*(1+K34)</f>
        <v>208999.13000000003</v>
      </c>
      <c r="L33" s="38">
        <f t="shared" ref="L33:U33" ca="1" si="4">K33*(1+L34)</f>
        <v>217359.09520000004</v>
      </c>
      <c r="M33" s="38">
        <f t="shared" ca="1" si="4"/>
        <v>225691.19384933339</v>
      </c>
      <c r="N33" s="38">
        <f t="shared" ca="1" si="4"/>
        <v>233966.53762380892</v>
      </c>
      <c r="O33" s="38">
        <f t="shared" ca="1" si="4"/>
        <v>242155.36644064222</v>
      </c>
      <c r="P33" s="38">
        <f t="shared" ca="1" si="4"/>
        <v>250227.21198866365</v>
      </c>
      <c r="Q33" s="38">
        <f t="shared" ca="1" si="4"/>
        <v>258151.073701638</v>
      </c>
      <c r="R33" s="38">
        <f t="shared" ca="1" si="4"/>
        <v>265895.60591268714</v>
      </c>
      <c r="S33" s="38">
        <f t="shared" ca="1" si="4"/>
        <v>273429.31474687991</v>
      </c>
      <c r="T33" s="38">
        <f t="shared" ca="1" si="4"/>
        <v>280720.76314013003</v>
      </c>
      <c r="U33" s="38">
        <f t="shared" ca="1" si="4"/>
        <v>287738.78221863328</v>
      </c>
    </row>
    <row r="34" spans="2:21" s="39" customFormat="1" ht="16" customHeight="1" x14ac:dyDescent="0.2">
      <c r="B34" s="39" t="s">
        <v>39</v>
      </c>
      <c r="F34" s="40">
        <f t="shared" ref="F34:H34" si="5">F33/E33-1</f>
        <v>0.16677870633106662</v>
      </c>
      <c r="G34" s="40">
        <f t="shared" si="5"/>
        <v>-0.13649871427878313</v>
      </c>
      <c r="H34" s="40">
        <f t="shared" si="5"/>
        <v>-3.2307681502447672E-2</v>
      </c>
      <c r="I34" s="40">
        <f>I33/H33-1</f>
        <v>0.39331983364905176</v>
      </c>
      <c r="J34" s="41">
        <f>J33/I33-1</f>
        <v>7.0405734139696641E-2</v>
      </c>
      <c r="K34" s="40">
        <f ca="1">OFFSET(K34,$D$9,0)</f>
        <v>1.7081838930551152E-2</v>
      </c>
      <c r="L34" s="40">
        <f t="shared" ref="L34:U34" ca="1" si="6">OFFSET(L34,$D$9,0)</f>
        <v>0.04</v>
      </c>
      <c r="M34" s="40">
        <f t="shared" ca="1" si="6"/>
        <v>3.8333333333333337E-2</v>
      </c>
      <c r="N34" s="40">
        <f t="shared" ca="1" si="6"/>
        <v>3.6666666666666674E-2</v>
      </c>
      <c r="O34" s="40">
        <f t="shared" ca="1" si="6"/>
        <v>3.500000000000001E-2</v>
      </c>
      <c r="P34" s="40">
        <f t="shared" ca="1" si="6"/>
        <v>3.3333333333333347E-2</v>
      </c>
      <c r="Q34" s="40">
        <f t="shared" ca="1" si="6"/>
        <v>3.1666666666666683E-2</v>
      </c>
      <c r="R34" s="40">
        <f t="shared" ca="1" si="6"/>
        <v>3.0000000000000016E-2</v>
      </c>
      <c r="S34" s="40">
        <f t="shared" ca="1" si="6"/>
        <v>2.8333333333333349E-2</v>
      </c>
      <c r="T34" s="40">
        <f t="shared" ca="1" si="6"/>
        <v>2.6666666666666682E-2</v>
      </c>
      <c r="U34" s="40">
        <f t="shared" ca="1" si="6"/>
        <v>2.5000000000000001E-2</v>
      </c>
    </row>
    <row r="35" spans="2:21" ht="16" customHeight="1" x14ac:dyDescent="0.2">
      <c r="B35" s="5" t="s">
        <v>3</v>
      </c>
      <c r="J35" s="42"/>
      <c r="K35" s="43">
        <f>K36*H9</f>
        <v>1.3665471144440923E-2</v>
      </c>
      <c r="L35" s="44">
        <f>H10</f>
        <v>0.03</v>
      </c>
      <c r="M35" s="45">
        <f>L35-($L$35-$U$35)/($U$31-$L$31)</f>
        <v>2.8888888888888888E-2</v>
      </c>
      <c r="N35" s="45">
        <f t="shared" ref="N35:T35" si="7">M35-($L$35-$U$35)/($U$31-$L$31)</f>
        <v>2.7777777777777776E-2</v>
      </c>
      <c r="O35" s="45">
        <f t="shared" si="7"/>
        <v>2.6666666666666665E-2</v>
      </c>
      <c r="P35" s="45">
        <f t="shared" si="7"/>
        <v>2.5555555555555554E-2</v>
      </c>
      <c r="Q35" s="45">
        <f t="shared" si="7"/>
        <v>2.4444444444444442E-2</v>
      </c>
      <c r="R35" s="45">
        <f t="shared" si="7"/>
        <v>2.3333333333333331E-2</v>
      </c>
      <c r="S35" s="45">
        <f t="shared" si="7"/>
        <v>2.222222222222222E-2</v>
      </c>
      <c r="T35" s="45">
        <f t="shared" si="7"/>
        <v>2.1111111111111108E-2</v>
      </c>
      <c r="U35" s="44">
        <f>H11</f>
        <v>0.02</v>
      </c>
    </row>
    <row r="36" spans="2:21" ht="16" customHeight="1" x14ac:dyDescent="0.2">
      <c r="B36" s="5" t="s">
        <v>14</v>
      </c>
      <c r="J36" s="42"/>
      <c r="K36" s="46">
        <f>'Financials + KPIs'!AB30</f>
        <v>1.7081838930551152E-2</v>
      </c>
      <c r="L36" s="44">
        <f>L10</f>
        <v>0.04</v>
      </c>
      <c r="M36" s="45">
        <f>L36-($L$36-$U$36)/($U$31-$L$31)</f>
        <v>3.8333333333333337E-2</v>
      </c>
      <c r="N36" s="45">
        <f t="shared" ref="N36:T36" si="8">M36-($L$36-$U$36)/($U$31-$L$31)</f>
        <v>3.6666666666666674E-2</v>
      </c>
      <c r="O36" s="45">
        <f t="shared" si="8"/>
        <v>3.500000000000001E-2</v>
      </c>
      <c r="P36" s="45">
        <f t="shared" si="8"/>
        <v>3.3333333333333347E-2</v>
      </c>
      <c r="Q36" s="45">
        <f t="shared" si="8"/>
        <v>3.1666666666666683E-2</v>
      </c>
      <c r="R36" s="45">
        <f t="shared" si="8"/>
        <v>3.0000000000000016E-2</v>
      </c>
      <c r="S36" s="45">
        <f t="shared" si="8"/>
        <v>2.8333333333333349E-2</v>
      </c>
      <c r="T36" s="45">
        <f t="shared" si="8"/>
        <v>2.6666666666666682E-2</v>
      </c>
      <c r="U36" s="47">
        <f>L11</f>
        <v>2.5000000000000001E-2</v>
      </c>
    </row>
    <row r="37" spans="2:21" ht="16" customHeight="1" x14ac:dyDescent="0.2">
      <c r="B37" s="5" t="s">
        <v>40</v>
      </c>
      <c r="J37" s="42"/>
      <c r="K37" s="43">
        <f>K36*P9</f>
        <v>2.0498206716661381E-2</v>
      </c>
      <c r="L37" s="44">
        <f>P10</f>
        <v>0.05</v>
      </c>
      <c r="M37" s="45">
        <f>L37-($L$37-$U$37)/($U$31-$L$31)</f>
        <v>4.777777777777778E-2</v>
      </c>
      <c r="N37" s="45">
        <f t="shared" ref="N37:T37" si="9">M37-($L$37-$U$37)/($U$31-$L$31)</f>
        <v>4.5555555555555557E-2</v>
      </c>
      <c r="O37" s="45">
        <f t="shared" si="9"/>
        <v>4.3333333333333335E-2</v>
      </c>
      <c r="P37" s="45">
        <f t="shared" si="9"/>
        <v>4.1111111111111112E-2</v>
      </c>
      <c r="Q37" s="45">
        <f t="shared" si="9"/>
        <v>3.888888888888889E-2</v>
      </c>
      <c r="R37" s="45">
        <f t="shared" si="9"/>
        <v>3.6666666666666667E-2</v>
      </c>
      <c r="S37" s="45">
        <f t="shared" si="9"/>
        <v>3.4444444444444444E-2</v>
      </c>
      <c r="T37" s="45">
        <f t="shared" si="9"/>
        <v>3.2222222222222222E-2</v>
      </c>
      <c r="U37" s="44">
        <f>P11</f>
        <v>0.03</v>
      </c>
    </row>
    <row r="38" spans="2:21" ht="16" customHeight="1" x14ac:dyDescent="0.2">
      <c r="B38" s="5" t="s">
        <v>37</v>
      </c>
      <c r="J38" s="42"/>
      <c r="K38" s="48"/>
      <c r="L38" s="49"/>
      <c r="M38" s="49"/>
      <c r="N38" s="49"/>
      <c r="O38" s="49"/>
      <c r="P38" s="49"/>
      <c r="Q38" s="49"/>
      <c r="R38" s="49"/>
      <c r="S38" s="49"/>
      <c r="T38" s="49"/>
      <c r="U38" s="49"/>
    </row>
    <row r="39" spans="2:21" ht="16" customHeight="1" x14ac:dyDescent="0.2">
      <c r="J39" s="42"/>
    </row>
    <row r="40" spans="2:21" ht="16" customHeight="1" x14ac:dyDescent="0.2">
      <c r="B40" s="16" t="s">
        <v>148</v>
      </c>
      <c r="E40" s="36">
        <f>SUM('Financials + KPIs'!V4:V6)</f>
        <v>57935</v>
      </c>
      <c r="F40" s="36">
        <f>SUM('Financials + KPIs'!W4:W6)</f>
        <v>60959</v>
      </c>
      <c r="G40" s="36">
        <f>SUM('Financials + KPIs'!X4:X6)</f>
        <v>71502</v>
      </c>
      <c r="H40" s="36">
        <f>SUM('Financials + KPIs'!Y4:Y6)</f>
        <v>82966</v>
      </c>
      <c r="I40" s="36">
        <f>SUM('Financials + KPIs'!Z4:Z6)</f>
        <v>105419</v>
      </c>
      <c r="J40" s="37">
        <f>SUM('Financials + KPIs'!AA4:AA6)</f>
        <v>110710</v>
      </c>
      <c r="K40" s="50">
        <f ca="1">J40*(1+K41)</f>
        <v>112883.26</v>
      </c>
      <c r="L40" s="38">
        <f t="shared" ref="L40:U40" ca="1" si="10">K40*(1+L41)</f>
        <v>124171.58600000001</v>
      </c>
      <c r="M40" s="38">
        <f t="shared" ca="1" si="10"/>
        <v>135760.93402666668</v>
      </c>
      <c r="N40" s="38">
        <f t="shared" ca="1" si="10"/>
        <v>147526.88164231114</v>
      </c>
      <c r="O40" s="38">
        <f t="shared" ca="1" si="10"/>
        <v>159329.03217369603</v>
      </c>
      <c r="P40" s="38">
        <f t="shared" ca="1" si="10"/>
        <v>171013.16119976706</v>
      </c>
      <c r="Q40" s="38">
        <f t="shared" ca="1" si="10"/>
        <v>182414.03861308485</v>
      </c>
      <c r="R40" s="38">
        <f t="shared" ca="1" si="10"/>
        <v>193358.88092986995</v>
      </c>
      <c r="S40" s="38">
        <f t="shared" ca="1" si="10"/>
        <v>203671.35457946299</v>
      </c>
      <c r="T40" s="38">
        <f t="shared" ca="1" si="10"/>
        <v>213176.01779317125</v>
      </c>
      <c r="U40" s="38">
        <f t="shared" ca="1" si="10"/>
        <v>221703.0585048981</v>
      </c>
    </row>
    <row r="41" spans="2:21" s="39" customFormat="1" ht="16" customHeight="1" x14ac:dyDescent="0.2">
      <c r="B41" s="39" t="s">
        <v>39</v>
      </c>
      <c r="F41" s="40">
        <f t="shared" ref="F41:H41" si="11">F40/E40-1</f>
        <v>5.2196427030292591E-2</v>
      </c>
      <c r="G41" s="40">
        <f t="shared" si="11"/>
        <v>0.17295231220984597</v>
      </c>
      <c r="H41" s="40">
        <f t="shared" si="11"/>
        <v>0.16033117954742515</v>
      </c>
      <c r="I41" s="40">
        <f>I40/H40-1</f>
        <v>0.27062893233372698</v>
      </c>
      <c r="J41" s="41">
        <f>J40/I40-1</f>
        <v>5.0190193418643725E-2</v>
      </c>
      <c r="K41" s="40">
        <f ca="1">OFFSET(K41,$D$12,0)</f>
        <v>1.9630205040195081E-2</v>
      </c>
      <c r="L41" s="40">
        <f t="shared" ref="L41:U41" ca="1" si="12">OFFSET(L41,$D$12,0)</f>
        <v>0.1</v>
      </c>
      <c r="M41" s="40">
        <f t="shared" ca="1" si="12"/>
        <v>9.3333333333333338E-2</v>
      </c>
      <c r="N41" s="40">
        <f t="shared" ca="1" si="12"/>
        <v>8.666666666666667E-2</v>
      </c>
      <c r="O41" s="40">
        <f t="shared" ca="1" si="12"/>
        <v>0.08</v>
      </c>
      <c r="P41" s="40">
        <f t="shared" ca="1" si="12"/>
        <v>7.3333333333333334E-2</v>
      </c>
      <c r="Q41" s="40">
        <f t="shared" ca="1" si="12"/>
        <v>6.6666666666666666E-2</v>
      </c>
      <c r="R41" s="40">
        <f t="shared" ca="1" si="12"/>
        <v>0.06</v>
      </c>
      <c r="S41" s="40">
        <f t="shared" ca="1" si="12"/>
        <v>5.333333333333333E-2</v>
      </c>
      <c r="T41" s="40">
        <f t="shared" ca="1" si="12"/>
        <v>4.6666666666666662E-2</v>
      </c>
      <c r="U41" s="40">
        <f t="shared" ca="1" si="12"/>
        <v>0.04</v>
      </c>
    </row>
    <row r="42" spans="2:21" ht="16" customHeight="1" x14ac:dyDescent="0.2">
      <c r="B42" s="5" t="s">
        <v>3</v>
      </c>
      <c r="J42" s="42"/>
      <c r="K42" s="43">
        <f>K43*H12</f>
        <v>1.3741143528136556E-2</v>
      </c>
      <c r="L42" s="44">
        <f>H13</f>
        <v>7.0000000000000007E-2</v>
      </c>
      <c r="M42" s="45">
        <f>L42-($L$42-$U$42)/($U$31-$L$31)</f>
        <v>6.5555555555555561E-2</v>
      </c>
      <c r="N42" s="45">
        <f t="shared" ref="N42:T42" si="13">M42-($L$42-$U$42)/($U$31-$L$31)</f>
        <v>6.1111111111111116E-2</v>
      </c>
      <c r="O42" s="45">
        <f t="shared" si="13"/>
        <v>5.6666666666666671E-2</v>
      </c>
      <c r="P42" s="45">
        <f t="shared" si="13"/>
        <v>5.2222222222222225E-2</v>
      </c>
      <c r="Q42" s="45">
        <f t="shared" si="13"/>
        <v>4.777777777777778E-2</v>
      </c>
      <c r="R42" s="45">
        <f t="shared" si="13"/>
        <v>4.3333333333333335E-2</v>
      </c>
      <c r="S42" s="45">
        <f t="shared" si="13"/>
        <v>3.888888888888889E-2</v>
      </c>
      <c r="T42" s="45">
        <f t="shared" si="13"/>
        <v>3.4444444444444444E-2</v>
      </c>
      <c r="U42" s="44">
        <f>H14</f>
        <v>0.03</v>
      </c>
    </row>
    <row r="43" spans="2:21" ht="16" customHeight="1" x14ac:dyDescent="0.2">
      <c r="B43" s="5" t="s">
        <v>14</v>
      </c>
      <c r="J43" s="42"/>
      <c r="K43" s="46">
        <f>'Financials + KPIs'!AB35</f>
        <v>1.9630205040195081E-2</v>
      </c>
      <c r="L43" s="44">
        <f>L13</f>
        <v>0.1</v>
      </c>
      <c r="M43" s="45">
        <f>L43-($L$43-$U$43)/($U$31-$L$31)</f>
        <v>9.3333333333333338E-2</v>
      </c>
      <c r="N43" s="45">
        <f t="shared" ref="N43:T43" si="14">M43-($L$43-$U$43)/($U$31-$L$31)</f>
        <v>8.666666666666667E-2</v>
      </c>
      <c r="O43" s="45">
        <f t="shared" si="14"/>
        <v>0.08</v>
      </c>
      <c r="P43" s="45">
        <f t="shared" si="14"/>
        <v>7.3333333333333334E-2</v>
      </c>
      <c r="Q43" s="45">
        <f t="shared" si="14"/>
        <v>6.6666666666666666E-2</v>
      </c>
      <c r="R43" s="45">
        <f t="shared" si="14"/>
        <v>0.06</v>
      </c>
      <c r="S43" s="45">
        <f t="shared" si="14"/>
        <v>5.333333333333333E-2</v>
      </c>
      <c r="T43" s="45">
        <f t="shared" si="14"/>
        <v>4.6666666666666662E-2</v>
      </c>
      <c r="U43" s="44">
        <f>L14</f>
        <v>0.04</v>
      </c>
    </row>
    <row r="44" spans="2:21" ht="16" customHeight="1" x14ac:dyDescent="0.2">
      <c r="B44" s="5" t="s">
        <v>40</v>
      </c>
      <c r="J44" s="42"/>
      <c r="K44" s="43">
        <f>K43*P12</f>
        <v>2.5519266552253606E-2</v>
      </c>
      <c r="L44" s="44">
        <f>P13</f>
        <v>0.13</v>
      </c>
      <c r="M44" s="45">
        <f>L44-($L$44-$U$44)/($U$31-$L$31)</f>
        <v>0.12111111111111111</v>
      </c>
      <c r="N44" s="45">
        <f t="shared" ref="N44:T44" si="15">M44-($L$44-$U$44)/($U$31-$L$31)</f>
        <v>0.11222222222222222</v>
      </c>
      <c r="O44" s="45">
        <f t="shared" si="15"/>
        <v>0.10333333333333333</v>
      </c>
      <c r="P44" s="45">
        <f t="shared" si="15"/>
        <v>9.4444444444444442E-2</v>
      </c>
      <c r="Q44" s="45">
        <f t="shared" si="15"/>
        <v>8.5555555555555551E-2</v>
      </c>
      <c r="R44" s="45">
        <f t="shared" si="15"/>
        <v>7.6666666666666661E-2</v>
      </c>
      <c r="S44" s="45">
        <f t="shared" si="15"/>
        <v>6.777777777777777E-2</v>
      </c>
      <c r="T44" s="45">
        <f t="shared" si="15"/>
        <v>5.888888888888888E-2</v>
      </c>
      <c r="U44" s="44">
        <f>P14</f>
        <v>0.05</v>
      </c>
    </row>
    <row r="45" spans="2:21" ht="16" customHeight="1" x14ac:dyDescent="0.2">
      <c r="B45" s="5" t="s">
        <v>37</v>
      </c>
      <c r="J45" s="42"/>
      <c r="K45" s="48"/>
      <c r="L45" s="49"/>
      <c r="M45" s="49"/>
      <c r="N45" s="49"/>
      <c r="O45" s="49"/>
      <c r="P45" s="49"/>
      <c r="Q45" s="49"/>
      <c r="R45" s="49"/>
      <c r="S45" s="49"/>
      <c r="T45" s="49"/>
      <c r="U45" s="49"/>
    </row>
    <row r="46" spans="2:21" customFormat="1" ht="16" customHeight="1" x14ac:dyDescent="0.2">
      <c r="J46" s="51"/>
    </row>
    <row r="47" spans="2:21" ht="16" customHeight="1" x14ac:dyDescent="0.2">
      <c r="B47" s="16" t="s">
        <v>120</v>
      </c>
      <c r="E47" s="36">
        <f>'Financials + KPIs'!V10</f>
        <v>29980</v>
      </c>
      <c r="F47" s="36">
        <f>'Financials + KPIs'!W10</f>
        <v>39748</v>
      </c>
      <c r="G47" s="36">
        <f>'Financials + KPIs'!X10</f>
        <v>46291</v>
      </c>
      <c r="H47" s="36">
        <f>'Financials + KPIs'!Y10</f>
        <v>53768</v>
      </c>
      <c r="I47" s="36">
        <f>'Financials + KPIs'!Z10</f>
        <v>68425</v>
      </c>
      <c r="J47" s="37">
        <f>'Financials + KPIs'!AA10</f>
        <v>78129</v>
      </c>
      <c r="K47" s="50">
        <f ca="1">J47*(1+K48)</f>
        <v>80656.899999999994</v>
      </c>
      <c r="L47" s="38">
        <f t="shared" ref="L47:U47" ca="1" si="16">K47*(1+L48)</f>
        <v>86429.539250619695</v>
      </c>
      <c r="M47" s="38">
        <f t="shared" ca="1" si="16"/>
        <v>96004.649106990313</v>
      </c>
      <c r="N47" s="38">
        <f t="shared" ca="1" si="16"/>
        <v>110405.34647303885</v>
      </c>
      <c r="O47" s="38">
        <f t="shared" ca="1" si="16"/>
        <v>125388.92920866555</v>
      </c>
      <c r="P47" s="38">
        <f t="shared" ca="1" si="16"/>
        <v>140614.72775543208</v>
      </c>
      <c r="Q47" s="38">
        <f t="shared" ca="1" si="16"/>
        <v>155680.5914435141</v>
      </c>
      <c r="R47" s="38">
        <f t="shared" ca="1" si="16"/>
        <v>170136.64636326896</v>
      </c>
      <c r="S47" s="38">
        <f t="shared" ca="1" si="16"/>
        <v>183504.52572038292</v>
      </c>
      <c r="T47" s="38">
        <f t="shared" ca="1" si="16"/>
        <v>195301.24523097897</v>
      </c>
      <c r="U47" s="38">
        <f t="shared" ca="1" si="16"/>
        <v>205066.30749252794</v>
      </c>
    </row>
    <row r="48" spans="2:21" s="39" customFormat="1" ht="16" customHeight="1" x14ac:dyDescent="0.2">
      <c r="B48" s="39" t="s">
        <v>39</v>
      </c>
      <c r="F48" s="40">
        <f t="shared" ref="F48:H48" si="17">F47/E47-1</f>
        <v>0.3258172114743163</v>
      </c>
      <c r="G48" s="40">
        <f t="shared" si="17"/>
        <v>0.16461205595250084</v>
      </c>
      <c r="H48" s="40">
        <f t="shared" si="17"/>
        <v>0.16152167807997242</v>
      </c>
      <c r="I48" s="40">
        <f>I47/H47-1</f>
        <v>0.27259708376729663</v>
      </c>
      <c r="J48" s="41">
        <f>J47/I47-1</f>
        <v>0.14181951041286078</v>
      </c>
      <c r="K48" s="40">
        <f ca="1">OFFSET(K48,$D$15,0)</f>
        <v>3.2355463400273843E-2</v>
      </c>
      <c r="L48" s="40">
        <f t="shared" ref="L48:U48" ca="1" si="18">OFFSET(L48,$D$15,0)</f>
        <v>7.1570308933515903E-2</v>
      </c>
      <c r="M48" s="40">
        <f t="shared" ca="1" si="18"/>
        <v>0.11078515446675796</v>
      </c>
      <c r="N48" s="40">
        <f t="shared" ca="1" si="18"/>
        <v>0.15</v>
      </c>
      <c r="O48" s="40">
        <f t="shared" ca="1" si="18"/>
        <v>0.1357142857142857</v>
      </c>
      <c r="P48" s="40">
        <f t="shared" ca="1" si="18"/>
        <v>0.12142857142857141</v>
      </c>
      <c r="Q48" s="40">
        <f t="shared" ca="1" si="18"/>
        <v>0.10714285714285712</v>
      </c>
      <c r="R48" s="40">
        <f t="shared" ca="1" si="18"/>
        <v>9.2857142857142833E-2</v>
      </c>
      <c r="S48" s="40">
        <f t="shared" ca="1" si="18"/>
        <v>7.8571428571428542E-2</v>
      </c>
      <c r="T48" s="40">
        <f t="shared" ca="1" si="18"/>
        <v>6.4285714285714252E-2</v>
      </c>
      <c r="U48" s="40">
        <f t="shared" ca="1" si="18"/>
        <v>0.05</v>
      </c>
    </row>
    <row r="49" spans="1:21" ht="16" customHeight="1" x14ac:dyDescent="0.2">
      <c r="B49" s="5" t="s">
        <v>3</v>
      </c>
      <c r="J49" s="42"/>
      <c r="K49" s="43">
        <f>K50*H15</f>
        <v>2.5884370720219076E-2</v>
      </c>
      <c r="L49" s="45">
        <f>K49-($K$49-$N$49)/($N$31-$K$31)</f>
        <v>6.0589580480146052E-2</v>
      </c>
      <c r="M49" s="45">
        <f>L49-($K$49-$N$49)/($N$31-$K$31)</f>
        <v>9.5294790240073035E-2</v>
      </c>
      <c r="N49" s="44">
        <f>H16</f>
        <v>0.13</v>
      </c>
      <c r="O49" s="45">
        <f>N49-($N$49-$U$49)/($U$31-$N$31)</f>
        <v>0.11785714285714285</v>
      </c>
      <c r="P49" s="45">
        <f t="shared" ref="P49:T49" si="19">O49-($N$49-$U$49)/($U$31-$N$31)</f>
        <v>0.10571428571428571</v>
      </c>
      <c r="Q49" s="45">
        <f t="shared" si="19"/>
        <v>9.3571428571428555E-2</v>
      </c>
      <c r="R49" s="45">
        <f t="shared" si="19"/>
        <v>8.1428571428571406E-2</v>
      </c>
      <c r="S49" s="45">
        <f t="shared" si="19"/>
        <v>6.9285714285714256E-2</v>
      </c>
      <c r="T49" s="45">
        <f t="shared" si="19"/>
        <v>5.7142857142857113E-2</v>
      </c>
      <c r="U49" s="47">
        <f>H17</f>
        <v>4.4999999999999998E-2</v>
      </c>
    </row>
    <row r="50" spans="1:21" ht="16" customHeight="1" x14ac:dyDescent="0.2">
      <c r="B50" s="5" t="s">
        <v>14</v>
      </c>
      <c r="J50" s="42"/>
      <c r="K50" s="46">
        <f>'Financials + KPIs'!AB34</f>
        <v>3.2355463400273843E-2</v>
      </c>
      <c r="L50" s="45">
        <f>K50-($K$50-$N$50)/($N$31-$K$31)</f>
        <v>7.1570308933515903E-2</v>
      </c>
      <c r="M50" s="45">
        <f>L50-($K$50-$N$50)/($N$31-$K$31)</f>
        <v>0.11078515446675796</v>
      </c>
      <c r="N50" s="44">
        <f>L16</f>
        <v>0.15</v>
      </c>
      <c r="O50" s="45">
        <f>N50-($N$50-$U$50)/($U$31-$N$31)</f>
        <v>0.1357142857142857</v>
      </c>
      <c r="P50" s="45">
        <f t="shared" ref="P50:T50" si="20">O50-($N$50-$U$50)/($U$31-$N$31)</f>
        <v>0.12142857142857141</v>
      </c>
      <c r="Q50" s="45">
        <f t="shared" si="20"/>
        <v>0.10714285714285712</v>
      </c>
      <c r="R50" s="45">
        <f t="shared" si="20"/>
        <v>9.2857142857142833E-2</v>
      </c>
      <c r="S50" s="45">
        <f t="shared" si="20"/>
        <v>7.8571428571428542E-2</v>
      </c>
      <c r="T50" s="45">
        <f t="shared" si="20"/>
        <v>6.4285714285714252E-2</v>
      </c>
      <c r="U50" s="44">
        <f>L17</f>
        <v>0.05</v>
      </c>
    </row>
    <row r="51" spans="1:21" ht="16" customHeight="1" x14ac:dyDescent="0.2">
      <c r="B51" s="5" t="s">
        <v>40</v>
      </c>
      <c r="J51" s="42"/>
      <c r="K51" s="43">
        <f>K50*P15</f>
        <v>3.882655608032861E-2</v>
      </c>
      <c r="L51" s="45">
        <f>K51-($K$51-$N$51)/($N$31-$K$31)</f>
        <v>8.2551037386885739E-2</v>
      </c>
      <c r="M51" s="45">
        <f>L51-($K$51-$N$51)/($N$31-$K$31)</f>
        <v>0.12627551869344286</v>
      </c>
      <c r="N51" s="44">
        <f>P16</f>
        <v>0.17</v>
      </c>
      <c r="O51" s="45">
        <f>N51-($N$51-$U$51)/($U$31-$N$31)</f>
        <v>0.15357142857142858</v>
      </c>
      <c r="P51" s="45">
        <f t="shared" ref="P51:T51" si="21">O51-($N$51-$U$51)/($U$31-$N$31)</f>
        <v>0.13714285714285715</v>
      </c>
      <c r="Q51" s="45">
        <f t="shared" si="21"/>
        <v>0.12071428571428572</v>
      </c>
      <c r="R51" s="45">
        <f t="shared" si="21"/>
        <v>0.10428571428571429</v>
      </c>
      <c r="S51" s="45">
        <f t="shared" si="21"/>
        <v>8.7857142857142856E-2</v>
      </c>
      <c r="T51" s="45">
        <f t="shared" si="21"/>
        <v>7.1428571428571425E-2</v>
      </c>
      <c r="U51" s="47">
        <f>P17</f>
        <v>5.5E-2</v>
      </c>
    </row>
    <row r="52" spans="1:21" ht="16" customHeight="1" x14ac:dyDescent="0.2">
      <c r="B52" s="5" t="s">
        <v>37</v>
      </c>
      <c r="J52" s="42"/>
      <c r="K52" s="48"/>
      <c r="L52" s="49"/>
      <c r="M52" s="49"/>
      <c r="N52" s="49"/>
      <c r="O52" s="49"/>
      <c r="P52" s="49"/>
      <c r="Q52" s="49"/>
      <c r="R52" s="49"/>
      <c r="S52" s="49"/>
      <c r="T52" s="49"/>
      <c r="U52" s="49"/>
    </row>
    <row r="53" spans="1:21" customFormat="1" ht="16" customHeight="1" x14ac:dyDescent="0.2">
      <c r="J53" s="51"/>
    </row>
    <row r="54" spans="1:21" ht="16" customHeight="1" x14ac:dyDescent="0.2">
      <c r="B54" s="52" t="s">
        <v>41</v>
      </c>
      <c r="C54" s="53"/>
      <c r="D54" s="53"/>
      <c r="E54" s="54">
        <f>E40+E33+E47</f>
        <v>229234</v>
      </c>
      <c r="F54" s="54">
        <f>F40+F33+F47</f>
        <v>265595</v>
      </c>
      <c r="G54" s="54">
        <f t="shared" ref="G54:U54" si="22">G40+G33+G47</f>
        <v>260174</v>
      </c>
      <c r="H54" s="54">
        <f t="shared" si="22"/>
        <v>274515</v>
      </c>
      <c r="I54" s="54">
        <f t="shared" si="22"/>
        <v>365817</v>
      </c>
      <c r="J54" s="55">
        <f t="shared" si="22"/>
        <v>394328</v>
      </c>
      <c r="K54" s="54">
        <f ca="1">K40+K33+K47</f>
        <v>402539.29000000004</v>
      </c>
      <c r="L54" s="54">
        <f t="shared" ca="1" si="22"/>
        <v>427960.22045061976</v>
      </c>
      <c r="M54" s="54">
        <f t="shared" ca="1" si="22"/>
        <v>457456.77698299038</v>
      </c>
      <c r="N54" s="54">
        <f t="shared" ca="1" si="22"/>
        <v>491898.7657391589</v>
      </c>
      <c r="O54" s="54">
        <f t="shared" ca="1" si="22"/>
        <v>526873.32782300375</v>
      </c>
      <c r="P54" s="54">
        <f t="shared" ca="1" si="22"/>
        <v>561855.10094386269</v>
      </c>
      <c r="Q54" s="54">
        <f t="shared" ca="1" si="22"/>
        <v>596245.70375823695</v>
      </c>
      <c r="R54" s="54">
        <f t="shared" ca="1" si="22"/>
        <v>629391.13320582605</v>
      </c>
      <c r="S54" s="54">
        <f t="shared" ca="1" si="22"/>
        <v>660605.1950467258</v>
      </c>
      <c r="T54" s="54">
        <f t="shared" ca="1" si="22"/>
        <v>689198.02616428025</v>
      </c>
      <c r="U54" s="54">
        <f t="shared" ca="1" si="22"/>
        <v>714508.14821605932</v>
      </c>
    </row>
    <row r="55" spans="1:21" s="39" customFormat="1" ht="16" customHeight="1" x14ac:dyDescent="0.2">
      <c r="B55" s="39" t="s">
        <v>39</v>
      </c>
      <c r="F55" s="40">
        <f>F54/E54-1</f>
        <v>0.15861957650261305</v>
      </c>
      <c r="G55" s="40">
        <f t="shared" ref="G55:U55" si="23">G54/F54-1</f>
        <v>-2.04107758052674E-2</v>
      </c>
      <c r="H55" s="40">
        <f t="shared" si="23"/>
        <v>5.5120803769784787E-2</v>
      </c>
      <c r="I55" s="40">
        <f t="shared" si="23"/>
        <v>0.33259384733074704</v>
      </c>
      <c r="J55" s="41">
        <f t="shared" si="23"/>
        <v>7.7937876041846099E-2</v>
      </c>
      <c r="K55" s="40">
        <f t="shared" ca="1" si="23"/>
        <v>2.082350226207641E-2</v>
      </c>
      <c r="L55" s="40">
        <f t="shared" ca="1" si="23"/>
        <v>6.3151426661034016E-2</v>
      </c>
      <c r="M55" s="40">
        <f t="shared" ca="1" si="23"/>
        <v>6.8923594116556686E-2</v>
      </c>
      <c r="N55" s="40">
        <f t="shared" ca="1" si="23"/>
        <v>7.5290148685346114E-2</v>
      </c>
      <c r="O55" s="40">
        <f t="shared" ca="1" si="23"/>
        <v>7.1101138119933793E-2</v>
      </c>
      <c r="P55" s="40">
        <f t="shared" ca="1" si="23"/>
        <v>6.6395035150859982E-2</v>
      </c>
      <c r="Q55" s="40">
        <f t="shared" ca="1" si="23"/>
        <v>6.1209024811915702E-2</v>
      </c>
      <c r="R55" s="40">
        <f t="shared" ca="1" si="23"/>
        <v>5.5590219331842272E-2</v>
      </c>
      <c r="S55" s="40">
        <f t="shared" ca="1" si="23"/>
        <v>4.9594060345130364E-2</v>
      </c>
      <c r="T55" s="40">
        <f t="shared" ca="1" si="23"/>
        <v>4.3282782714919588E-2</v>
      </c>
      <c r="U55" s="40">
        <f t="shared" ca="1" si="23"/>
        <v>3.6724019934650798E-2</v>
      </c>
    </row>
    <row r="56" spans="1:21" ht="16" customHeight="1" x14ac:dyDescent="0.2">
      <c r="J56" s="42"/>
    </row>
    <row r="57" spans="1:21" ht="16" customHeight="1" x14ac:dyDescent="0.2">
      <c r="A57" s="5" t="s">
        <v>10</v>
      </c>
      <c r="B57" s="12" t="s">
        <v>141</v>
      </c>
      <c r="C57" s="12"/>
      <c r="D57" s="12"/>
      <c r="E57" s="33">
        <v>2017</v>
      </c>
      <c r="F57" s="33">
        <f>E57+1</f>
        <v>2018</v>
      </c>
      <c r="G57" s="33">
        <f t="shared" ref="G57:J57" si="24">F57+1</f>
        <v>2019</v>
      </c>
      <c r="H57" s="33">
        <f t="shared" si="24"/>
        <v>2020</v>
      </c>
      <c r="I57" s="33">
        <f t="shared" si="24"/>
        <v>2021</v>
      </c>
      <c r="J57" s="33">
        <f t="shared" si="24"/>
        <v>2022</v>
      </c>
      <c r="K57" s="34">
        <v>2023</v>
      </c>
      <c r="L57" s="34">
        <f>K57+1</f>
        <v>2024</v>
      </c>
      <c r="M57" s="34">
        <f t="shared" ref="M57:U57" si="25">L57+1</f>
        <v>2025</v>
      </c>
      <c r="N57" s="34">
        <f t="shared" si="25"/>
        <v>2026</v>
      </c>
      <c r="O57" s="34">
        <f t="shared" si="25"/>
        <v>2027</v>
      </c>
      <c r="P57" s="34">
        <f t="shared" si="25"/>
        <v>2028</v>
      </c>
      <c r="Q57" s="34">
        <f t="shared" si="25"/>
        <v>2029</v>
      </c>
      <c r="R57" s="34">
        <f t="shared" si="25"/>
        <v>2030</v>
      </c>
      <c r="S57" s="34">
        <f t="shared" si="25"/>
        <v>2031</v>
      </c>
      <c r="T57" s="34">
        <f t="shared" si="25"/>
        <v>2032</v>
      </c>
      <c r="U57" s="34">
        <f t="shared" si="25"/>
        <v>2033</v>
      </c>
    </row>
    <row r="58" spans="1:21" ht="16" customHeight="1" x14ac:dyDescent="0.2">
      <c r="B58" s="12" t="s">
        <v>38</v>
      </c>
      <c r="C58" s="12"/>
      <c r="D58" s="12"/>
      <c r="E58" s="35">
        <f>EDATE(F58,-12)</f>
        <v>43008</v>
      </c>
      <c r="F58" s="35">
        <f t="shared" ref="F58" si="26">EDATE(G58,-12)</f>
        <v>43373</v>
      </c>
      <c r="G58" s="35">
        <f t="shared" ref="G58" si="27">EDATE(H58,-12)</f>
        <v>43738</v>
      </c>
      <c r="H58" s="35">
        <f t="shared" ref="H58" si="28">EDATE(I58,-12)</f>
        <v>44104</v>
      </c>
      <c r="I58" s="35">
        <f t="shared" ref="I58" si="29">EDATE(J58,-12)</f>
        <v>44469</v>
      </c>
      <c r="J58" s="35">
        <f>EDATE(K58,-12)</f>
        <v>44834</v>
      </c>
      <c r="K58" s="35">
        <v>45199</v>
      </c>
      <c r="L58" s="35">
        <f>EDATE(K58,12)</f>
        <v>45565</v>
      </c>
      <c r="M58" s="35">
        <f t="shared" ref="M58" si="30">EDATE(L58,12)</f>
        <v>45930</v>
      </c>
      <c r="N58" s="35">
        <f t="shared" ref="N58" si="31">EDATE(M58,12)</f>
        <v>46295</v>
      </c>
      <c r="O58" s="35">
        <f t="shared" ref="O58" si="32">EDATE(N58,12)</f>
        <v>46660</v>
      </c>
      <c r="P58" s="35">
        <f t="shared" ref="P58" si="33">EDATE(O58,12)</f>
        <v>47026</v>
      </c>
      <c r="Q58" s="35">
        <f t="shared" ref="Q58" si="34">EDATE(P58,12)</f>
        <v>47391</v>
      </c>
      <c r="R58" s="35">
        <f t="shared" ref="R58" si="35">EDATE(Q58,12)</f>
        <v>47756</v>
      </c>
      <c r="S58" s="35">
        <f t="shared" ref="S58" si="36">EDATE(R58,12)</f>
        <v>48121</v>
      </c>
      <c r="T58" s="35">
        <f t="shared" ref="T58" si="37">EDATE(S58,12)</f>
        <v>48487</v>
      </c>
      <c r="U58" s="35">
        <f t="shared" ref="U58" si="38">EDATE(T58,12)</f>
        <v>48852</v>
      </c>
    </row>
    <row r="59" spans="1:21" ht="16" customHeight="1" x14ac:dyDescent="0.2">
      <c r="B59" s="5" t="s">
        <v>42</v>
      </c>
      <c r="E59" s="56">
        <f>E54</f>
        <v>229234</v>
      </c>
      <c r="F59" s="56">
        <f t="shared" ref="F59:U60" si="39">F54</f>
        <v>265595</v>
      </c>
      <c r="G59" s="56">
        <f t="shared" si="39"/>
        <v>260174</v>
      </c>
      <c r="H59" s="56">
        <f t="shared" si="39"/>
        <v>274515</v>
      </c>
      <c r="I59" s="56">
        <f t="shared" si="39"/>
        <v>365817</v>
      </c>
      <c r="J59" s="57">
        <f t="shared" si="39"/>
        <v>394328</v>
      </c>
      <c r="K59" s="56">
        <f t="shared" ca="1" si="39"/>
        <v>402539.29000000004</v>
      </c>
      <c r="L59" s="56">
        <f t="shared" ca="1" si="39"/>
        <v>427960.22045061976</v>
      </c>
      <c r="M59" s="56">
        <f t="shared" ca="1" si="39"/>
        <v>457456.77698299038</v>
      </c>
      <c r="N59" s="56">
        <f t="shared" ca="1" si="39"/>
        <v>491898.7657391589</v>
      </c>
      <c r="O59" s="56">
        <f t="shared" ca="1" si="39"/>
        <v>526873.32782300375</v>
      </c>
      <c r="P59" s="56">
        <f t="shared" ca="1" si="39"/>
        <v>561855.10094386269</v>
      </c>
      <c r="Q59" s="56">
        <f t="shared" ca="1" si="39"/>
        <v>596245.70375823695</v>
      </c>
      <c r="R59" s="56">
        <f t="shared" ca="1" si="39"/>
        <v>629391.13320582605</v>
      </c>
      <c r="S59" s="56">
        <f t="shared" ca="1" si="39"/>
        <v>660605.1950467258</v>
      </c>
      <c r="T59" s="56">
        <f t="shared" ca="1" si="39"/>
        <v>689198.02616428025</v>
      </c>
      <c r="U59" s="56">
        <f t="shared" ca="1" si="39"/>
        <v>714508.14821605932</v>
      </c>
    </row>
    <row r="60" spans="1:21" s="39" customFormat="1" ht="16" customHeight="1" x14ac:dyDescent="0.2">
      <c r="B60" s="39" t="s">
        <v>39</v>
      </c>
      <c r="E60" s="58"/>
      <c r="F60" s="59">
        <f>F55</f>
        <v>0.15861957650261305</v>
      </c>
      <c r="G60" s="59">
        <f t="shared" si="39"/>
        <v>-2.04107758052674E-2</v>
      </c>
      <c r="H60" s="59">
        <f t="shared" si="39"/>
        <v>5.5120803769784787E-2</v>
      </c>
      <c r="I60" s="59">
        <f t="shared" si="39"/>
        <v>0.33259384733074704</v>
      </c>
      <c r="J60" s="60">
        <f t="shared" si="39"/>
        <v>7.7937876041846099E-2</v>
      </c>
      <c r="K60" s="59">
        <f t="shared" ca="1" si="39"/>
        <v>2.082350226207641E-2</v>
      </c>
      <c r="L60" s="59">
        <f t="shared" ca="1" si="39"/>
        <v>6.3151426661034016E-2</v>
      </c>
      <c r="M60" s="59">
        <f t="shared" ca="1" si="39"/>
        <v>6.8923594116556686E-2</v>
      </c>
      <c r="N60" s="59">
        <f t="shared" ca="1" si="39"/>
        <v>7.5290148685346114E-2</v>
      </c>
      <c r="O60" s="59">
        <f t="shared" ca="1" si="39"/>
        <v>7.1101138119933793E-2</v>
      </c>
      <c r="P60" s="59">
        <f t="shared" ca="1" si="39"/>
        <v>6.6395035150859982E-2</v>
      </c>
      <c r="Q60" s="59">
        <f t="shared" ca="1" si="39"/>
        <v>6.1209024811915702E-2</v>
      </c>
      <c r="R60" s="59">
        <f t="shared" ca="1" si="39"/>
        <v>5.5590219331842272E-2</v>
      </c>
      <c r="S60" s="59">
        <f t="shared" ca="1" si="39"/>
        <v>4.9594060345130364E-2</v>
      </c>
      <c r="T60" s="59">
        <f t="shared" ca="1" si="39"/>
        <v>4.3282782714919588E-2</v>
      </c>
      <c r="U60" s="59">
        <f t="shared" ca="1" si="39"/>
        <v>3.6724019934650798E-2</v>
      </c>
    </row>
    <row r="61" spans="1:21" ht="16" customHeight="1" x14ac:dyDescent="0.2">
      <c r="E61" s="61"/>
      <c r="F61" s="61"/>
      <c r="G61" s="61"/>
      <c r="H61" s="61"/>
      <c r="I61" s="61"/>
      <c r="J61" s="62"/>
      <c r="K61" s="61"/>
      <c r="L61" s="61"/>
      <c r="M61" s="61"/>
      <c r="N61" s="61"/>
      <c r="O61" s="61"/>
      <c r="P61" s="61"/>
      <c r="Q61" s="61"/>
      <c r="R61" s="61"/>
      <c r="S61" s="61"/>
      <c r="T61" s="61"/>
      <c r="U61" s="61"/>
    </row>
    <row r="62" spans="1:21" s="38" customFormat="1" ht="16" customHeight="1" x14ac:dyDescent="0.2">
      <c r="B62" s="38" t="s">
        <v>43</v>
      </c>
      <c r="E62" s="36">
        <f>'Financials + KPIs'!V19</f>
        <v>61344</v>
      </c>
      <c r="F62" s="36">
        <f>'Financials + KPIs'!W19</f>
        <v>70898</v>
      </c>
      <c r="G62" s="36">
        <f>'Financials + KPIs'!X19</f>
        <v>63930</v>
      </c>
      <c r="H62" s="36">
        <f>'Financials + KPIs'!Y19</f>
        <v>66288</v>
      </c>
      <c r="I62" s="36">
        <f>'Financials + KPIs'!Z19</f>
        <v>108949</v>
      </c>
      <c r="J62" s="37">
        <f>'Financials + KPIs'!AA19</f>
        <v>119437</v>
      </c>
      <c r="K62" s="50">
        <f ca="1">K59*K63</f>
        <v>118931.73731704264</v>
      </c>
      <c r="L62" s="50">
        <f t="shared" ref="L62:U62" ca="1" si="40">L59*L63</f>
        <v>130138.55284009305</v>
      </c>
      <c r="M62" s="50">
        <f t="shared" ca="1" si="40"/>
        <v>143059.02522476876</v>
      </c>
      <c r="N62" s="50">
        <f t="shared" ca="1" si="40"/>
        <v>158078.27659932236</v>
      </c>
      <c r="O62" s="50">
        <f t="shared" ca="1" si="40"/>
        <v>173868.19818159126</v>
      </c>
      <c r="P62" s="50">
        <f t="shared" ca="1" si="40"/>
        <v>187285.03364795426</v>
      </c>
      <c r="Q62" s="50">
        <f t="shared" ca="1" si="40"/>
        <v>200736.05359860644</v>
      </c>
      <c r="R62" s="50">
        <f t="shared" ca="1" si="40"/>
        <v>213992.98528998083</v>
      </c>
      <c r="S62" s="50">
        <f t="shared" ca="1" si="40"/>
        <v>226807.78363270915</v>
      </c>
      <c r="T62" s="50">
        <f t="shared" ca="1" si="40"/>
        <v>238921.98240361709</v>
      </c>
      <c r="U62" s="50">
        <f t="shared" ca="1" si="40"/>
        <v>250077.85187562075</v>
      </c>
    </row>
    <row r="63" spans="1:21" s="39" customFormat="1" ht="16" customHeight="1" x14ac:dyDescent="0.2">
      <c r="B63" s="39" t="s">
        <v>44</v>
      </c>
      <c r="E63" s="63">
        <f>E62/E59</f>
        <v>0.26760428208729942</v>
      </c>
      <c r="F63" s="63">
        <f t="shared" ref="F63:J63" si="41">F62/F59</f>
        <v>0.26694026619477024</v>
      </c>
      <c r="G63" s="63">
        <f t="shared" si="41"/>
        <v>0.24572017188496928</v>
      </c>
      <c r="H63" s="63">
        <f t="shared" si="41"/>
        <v>0.24147314354406862</v>
      </c>
      <c r="I63" s="63">
        <f t="shared" si="41"/>
        <v>0.29782377527561593</v>
      </c>
      <c r="J63" s="64">
        <f t="shared" si="41"/>
        <v>0.30288744395528594</v>
      </c>
      <c r="K63" s="63">
        <f ca="1">OFFSET(K63,$D$18,0)</f>
        <v>0.29545373649623774</v>
      </c>
      <c r="L63" s="63">
        <f t="shared" ref="L63:U63" ca="1" si="42">OFFSET(L63,$D$18,0)</f>
        <v>0.30409030237217832</v>
      </c>
      <c r="M63" s="63">
        <f t="shared" ca="1" si="42"/>
        <v>0.31272686824811891</v>
      </c>
      <c r="N63" s="63">
        <f t="shared" ca="1" si="42"/>
        <v>0.32136343412405949</v>
      </c>
      <c r="O63" s="63">
        <f t="shared" ca="1" si="42"/>
        <v>0.33</v>
      </c>
      <c r="P63" s="63">
        <f t="shared" ca="1" si="42"/>
        <v>0.33333333333333337</v>
      </c>
      <c r="Q63" s="63">
        <f t="shared" ca="1" si="42"/>
        <v>0.33666666666666667</v>
      </c>
      <c r="R63" s="63">
        <f t="shared" ca="1" si="42"/>
        <v>0.33999999999999997</v>
      </c>
      <c r="S63" s="63">
        <f t="shared" ca="1" si="42"/>
        <v>0.34333333333333327</v>
      </c>
      <c r="T63" s="63">
        <f t="shared" ca="1" si="42"/>
        <v>0.34666666666666657</v>
      </c>
      <c r="U63" s="63">
        <f t="shared" ca="1" si="42"/>
        <v>0.35</v>
      </c>
    </row>
    <row r="64" spans="1:21" ht="16" customHeight="1" x14ac:dyDescent="0.2">
      <c r="B64" s="5" t="s">
        <v>3</v>
      </c>
      <c r="J64" s="42"/>
      <c r="K64" s="43">
        <f>K65</f>
        <v>0.29545373649623774</v>
      </c>
      <c r="L64" s="45">
        <f>K64-($K$64-$O$64)/($O$57-$K$57)</f>
        <v>0.29409030237217831</v>
      </c>
      <c r="M64" s="45">
        <f t="shared" ref="M64:N64" si="43">L64-($K$64-$O$64)/($O$57-$K$57)</f>
        <v>0.29272686824811889</v>
      </c>
      <c r="N64" s="45">
        <f t="shared" si="43"/>
        <v>0.29136343412405946</v>
      </c>
      <c r="O64" s="44">
        <f>H18</f>
        <v>0.28999999999999998</v>
      </c>
      <c r="P64" s="45">
        <f>O64-($O$64-$U$64)/($U$57-$O$57)</f>
        <v>0.28666666666666663</v>
      </c>
      <c r="Q64" s="45">
        <f t="shared" ref="Q64:T64" si="44">P64-($O$64-$U$64)/($U$57-$O$57)</f>
        <v>0.28333333333333333</v>
      </c>
      <c r="R64" s="45">
        <f t="shared" si="44"/>
        <v>0.28000000000000003</v>
      </c>
      <c r="S64" s="45">
        <f t="shared" si="44"/>
        <v>0.27666666666666673</v>
      </c>
      <c r="T64" s="45">
        <f t="shared" si="44"/>
        <v>0.27333333333333343</v>
      </c>
      <c r="U64" s="44">
        <f>H19</f>
        <v>0.27</v>
      </c>
    </row>
    <row r="65" spans="2:21" ht="16" customHeight="1" x14ac:dyDescent="0.2">
      <c r="B65" s="5" t="s">
        <v>14</v>
      </c>
      <c r="J65" s="42"/>
      <c r="K65" s="46">
        <f>'Financials + KPIs'!AB42</f>
        <v>0.29545373649623774</v>
      </c>
      <c r="L65" s="45">
        <f>K65-($K$65-$O$65)/($O$57-$K$57)</f>
        <v>0.29909030237217832</v>
      </c>
      <c r="M65" s="45">
        <f t="shared" ref="M65:N65" si="45">L65-($K$65-$O$65)/($O$57-$K$57)</f>
        <v>0.3027268682481189</v>
      </c>
      <c r="N65" s="45">
        <f t="shared" si="45"/>
        <v>0.30636343412405947</v>
      </c>
      <c r="O65" s="44">
        <f>L18</f>
        <v>0.31</v>
      </c>
      <c r="P65" s="45">
        <f>O65</f>
        <v>0.31</v>
      </c>
      <c r="Q65" s="45">
        <f t="shared" ref="Q65:U65" si="46">P65</f>
        <v>0.31</v>
      </c>
      <c r="R65" s="45">
        <f t="shared" si="46"/>
        <v>0.31</v>
      </c>
      <c r="S65" s="45">
        <f t="shared" si="46"/>
        <v>0.31</v>
      </c>
      <c r="T65" s="45">
        <f t="shared" si="46"/>
        <v>0.31</v>
      </c>
      <c r="U65" s="45">
        <f t="shared" si="46"/>
        <v>0.31</v>
      </c>
    </row>
    <row r="66" spans="2:21" ht="16" customHeight="1" x14ac:dyDescent="0.2">
      <c r="B66" s="5" t="s">
        <v>40</v>
      </c>
      <c r="J66" s="42"/>
      <c r="K66" s="43">
        <f>K65</f>
        <v>0.29545373649623774</v>
      </c>
      <c r="L66" s="45">
        <f>K66-($K$66-$O$66)/($O$57-$K$57)</f>
        <v>0.30409030237217832</v>
      </c>
      <c r="M66" s="45">
        <f t="shared" ref="M66:N66" si="47">L66-($K$66-$O$66)/($O$57-$K$57)</f>
        <v>0.31272686824811891</v>
      </c>
      <c r="N66" s="45">
        <f t="shared" si="47"/>
        <v>0.32136343412405949</v>
      </c>
      <c r="O66" s="44">
        <f>P18</f>
        <v>0.33</v>
      </c>
      <c r="P66" s="45">
        <f>O66-($O$66-$U$66)/($U$57-$O$57)</f>
        <v>0.33333333333333337</v>
      </c>
      <c r="Q66" s="45">
        <f t="shared" ref="Q66:T66" si="48">P66-($O$66-$U$66)/($U$57-$O$57)</f>
        <v>0.33666666666666667</v>
      </c>
      <c r="R66" s="45">
        <f t="shared" si="48"/>
        <v>0.33999999999999997</v>
      </c>
      <c r="S66" s="45">
        <f t="shared" si="48"/>
        <v>0.34333333333333327</v>
      </c>
      <c r="T66" s="45">
        <f t="shared" si="48"/>
        <v>0.34666666666666657</v>
      </c>
      <c r="U66" s="44">
        <f>P19</f>
        <v>0.35</v>
      </c>
    </row>
    <row r="67" spans="2:21" ht="16" customHeight="1" x14ac:dyDescent="0.2">
      <c r="B67" s="5" t="s">
        <v>37</v>
      </c>
      <c r="J67" s="42"/>
      <c r="K67" s="48"/>
      <c r="L67" s="48"/>
      <c r="M67" s="48"/>
      <c r="N67" s="48"/>
      <c r="O67" s="48"/>
      <c r="P67" s="49"/>
      <c r="Q67" s="49"/>
      <c r="R67" s="49"/>
      <c r="S67" s="49"/>
      <c r="T67" s="49"/>
      <c r="U67" s="49"/>
    </row>
    <row r="68" spans="2:21" ht="16" customHeight="1" x14ac:dyDescent="0.2">
      <c r="J68" s="42"/>
    </row>
    <row r="69" spans="2:21" ht="16" customHeight="1" x14ac:dyDescent="0.2">
      <c r="B69" s="5" t="s">
        <v>29</v>
      </c>
      <c r="E69" s="36">
        <f>'Financials + KPIs'!V22</f>
        <v>15738</v>
      </c>
      <c r="F69" s="36">
        <f>'Financials + KPIs'!W22</f>
        <v>13372</v>
      </c>
      <c r="G69" s="36">
        <f>'Financials + KPIs'!X22</f>
        <v>10481</v>
      </c>
      <c r="H69" s="36">
        <f>'Financials + KPIs'!Y22</f>
        <v>9680</v>
      </c>
      <c r="I69" s="36">
        <f>'Financials + KPIs'!Z22</f>
        <v>14527</v>
      </c>
      <c r="J69" s="37">
        <f>'Financials + KPIs'!AA22</f>
        <v>19300</v>
      </c>
      <c r="K69" s="50">
        <f t="shared" ref="K69:U69" ca="1" si="49">K62*K70</f>
        <v>19287.956323369603</v>
      </c>
      <c r="L69" s="50">
        <f t="shared" ca="1" si="49"/>
        <v>21727.806193279888</v>
      </c>
      <c r="M69" s="50">
        <f t="shared" ca="1" si="49"/>
        <v>24569.151205974322</v>
      </c>
      <c r="N69" s="50">
        <f t="shared" ca="1" si="49"/>
        <v>27904.560359229941</v>
      </c>
      <c r="O69" s="50">
        <f t="shared" ca="1" si="49"/>
        <v>31523.350701123432</v>
      </c>
      <c r="P69" s="50">
        <f t="shared" ca="1" si="49"/>
        <v>34851.562607810898</v>
      </c>
      <c r="Q69" s="50">
        <f t="shared" ca="1" si="49"/>
        <v>38314.626807852255</v>
      </c>
      <c r="R69" s="50">
        <f t="shared" ca="1" si="49"/>
        <v>41868.371496560234</v>
      </c>
      <c r="S69" s="50">
        <f t="shared" ca="1" si="49"/>
        <v>45460.295089770916</v>
      </c>
      <c r="T69" s="50">
        <f t="shared" ca="1" si="49"/>
        <v>49031.012468335844</v>
      </c>
      <c r="U69" s="50">
        <f t="shared" ca="1" si="49"/>
        <v>52516.348893880357</v>
      </c>
    </row>
    <row r="70" spans="2:21" s="39" customFormat="1" ht="16" customHeight="1" x14ac:dyDescent="0.2">
      <c r="B70" s="39" t="s">
        <v>45</v>
      </c>
      <c r="E70" s="63">
        <f t="shared" ref="E70:J70" si="50">E69/E62</f>
        <v>0.25655320813771521</v>
      </c>
      <c r="F70" s="63">
        <f t="shared" si="50"/>
        <v>0.18860898755959266</v>
      </c>
      <c r="G70" s="63">
        <f t="shared" si="50"/>
        <v>0.16394493977788205</v>
      </c>
      <c r="H70" s="63">
        <f t="shared" si="50"/>
        <v>0.14602944726043929</v>
      </c>
      <c r="I70" s="63">
        <f t="shared" si="50"/>
        <v>0.13333761668303518</v>
      </c>
      <c r="J70" s="64">
        <f t="shared" si="50"/>
        <v>0.16159146663094351</v>
      </c>
      <c r="K70" s="65">
        <f>'Financials + KPIs'!AB43</f>
        <v>0.16217669697326184</v>
      </c>
      <c r="L70" s="153">
        <f>K70-($K$70-$U$70)/($U$57-$K$57)</f>
        <v>0.16695902727593565</v>
      </c>
      <c r="M70" s="153">
        <f t="shared" ref="M70:T70" si="51">L70-($K$70-$U$70)/($U$57-$K$57)</f>
        <v>0.17174135757860945</v>
      </c>
      <c r="N70" s="153">
        <f t="shared" si="51"/>
        <v>0.17652368788128325</v>
      </c>
      <c r="O70" s="153">
        <f t="shared" si="51"/>
        <v>0.18130601818395706</v>
      </c>
      <c r="P70" s="153">
        <f t="shared" si="51"/>
        <v>0.18608834848663086</v>
      </c>
      <c r="Q70" s="153">
        <f t="shared" si="51"/>
        <v>0.19087067878930467</v>
      </c>
      <c r="R70" s="153">
        <f t="shared" si="51"/>
        <v>0.19565300909197847</v>
      </c>
      <c r="S70" s="153">
        <f t="shared" si="51"/>
        <v>0.20043533939465227</v>
      </c>
      <c r="T70" s="153">
        <f t="shared" si="51"/>
        <v>0.20521766969732608</v>
      </c>
      <c r="U70" s="66">
        <f>L20</f>
        <v>0.21</v>
      </c>
    </row>
    <row r="71" spans="2:21" ht="16" customHeight="1" x14ac:dyDescent="0.2">
      <c r="E71" s="61"/>
      <c r="F71" s="61"/>
      <c r="G71" s="61"/>
      <c r="H71" s="61"/>
      <c r="I71" s="61"/>
      <c r="J71" s="62"/>
      <c r="K71" s="61"/>
      <c r="L71" s="61"/>
      <c r="M71" s="61"/>
      <c r="N71" s="61"/>
      <c r="O71" s="61"/>
      <c r="P71" s="61"/>
      <c r="Q71" s="61"/>
      <c r="R71" s="61"/>
      <c r="S71" s="61"/>
      <c r="T71" s="61"/>
      <c r="U71" s="61"/>
    </row>
    <row r="72" spans="2:21" ht="16" customHeight="1" x14ac:dyDescent="0.2">
      <c r="B72" s="67" t="s">
        <v>46</v>
      </c>
      <c r="C72" s="67"/>
      <c r="D72" s="67"/>
      <c r="E72" s="68">
        <f>E62-E69</f>
        <v>45606</v>
      </c>
      <c r="F72" s="68">
        <f t="shared" ref="F72:J72" si="52">F62-F69</f>
        <v>57526</v>
      </c>
      <c r="G72" s="68">
        <f t="shared" si="52"/>
        <v>53449</v>
      </c>
      <c r="H72" s="68">
        <f t="shared" si="52"/>
        <v>56608</v>
      </c>
      <c r="I72" s="68">
        <f t="shared" si="52"/>
        <v>94422</v>
      </c>
      <c r="J72" s="69">
        <f t="shared" si="52"/>
        <v>100137</v>
      </c>
      <c r="K72" s="68">
        <f ca="1">K62-K69</f>
        <v>99643.780993673048</v>
      </c>
      <c r="L72" s="68">
        <f t="shared" ref="L72:U72" ca="1" si="53">L62-L69</f>
        <v>108410.74664681316</v>
      </c>
      <c r="M72" s="68">
        <f t="shared" ca="1" si="53"/>
        <v>118489.87401879443</v>
      </c>
      <c r="N72" s="68">
        <f t="shared" ca="1" si="53"/>
        <v>130173.71624009241</v>
      </c>
      <c r="O72" s="68">
        <f ca="1">O62-O69</f>
        <v>142344.84748046781</v>
      </c>
      <c r="P72" s="68">
        <f t="shared" ca="1" si="53"/>
        <v>152433.47104014337</v>
      </c>
      <c r="Q72" s="68">
        <f t="shared" ca="1" si="53"/>
        <v>162421.42679075419</v>
      </c>
      <c r="R72" s="68">
        <f t="shared" ca="1" si="53"/>
        <v>172124.61379342061</v>
      </c>
      <c r="S72" s="68">
        <f t="shared" ca="1" si="53"/>
        <v>181347.48854293823</v>
      </c>
      <c r="T72" s="68">
        <f t="shared" ca="1" si="53"/>
        <v>189890.96993528126</v>
      </c>
      <c r="U72" s="68">
        <f t="shared" ca="1" si="53"/>
        <v>197561.5029817404</v>
      </c>
    </row>
    <row r="73" spans="2:21" ht="16" customHeight="1" x14ac:dyDescent="0.2">
      <c r="E73" s="61"/>
      <c r="F73" s="61"/>
      <c r="G73" s="61"/>
      <c r="H73" s="61"/>
      <c r="I73" s="61"/>
      <c r="J73" s="70"/>
      <c r="K73" s="61"/>
      <c r="L73" s="61"/>
      <c r="M73" s="61"/>
      <c r="N73" s="61"/>
      <c r="O73" s="61"/>
      <c r="P73" s="61"/>
      <c r="Q73" s="61"/>
      <c r="R73" s="61"/>
      <c r="S73" s="61"/>
      <c r="T73" s="61"/>
      <c r="U73" s="61"/>
    </row>
    <row r="74" spans="2:21" ht="16" customHeight="1" x14ac:dyDescent="0.2">
      <c r="B74" s="5" t="s">
        <v>47</v>
      </c>
      <c r="E74" s="36">
        <f>'Financials + KPIs'!V49</f>
        <v>10157</v>
      </c>
      <c r="F74" s="36">
        <f>'Financials + KPIs'!W49</f>
        <v>10903</v>
      </c>
      <c r="G74" s="36">
        <f>'Financials + KPIs'!X49</f>
        <v>12547</v>
      </c>
      <c r="H74" s="36">
        <f>'Financials + KPIs'!Y49</f>
        <v>11056</v>
      </c>
      <c r="I74" s="36">
        <f>'Financials + KPIs'!Z49</f>
        <v>11284</v>
      </c>
      <c r="J74" s="37">
        <f>'Financials + KPIs'!AA49</f>
        <v>11104</v>
      </c>
      <c r="K74" s="50">
        <f ca="1">K59*K75</f>
        <v>11875.980405823506</v>
      </c>
      <c r="L74" s="50">
        <f t="shared" ref="L74:U74" ca="1" si="54">L59*L75</f>
        <v>12338.512629185141</v>
      </c>
      <c r="M74" s="50">
        <f ca="1">M59*M75</f>
        <v>13342.559849665829</v>
      </c>
      <c r="N74" s="50">
        <f t="shared" ca="1" si="54"/>
        <v>14264.523362530868</v>
      </c>
      <c r="O74" s="50">
        <f t="shared" ca="1" si="54"/>
        <v>15322.983579342364</v>
      </c>
      <c r="P74" s="50">
        <f t="shared" ca="1" si="54"/>
        <v>16316.766889506616</v>
      </c>
      <c r="Q74" s="50">
        <f t="shared" ca="1" si="54"/>
        <v>17328.015500660647</v>
      </c>
      <c r="R74" s="50">
        <f t="shared" ca="1" si="54"/>
        <v>18284.678210084527</v>
      </c>
      <c r="S74" s="50">
        <f t="shared" ca="1" si="54"/>
        <v>19194.956177157856</v>
      </c>
      <c r="T74" s="50">
        <f t="shared" ca="1" si="54"/>
        <v>20023.95900774347</v>
      </c>
      <c r="U74" s="50">
        <f t="shared" ca="1" si="54"/>
        <v>20760.256624722042</v>
      </c>
    </row>
    <row r="75" spans="2:21" s="39" customFormat="1" ht="16" customHeight="1" x14ac:dyDescent="0.2">
      <c r="B75" s="39" t="s">
        <v>44</v>
      </c>
      <c r="E75" s="63">
        <f t="shared" ref="E75:J75" si="55">E74/E59</f>
        <v>4.4308435921372923E-2</v>
      </c>
      <c r="F75" s="63">
        <f t="shared" si="55"/>
        <v>4.1051224608897006E-2</v>
      </c>
      <c r="G75" s="63">
        <f t="shared" si="55"/>
        <v>4.8225418373857493E-2</v>
      </c>
      <c r="H75" s="63">
        <f t="shared" si="55"/>
        <v>4.0274666229532081E-2</v>
      </c>
      <c r="I75" s="63">
        <f t="shared" si="55"/>
        <v>3.084602410494865E-2</v>
      </c>
      <c r="J75" s="64">
        <f t="shared" si="55"/>
        <v>2.8159298857803657E-2</v>
      </c>
      <c r="K75" s="71">
        <f>AVERAGE(I75:J75)</f>
        <v>2.9502661481376154E-2</v>
      </c>
      <c r="L75" s="71">
        <f t="shared" ref="L75:U75" si="56">AVERAGE(J75:K75)</f>
        <v>2.8830980169589904E-2</v>
      </c>
      <c r="M75" s="71">
        <f t="shared" si="56"/>
        <v>2.9166820825483029E-2</v>
      </c>
      <c r="N75" s="71">
        <f t="shared" si="56"/>
        <v>2.8998900497536464E-2</v>
      </c>
      <c r="O75" s="71">
        <f t="shared" si="56"/>
        <v>2.9082860661509745E-2</v>
      </c>
      <c r="P75" s="71">
        <f t="shared" si="56"/>
        <v>2.9040880579523105E-2</v>
      </c>
      <c r="Q75" s="71">
        <f t="shared" si="56"/>
        <v>2.9061870620516426E-2</v>
      </c>
      <c r="R75" s="71">
        <f t="shared" si="56"/>
        <v>2.9051375600019767E-2</v>
      </c>
      <c r="S75" s="71">
        <f t="shared" si="56"/>
        <v>2.9056623110268097E-2</v>
      </c>
      <c r="T75" s="71">
        <f t="shared" si="56"/>
        <v>2.9053999355143932E-2</v>
      </c>
      <c r="U75" s="71">
        <f t="shared" si="56"/>
        <v>2.9055311232706015E-2</v>
      </c>
    </row>
    <row r="76" spans="2:21" s="39" customFormat="1" ht="16" customHeight="1" x14ac:dyDescent="0.2">
      <c r="B76" s="39" t="s">
        <v>48</v>
      </c>
      <c r="E76" s="63">
        <f>E74/E78</f>
        <v>0.81575777046020403</v>
      </c>
      <c r="F76" s="63">
        <f t="shared" ref="F76:U76" si="57">F74/F78</f>
        <v>0.81897393525125817</v>
      </c>
      <c r="G76" s="63">
        <f t="shared" si="57"/>
        <v>1.1955216769890424</v>
      </c>
      <c r="H76" s="63">
        <f t="shared" si="57"/>
        <v>1.5126556300451499</v>
      </c>
      <c r="I76" s="63">
        <f t="shared" si="57"/>
        <v>1.0179521876409563</v>
      </c>
      <c r="J76" s="64">
        <f t="shared" si="57"/>
        <v>1.0369816959282778</v>
      </c>
      <c r="K76" s="63">
        <f t="shared" ca="1" si="57"/>
        <v>1.0269458100165274</v>
      </c>
      <c r="L76" s="63">
        <f t="shared" ca="1" si="57"/>
        <v>1.0318224650813737</v>
      </c>
      <c r="M76" s="63">
        <f t="shared" ca="1" si="57"/>
        <v>1.0293502866821609</v>
      </c>
      <c r="N76" s="63">
        <f t="shared" ca="1" si="57"/>
        <v>1.0305777357036547</v>
      </c>
      <c r="O76" s="63">
        <f t="shared" ca="1" si="57"/>
        <v>1.0299618737173448</v>
      </c>
      <c r="P76" s="63">
        <f t="shared" ca="1" si="57"/>
        <v>1.0302692675450946</v>
      </c>
      <c r="Q76" s="63">
        <f t="shared" ca="1" si="57"/>
        <v>1.030115436690956</v>
      </c>
      <c r="R76" s="63">
        <f t="shared" ca="1" si="57"/>
        <v>1.030192318589169</v>
      </c>
      <c r="S76" s="63">
        <f t="shared" ca="1" si="57"/>
        <v>1.0301538692633281</v>
      </c>
      <c r="T76" s="63">
        <f t="shared" ca="1" si="57"/>
        <v>1.0301730918313805</v>
      </c>
      <c r="U76" s="63">
        <f t="shared" ca="1" si="57"/>
        <v>1.0301634800237227</v>
      </c>
    </row>
    <row r="77" spans="2:21" ht="16" customHeight="1" x14ac:dyDescent="0.2">
      <c r="E77" s="50"/>
      <c r="F77" s="50"/>
      <c r="G77" s="50"/>
      <c r="H77" s="50"/>
      <c r="I77" s="50"/>
      <c r="J77" s="72"/>
      <c r="K77" s="50"/>
      <c r="L77" s="50"/>
      <c r="M77" s="50"/>
      <c r="N77" s="50"/>
      <c r="O77" s="50"/>
      <c r="P77" s="50"/>
      <c r="Q77" s="50"/>
      <c r="R77" s="50"/>
      <c r="S77" s="50"/>
      <c r="T77" s="50"/>
      <c r="U77" s="50"/>
    </row>
    <row r="78" spans="2:21" ht="16" customHeight="1" x14ac:dyDescent="0.2">
      <c r="B78" s="5" t="s">
        <v>49</v>
      </c>
      <c r="E78" s="36">
        <f>-'Financials + KPIs'!V50</f>
        <v>12451</v>
      </c>
      <c r="F78" s="36">
        <f>-'Financials + KPIs'!W50</f>
        <v>13313</v>
      </c>
      <c r="G78" s="36">
        <f>-'Financials + KPIs'!X50</f>
        <v>10495</v>
      </c>
      <c r="H78" s="36">
        <f>-'Financials + KPIs'!Y50</f>
        <v>7309</v>
      </c>
      <c r="I78" s="36">
        <f>-'Financials + KPIs'!Z50</f>
        <v>11085</v>
      </c>
      <c r="J78" s="37">
        <f>-'Financials + KPIs'!AA50</f>
        <v>10708</v>
      </c>
      <c r="K78" s="50">
        <f ca="1">K59*K79</f>
        <v>11564.369112750337</v>
      </c>
      <c r="L78" s="50">
        <f t="shared" ref="L78:U78" ca="1" si="58">L59*L79</f>
        <v>11957.980221153719</v>
      </c>
      <c r="M78" s="50">
        <f t="shared" ca="1" si="58"/>
        <v>12962.11797120303</v>
      </c>
      <c r="N78" s="50">
        <f ca="1">N59*N79</f>
        <v>13841.288112818953</v>
      </c>
      <c r="O78" s="50">
        <f t="shared" ca="1" si="58"/>
        <v>14877.233779575312</v>
      </c>
      <c r="P78" s="50">
        <f t="shared" ca="1" si="58"/>
        <v>15837.380967779314</v>
      </c>
      <c r="Q78" s="50">
        <f t="shared" ca="1" si="58"/>
        <v>16821.430767335652</v>
      </c>
      <c r="R78" s="50">
        <f t="shared" ca="1" si="58"/>
        <v>17748.800762876086</v>
      </c>
      <c r="S78" s="50">
        <f t="shared" ca="1" si="58"/>
        <v>18633.096229483013</v>
      </c>
      <c r="T78" s="50">
        <f t="shared" ca="1" si="58"/>
        <v>19437.470427562872</v>
      </c>
      <c r="U78" s="50">
        <f t="shared" ca="1" si="58"/>
        <v>20152.39039947715</v>
      </c>
    </row>
    <row r="79" spans="2:21" s="39" customFormat="1" ht="16" customHeight="1" x14ac:dyDescent="0.2">
      <c r="B79" s="39" t="s">
        <v>44</v>
      </c>
      <c r="E79" s="63">
        <f t="shared" ref="E79:J79" si="59">E78/E59</f>
        <v>5.4315677430049641E-2</v>
      </c>
      <c r="F79" s="63">
        <f t="shared" si="59"/>
        <v>5.0125190609762983E-2</v>
      </c>
      <c r="G79" s="63">
        <f t="shared" si="59"/>
        <v>4.033838892433525E-2</v>
      </c>
      <c r="H79" s="63">
        <f t="shared" si="59"/>
        <v>2.6625138881299748E-2</v>
      </c>
      <c r="I79" s="63">
        <f t="shared" si="59"/>
        <v>3.0302036264033657E-2</v>
      </c>
      <c r="J79" s="64">
        <f t="shared" si="59"/>
        <v>2.7155058732831552E-2</v>
      </c>
      <c r="K79" s="71">
        <f>AVERAGE(I79:J79)</f>
        <v>2.8728547498432604E-2</v>
      </c>
      <c r="L79" s="71">
        <f t="shared" ref="L79:U79" si="60">AVERAGE(J79:K79)</f>
        <v>2.7941803115632078E-2</v>
      </c>
      <c r="M79" s="71">
        <f t="shared" si="60"/>
        <v>2.8335175307032341E-2</v>
      </c>
      <c r="N79" s="71">
        <f t="shared" si="60"/>
        <v>2.8138489211332211E-2</v>
      </c>
      <c r="O79" s="71">
        <f t="shared" si="60"/>
        <v>2.8236832259182276E-2</v>
      </c>
      <c r="P79" s="71">
        <f t="shared" si="60"/>
        <v>2.8187660735257244E-2</v>
      </c>
      <c r="Q79" s="71">
        <f t="shared" si="60"/>
        <v>2.8212246497219762E-2</v>
      </c>
      <c r="R79" s="71">
        <f t="shared" si="60"/>
        <v>2.8199953616238504E-2</v>
      </c>
      <c r="S79" s="71">
        <f t="shared" si="60"/>
        <v>2.8206100056729133E-2</v>
      </c>
      <c r="T79" s="71">
        <f t="shared" si="60"/>
        <v>2.8203026836483819E-2</v>
      </c>
      <c r="U79" s="71">
        <f t="shared" si="60"/>
        <v>2.8204563446606476E-2</v>
      </c>
    </row>
    <row r="80" spans="2:21" ht="16" customHeight="1" x14ac:dyDescent="0.2">
      <c r="B80" s="39"/>
      <c r="E80" s="50"/>
      <c r="F80" s="50"/>
      <c r="G80" s="50"/>
      <c r="H80" s="50"/>
      <c r="I80" s="50"/>
      <c r="J80" s="72"/>
      <c r="K80" s="50"/>
      <c r="L80" s="50"/>
      <c r="M80" s="50"/>
      <c r="N80" s="50"/>
      <c r="O80" s="50"/>
      <c r="P80" s="50"/>
      <c r="Q80" s="50"/>
      <c r="R80" s="50"/>
      <c r="S80" s="50"/>
      <c r="T80" s="50"/>
      <c r="U80" s="50"/>
    </row>
    <row r="81" spans="1:21" ht="16" customHeight="1" x14ac:dyDescent="0.2">
      <c r="B81" s="5" t="s">
        <v>50</v>
      </c>
      <c r="E81" s="36">
        <f>'Financials + KPIs'!V51</f>
        <v>-190</v>
      </c>
      <c r="F81" s="36">
        <f>'Financials + KPIs'!W51</f>
        <v>-2266</v>
      </c>
      <c r="G81" s="36">
        <f>'Financials + KPIs'!X51</f>
        <v>2927</v>
      </c>
      <c r="H81" s="36">
        <f>'Financials + KPIs'!Y51</f>
        <v>-10177</v>
      </c>
      <c r="I81" s="36">
        <f>'Financials + KPIs'!Z51</f>
        <v>1250</v>
      </c>
      <c r="J81" s="37">
        <f>'Financials + KPIs'!AA51</f>
        <v>-7965</v>
      </c>
      <c r="K81" s="50">
        <f ca="1">K59*K82</f>
        <v>-3486.3282637000902</v>
      </c>
      <c r="L81" s="50">
        <f t="shared" ref="L81:U81" ca="1" si="61">L59*L82</f>
        <v>-4265.1250607730553</v>
      </c>
      <c r="M81" s="50">
        <f ca="1">M59*M82</f>
        <v>-4668.4543046069439</v>
      </c>
      <c r="N81" s="50">
        <f t="shared" ca="1" si="61"/>
        <v>-6778.9236551068061</v>
      </c>
      <c r="O81" s="50">
        <f t="shared" ca="1" si="61"/>
        <v>-5215.6327613585645</v>
      </c>
      <c r="P81" s="50">
        <f t="shared" ca="1" si="61"/>
        <v>-6808.8896897402437</v>
      </c>
      <c r="Q81" s="50">
        <f t="shared" ca="1" si="61"/>
        <v>-6422.6777714476175</v>
      </c>
      <c r="R81" s="50">
        <f t="shared" ca="1" si="61"/>
        <v>-7001.1591914721412</v>
      </c>
      <c r="S81" s="50">
        <f t="shared" ca="1" si="61"/>
        <v>-7475.8201475100332</v>
      </c>
      <c r="T81" s="50">
        <f t="shared" ca="1" si="61"/>
        <v>-7927.0554525220523</v>
      </c>
      <c r="U81" s="50">
        <f t="shared" ca="1" si="61"/>
        <v>-7946.7412992547825</v>
      </c>
    </row>
    <row r="82" spans="1:21" s="39" customFormat="1" ht="16" customHeight="1" x14ac:dyDescent="0.2">
      <c r="B82" s="39" t="s">
        <v>44</v>
      </c>
      <c r="E82" s="63">
        <f t="shared" ref="E82:J82" si="62">E81/E59</f>
        <v>-8.2884737866110612E-4</v>
      </c>
      <c r="F82" s="63">
        <f t="shared" si="62"/>
        <v>-8.5317871194864354E-3</v>
      </c>
      <c r="G82" s="63">
        <f t="shared" si="62"/>
        <v>1.125016335221813E-2</v>
      </c>
      <c r="H82" s="63">
        <f t="shared" si="62"/>
        <v>-3.7072655410451162E-2</v>
      </c>
      <c r="I82" s="63">
        <f t="shared" si="62"/>
        <v>3.4170090509735743E-3</v>
      </c>
      <c r="J82" s="64">
        <f t="shared" si="62"/>
        <v>-2.0198920695461645E-2</v>
      </c>
      <c r="K82" s="71">
        <f>AVERAGE(E82:J82)</f>
        <v>-8.6608397001447738E-3</v>
      </c>
      <c r="L82" s="71">
        <f t="shared" ref="L82:U82" si="63">AVERAGE(F82:K82)</f>
        <v>-9.9661717537253853E-3</v>
      </c>
      <c r="M82" s="71">
        <f t="shared" si="63"/>
        <v>-1.0205235859431876E-2</v>
      </c>
      <c r="N82" s="71">
        <f t="shared" si="63"/>
        <v>-1.3781135728040213E-2</v>
      </c>
      <c r="O82" s="71">
        <f t="shared" si="63"/>
        <v>-9.899215780971719E-3</v>
      </c>
      <c r="P82" s="71">
        <f t="shared" si="63"/>
        <v>-1.2118586586295936E-2</v>
      </c>
      <c r="Q82" s="71">
        <f t="shared" si="63"/>
        <v>-1.0771864234768317E-2</v>
      </c>
      <c r="R82" s="71">
        <f t="shared" si="63"/>
        <v>-1.1123701657205574E-2</v>
      </c>
      <c r="S82" s="71">
        <f t="shared" si="63"/>
        <v>-1.1316623307785606E-2</v>
      </c>
      <c r="T82" s="71">
        <f t="shared" si="63"/>
        <v>-1.1501854549177895E-2</v>
      </c>
      <c r="U82" s="71">
        <f t="shared" si="63"/>
        <v>-1.1121974352700841E-2</v>
      </c>
    </row>
    <row r="83" spans="1:21" s="39" customFormat="1" ht="16" customHeight="1" x14ac:dyDescent="0.2">
      <c r="B83" s="39" t="s">
        <v>51</v>
      </c>
      <c r="E83" s="73"/>
      <c r="F83" s="63">
        <f t="shared" ref="F83:U83" si="64">F81/(F59-E59)</f>
        <v>-6.2319518165066964E-2</v>
      </c>
      <c r="G83" s="63">
        <f t="shared" si="64"/>
        <v>-0.53993728094447524</v>
      </c>
      <c r="H83" s="63">
        <f t="shared" si="64"/>
        <v>-0.70964367896241543</v>
      </c>
      <c r="I83" s="63">
        <f t="shared" si="64"/>
        <v>1.3690828240345228E-2</v>
      </c>
      <c r="J83" s="64">
        <f t="shared" si="64"/>
        <v>-0.27936585879134368</v>
      </c>
      <c r="K83" s="63">
        <f t="shared" ca="1" si="64"/>
        <v>-0.42457741276950084</v>
      </c>
      <c r="L83" s="63">
        <f t="shared" ca="1" si="64"/>
        <v>-0.16778005309672206</v>
      </c>
      <c r="M83" s="63">
        <f t="shared" ca="1" si="64"/>
        <v>-0.15827116292315707</v>
      </c>
      <c r="N83" s="63">
        <f t="shared" ca="1" si="64"/>
        <v>-0.19682149318084047</v>
      </c>
      <c r="O83" s="63">
        <f t="shared" ca="1" si="64"/>
        <v>-0.14912646365249915</v>
      </c>
      <c r="P83" s="63">
        <f t="shared" ca="1" si="64"/>
        <v>-0.19464106825620675</v>
      </c>
      <c r="Q83" s="63">
        <f t="shared" ca="1" si="64"/>
        <v>-0.18675676626299575</v>
      </c>
      <c r="R83" s="63">
        <f t="shared" ca="1" si="64"/>
        <v>-0.21122547838888797</v>
      </c>
      <c r="S83" s="63">
        <f t="shared" ca="1" si="64"/>
        <v>-0.2395016766999056</v>
      </c>
      <c r="T83" s="63">
        <f t="shared" ca="1" si="64"/>
        <v>-0.27723926392358078</v>
      </c>
      <c r="U83" s="63">
        <f t="shared" ca="1" si="64"/>
        <v>-0.31397483121564801</v>
      </c>
    </row>
    <row r="84" spans="1:21" ht="16" customHeight="1" x14ac:dyDescent="0.2">
      <c r="B84" s="39"/>
      <c r="E84" s="50"/>
      <c r="F84" s="74"/>
      <c r="G84" s="74"/>
      <c r="H84" s="74"/>
      <c r="I84" s="74"/>
      <c r="J84" s="75"/>
      <c r="K84" s="74"/>
      <c r="L84" s="74"/>
      <c r="M84" s="74"/>
      <c r="N84" s="74"/>
      <c r="O84" s="74"/>
      <c r="P84" s="74"/>
      <c r="Q84" s="74"/>
      <c r="R84" s="74"/>
      <c r="S84" s="74"/>
      <c r="T84" s="74"/>
      <c r="U84" s="74"/>
    </row>
    <row r="85" spans="1:21" ht="16" customHeight="1" x14ac:dyDescent="0.2">
      <c r="B85" s="53" t="s">
        <v>52</v>
      </c>
      <c r="C85" s="53"/>
      <c r="D85" s="53"/>
      <c r="E85" s="76">
        <f>E72+E74-E78-E81</f>
        <v>43502</v>
      </c>
      <c r="F85" s="76">
        <f t="shared" ref="F85:U85" si="65">F72+F74-F78-F81</f>
        <v>57382</v>
      </c>
      <c r="G85" s="76">
        <f t="shared" si="65"/>
        <v>52574</v>
      </c>
      <c r="H85" s="76">
        <f t="shared" si="65"/>
        <v>70532</v>
      </c>
      <c r="I85" s="76">
        <f t="shared" si="65"/>
        <v>93371</v>
      </c>
      <c r="J85" s="77">
        <f t="shared" si="65"/>
        <v>108498</v>
      </c>
      <c r="K85" s="76">
        <f ca="1">K72+K74-K78-K81</f>
        <v>103441.72055044631</v>
      </c>
      <c r="L85" s="76">
        <f t="shared" ca="1" si="65"/>
        <v>113056.40411561765</v>
      </c>
      <c r="M85" s="76">
        <f t="shared" ca="1" si="65"/>
        <v>123538.77020186419</v>
      </c>
      <c r="N85" s="76">
        <f t="shared" ca="1" si="65"/>
        <v>137375.87514491114</v>
      </c>
      <c r="O85" s="76">
        <f t="shared" ca="1" si="65"/>
        <v>148006.23004159343</v>
      </c>
      <c r="P85" s="76">
        <f t="shared" ca="1" si="65"/>
        <v>159721.74665161091</v>
      </c>
      <c r="Q85" s="76">
        <f t="shared" ca="1" si="65"/>
        <v>169350.6892955268</v>
      </c>
      <c r="R85" s="76">
        <f t="shared" ca="1" si="65"/>
        <v>179661.65043210119</v>
      </c>
      <c r="S85" s="76">
        <f t="shared" ca="1" si="65"/>
        <v>189385.16863812308</v>
      </c>
      <c r="T85" s="76">
        <f t="shared" ca="1" si="65"/>
        <v>198404.51396798392</v>
      </c>
      <c r="U85" s="76">
        <f t="shared" ca="1" si="65"/>
        <v>206116.11050624007</v>
      </c>
    </row>
    <row r="86" spans="1:21" s="39" customFormat="1" ht="16" customHeight="1" x14ac:dyDescent="0.2">
      <c r="B86" s="39" t="s">
        <v>44</v>
      </c>
      <c r="E86" s="78">
        <f t="shared" ref="E86:U86" si="66">E85/E59</f>
        <v>0.18977115087639704</v>
      </c>
      <c r="F86" s="78">
        <f t="shared" si="66"/>
        <v>0.21605075396750692</v>
      </c>
      <c r="G86" s="78">
        <f t="shared" si="66"/>
        <v>0.20207245920038128</v>
      </c>
      <c r="H86" s="78">
        <f t="shared" si="66"/>
        <v>0.25693313662277106</v>
      </c>
      <c r="I86" s="78">
        <f t="shared" si="66"/>
        <v>0.2552396416787629</v>
      </c>
      <c r="J86" s="64">
        <f t="shared" si="66"/>
        <v>0.27514657848288732</v>
      </c>
      <c r="K86" s="78">
        <f t="shared" ca="1" si="66"/>
        <v>0.25697297908595779</v>
      </c>
      <c r="L86" s="78">
        <f t="shared" ca="1" si="66"/>
        <v>0.26417503009175752</v>
      </c>
      <c r="M86" s="78">
        <f t="shared" ca="1" si="66"/>
        <v>0.27005561272176265</v>
      </c>
      <c r="N86" s="78">
        <f t="shared" ca="1" si="66"/>
        <v>0.27927672259653114</v>
      </c>
      <c r="O86" s="78">
        <f t="shared" ca="1" si="66"/>
        <v>0.28091425818259336</v>
      </c>
      <c r="P86" s="78">
        <f t="shared" ca="1" si="66"/>
        <v>0.28427569026835159</v>
      </c>
      <c r="Q86" s="78">
        <f t="shared" ca="1" si="66"/>
        <v>0.28402835983233243</v>
      </c>
      <c r="R86" s="78">
        <f t="shared" ca="1" si="66"/>
        <v>0.28545310054971412</v>
      </c>
      <c r="S86" s="78">
        <f t="shared" ca="1" si="66"/>
        <v>0.28668434650249386</v>
      </c>
      <c r="T86" s="78">
        <f t="shared" ca="1" si="66"/>
        <v>0.28787736823943161</v>
      </c>
      <c r="U86" s="78">
        <f t="shared" ca="1" si="66"/>
        <v>0.28847272213880037</v>
      </c>
    </row>
    <row r="87" spans="1:21" ht="16" customHeight="1" x14ac:dyDescent="0.2">
      <c r="E87" s="38"/>
      <c r="F87" s="79"/>
      <c r="G87" s="79"/>
      <c r="H87" s="79"/>
      <c r="I87" s="79"/>
      <c r="J87" s="80"/>
      <c r="K87" s="81"/>
      <c r="L87" s="81"/>
      <c r="M87" s="81"/>
      <c r="N87" s="81"/>
      <c r="O87" s="81"/>
      <c r="P87" s="81"/>
      <c r="Q87" s="81"/>
      <c r="R87" s="81"/>
      <c r="S87" s="81"/>
      <c r="T87" s="81"/>
      <c r="U87" s="81"/>
    </row>
    <row r="88" spans="1:21" ht="16" customHeight="1" x14ac:dyDescent="0.2">
      <c r="J88" s="42"/>
      <c r="K88" s="82">
        <v>1</v>
      </c>
      <c r="L88" s="82">
        <v>0</v>
      </c>
      <c r="U88" s="17"/>
    </row>
    <row r="89" spans="1:21" ht="16" customHeight="1" x14ac:dyDescent="0.2">
      <c r="A89" s="5" t="s">
        <v>10</v>
      </c>
      <c r="B89" s="12" t="s">
        <v>53</v>
      </c>
      <c r="C89" s="12"/>
      <c r="D89" s="12"/>
      <c r="E89" s="83"/>
      <c r="F89" s="83"/>
      <c r="G89" s="83"/>
      <c r="H89" s="83"/>
      <c r="I89" s="83"/>
      <c r="J89" s="83"/>
      <c r="K89" s="83">
        <v>1</v>
      </c>
      <c r="L89" s="83">
        <f>K89+1</f>
        <v>2</v>
      </c>
      <c r="M89" s="83">
        <f t="shared" ref="M89:T89" si="67">L89+1</f>
        <v>3</v>
      </c>
      <c r="N89" s="83">
        <f t="shared" si="67"/>
        <v>4</v>
      </c>
      <c r="O89" s="83">
        <f t="shared" si="67"/>
        <v>5</v>
      </c>
      <c r="P89" s="83">
        <f t="shared" si="67"/>
        <v>6</v>
      </c>
      <c r="Q89" s="83">
        <f t="shared" si="67"/>
        <v>7</v>
      </c>
      <c r="R89" s="83">
        <f t="shared" si="67"/>
        <v>8</v>
      </c>
      <c r="S89" s="83">
        <f t="shared" si="67"/>
        <v>9</v>
      </c>
      <c r="T89" s="83">
        <f t="shared" si="67"/>
        <v>10</v>
      </c>
      <c r="U89" s="83"/>
    </row>
    <row r="90" spans="1:21" s="84" customFormat="1" ht="16" customHeight="1" x14ac:dyDescent="0.2">
      <c r="B90" s="12" t="s">
        <v>38</v>
      </c>
      <c r="C90" s="12"/>
      <c r="D90" s="12"/>
      <c r="E90" s="83"/>
      <c r="F90" s="83"/>
      <c r="G90" s="83"/>
      <c r="H90" s="83"/>
      <c r="I90" s="83"/>
      <c r="J90" s="83"/>
      <c r="K90" s="35">
        <v>45192</v>
      </c>
      <c r="L90" s="35">
        <f>EDATE(K90,12)</f>
        <v>45558</v>
      </c>
      <c r="M90" s="35">
        <f t="shared" ref="M90:T90" si="68">EDATE(L90,12)</f>
        <v>45923</v>
      </c>
      <c r="N90" s="35">
        <f t="shared" si="68"/>
        <v>46288</v>
      </c>
      <c r="O90" s="35">
        <f t="shared" si="68"/>
        <v>46653</v>
      </c>
      <c r="P90" s="35">
        <f t="shared" si="68"/>
        <v>47019</v>
      </c>
      <c r="Q90" s="35">
        <f t="shared" si="68"/>
        <v>47384</v>
      </c>
      <c r="R90" s="35">
        <f t="shared" si="68"/>
        <v>47749</v>
      </c>
      <c r="S90" s="35">
        <f t="shared" si="68"/>
        <v>48114</v>
      </c>
      <c r="T90" s="35">
        <f t="shared" si="68"/>
        <v>48480</v>
      </c>
      <c r="U90" s="83"/>
    </row>
    <row r="91" spans="1:21" ht="16" customHeight="1" x14ac:dyDescent="0.2">
      <c r="B91" s="5" t="s">
        <v>54</v>
      </c>
      <c r="E91" s="85"/>
      <c r="F91" s="85"/>
      <c r="G91" s="85"/>
      <c r="H91" s="85"/>
      <c r="I91" s="85"/>
      <c r="J91" s="80"/>
      <c r="K91" s="86">
        <f t="shared" ref="K91:T91" ca="1" si="69">$K$88*K85+$L$88*L85</f>
        <v>103441.72055044631</v>
      </c>
      <c r="L91" s="86">
        <f t="shared" ca="1" si="69"/>
        <v>113056.40411561765</v>
      </c>
      <c r="M91" s="86">
        <f t="shared" ca="1" si="69"/>
        <v>123538.77020186419</v>
      </c>
      <c r="N91" s="86">
        <f t="shared" ca="1" si="69"/>
        <v>137375.87514491114</v>
      </c>
      <c r="O91" s="86">
        <f t="shared" ca="1" si="69"/>
        <v>148006.23004159343</v>
      </c>
      <c r="P91" s="86">
        <f t="shared" ca="1" si="69"/>
        <v>159721.74665161091</v>
      </c>
      <c r="Q91" s="86">
        <f t="shared" ca="1" si="69"/>
        <v>169350.6892955268</v>
      </c>
      <c r="R91" s="86">
        <f t="shared" ca="1" si="69"/>
        <v>179661.65043210119</v>
      </c>
      <c r="S91" s="86">
        <f t="shared" ca="1" si="69"/>
        <v>189385.16863812308</v>
      </c>
      <c r="T91" s="86">
        <f t="shared" ca="1" si="69"/>
        <v>198404.51396798392</v>
      </c>
      <c r="U91" s="17"/>
    </row>
    <row r="92" spans="1:21" s="39" customFormat="1" ht="16" customHeight="1" x14ac:dyDescent="0.2">
      <c r="B92" s="39" t="s">
        <v>39</v>
      </c>
      <c r="J92" s="87"/>
      <c r="L92" s="40">
        <f ca="1">L91/K91-1</f>
        <v>9.2947831049295715E-2</v>
      </c>
      <c r="M92" s="40">
        <f t="shared" ref="M92:T92" ca="1" si="70">M91/L91-1</f>
        <v>9.2718021311970045E-2</v>
      </c>
      <c r="N92" s="40">
        <f t="shared" ca="1" si="70"/>
        <v>0.11200617361203236</v>
      </c>
      <c r="O92" s="40">
        <f t="shared" ca="1" si="70"/>
        <v>7.7381526308522908E-2</v>
      </c>
      <c r="P92" s="40">
        <f t="shared" ca="1" si="70"/>
        <v>7.9155563970010778E-2</v>
      </c>
      <c r="Q92" s="40">
        <f t="shared" ca="1" si="70"/>
        <v>6.028573344441801E-2</v>
      </c>
      <c r="R92" s="40">
        <f t="shared" ca="1" si="70"/>
        <v>6.0885262288960407E-2</v>
      </c>
      <c r="S92" s="40">
        <f t="shared" ca="1" si="70"/>
        <v>5.4121278428846731E-2</v>
      </c>
      <c r="T92" s="40">
        <f t="shared" ca="1" si="70"/>
        <v>4.7624348805766159E-2</v>
      </c>
    </row>
    <row r="93" spans="1:21" ht="16" customHeight="1" x14ac:dyDescent="0.2">
      <c r="B93" s="5" t="s">
        <v>55</v>
      </c>
      <c r="J93" s="42"/>
      <c r="T93" s="38">
        <f ca="1">T91*(1+D28)/(T96-D28)</f>
        <v>3722437.2921637986</v>
      </c>
    </row>
    <row r="94" spans="1:21" ht="16" customHeight="1" x14ac:dyDescent="0.2">
      <c r="B94" s="5" t="s">
        <v>56</v>
      </c>
      <c r="J94" s="42"/>
      <c r="T94" s="88">
        <f ca="1">(T62+T74)*D29</f>
        <v>2848405.3555249665</v>
      </c>
    </row>
    <row r="95" spans="1:21" ht="16" customHeight="1" x14ac:dyDescent="0.2">
      <c r="B95" s="89" t="s">
        <v>57</v>
      </c>
      <c r="C95" s="89"/>
      <c r="D95" s="89"/>
      <c r="E95" s="89"/>
      <c r="F95" s="89"/>
      <c r="G95" s="89"/>
      <c r="H95" s="89"/>
      <c r="I95" s="89"/>
      <c r="J95" s="90"/>
      <c r="K95" s="89"/>
      <c r="L95" s="89"/>
      <c r="M95" s="89"/>
      <c r="N95" s="89"/>
      <c r="O95" s="89"/>
      <c r="P95" s="89"/>
      <c r="Q95" s="89"/>
      <c r="R95" s="89"/>
      <c r="S95" s="89"/>
      <c r="T95" s="88">
        <f ca="1">AVERAGE(T93:T94)</f>
        <v>3285421.3238443825</v>
      </c>
    </row>
    <row r="96" spans="1:21" ht="16" customHeight="1" x14ac:dyDescent="0.2">
      <c r="B96" s="5" t="s">
        <v>33</v>
      </c>
      <c r="J96" s="42"/>
      <c r="K96" s="91">
        <f>D27</f>
        <v>9.4898614361407785E-2</v>
      </c>
      <c r="L96" s="92">
        <f t="shared" ref="L96:S96" si="71">K96-($K$96-$T$96)/($T$89-$K$89)</f>
        <v>9.378750325029668E-2</v>
      </c>
      <c r="M96" s="92">
        <f t="shared" si="71"/>
        <v>9.2676392139185576E-2</v>
      </c>
      <c r="N96" s="92">
        <f t="shared" si="71"/>
        <v>9.1565281028074472E-2</v>
      </c>
      <c r="O96" s="92">
        <f t="shared" si="71"/>
        <v>9.0454169916963367E-2</v>
      </c>
      <c r="P96" s="92">
        <f t="shared" si="71"/>
        <v>8.9343058805852263E-2</v>
      </c>
      <c r="Q96" s="92">
        <f t="shared" si="71"/>
        <v>8.8231947694741159E-2</v>
      </c>
      <c r="R96" s="92">
        <f t="shared" si="71"/>
        <v>8.7120836583630054E-2</v>
      </c>
      <c r="S96" s="92">
        <f t="shared" si="71"/>
        <v>8.600972547251895E-2</v>
      </c>
      <c r="T96" s="91">
        <f>T22</f>
        <v>8.489861436140779E-2</v>
      </c>
    </row>
    <row r="97" spans="2:20" ht="16" customHeight="1" x14ac:dyDescent="0.2">
      <c r="B97" s="5" t="s">
        <v>58</v>
      </c>
      <c r="J97" s="42"/>
      <c r="K97" s="93">
        <f>1/(1+K96)</f>
        <v>0.91332657369672843</v>
      </c>
      <c r="L97" s="93">
        <f>K97*(1/(1+L96))</f>
        <v>0.83501280731649341</v>
      </c>
      <c r="M97" s="93">
        <f t="shared" ref="M97:T97" si="72">L97*(1/(1+M96))</f>
        <v>0.76419039829509661</v>
      </c>
      <c r="N97" s="93">
        <f t="shared" si="72"/>
        <v>0.7000867575921389</v>
      </c>
      <c r="O97" s="93">
        <f t="shared" si="72"/>
        <v>0.64201392126864854</v>
      </c>
      <c r="P97" s="93">
        <f t="shared" si="72"/>
        <v>0.58935880306836486</v>
      </c>
      <c r="Q97" s="93">
        <f t="shared" si="72"/>
        <v>0.5415746195623411</v>
      </c>
      <c r="R97" s="93">
        <f t="shared" si="72"/>
        <v>0.49817334130425239</v>
      </c>
      <c r="S97" s="93">
        <f t="shared" si="72"/>
        <v>0.45871904239853739</v>
      </c>
      <c r="T97" s="93">
        <f t="shared" si="72"/>
        <v>0.42282203730949386</v>
      </c>
    </row>
    <row r="98" spans="2:20" ht="16" customHeight="1" x14ac:dyDescent="0.2">
      <c r="J98" s="42"/>
    </row>
    <row r="99" spans="2:20" ht="16" customHeight="1" x14ac:dyDescent="0.2">
      <c r="B99" s="67" t="s">
        <v>59</v>
      </c>
      <c r="C99" s="67"/>
      <c r="D99" s="67"/>
      <c r="E99" s="67"/>
      <c r="F99" s="67"/>
      <c r="G99" s="67"/>
      <c r="H99" s="67"/>
      <c r="I99" s="67"/>
      <c r="J99" s="94"/>
      <c r="K99" s="95">
        <f t="shared" ref="K99:T99" ca="1" si="73">K97*K91</f>
        <v>94476.072207633581</v>
      </c>
      <c r="L99" s="95">
        <f t="shared" ca="1" si="73"/>
        <v>94403.545385689853</v>
      </c>
      <c r="M99" s="95">
        <f t="shared" ca="1" si="73"/>
        <v>94407.142005449001</v>
      </c>
      <c r="N99" s="95">
        <f t="shared" ca="1" si="73"/>
        <v>96175.031001583353</v>
      </c>
      <c r="O99" s="95">
        <f t="shared" ca="1" si="73"/>
        <v>95022.060121193048</v>
      </c>
      <c r="P99" s="95">
        <f t="shared" ca="1" si="73"/>
        <v>94133.41743058202</v>
      </c>
      <c r="Q99" s="95">
        <f t="shared" ca="1" si="73"/>
        <v>91716.035127845156</v>
      </c>
      <c r="R99" s="95">
        <f t="shared" ca="1" si="73"/>
        <v>89502.644699996425</v>
      </c>
      <c r="S99" s="95">
        <f t="shared" ca="1" si="73"/>
        <v>86874.583202165333</v>
      </c>
      <c r="T99" s="95">
        <f t="shared" ca="1" si="73"/>
        <v>83889.800807342894</v>
      </c>
    </row>
    <row r="100" spans="2:20" ht="16" customHeight="1" x14ac:dyDescent="0.2">
      <c r="B100" s="5" t="s">
        <v>60</v>
      </c>
      <c r="T100" s="38">
        <f ca="1">T97*T95</f>
        <v>1389148.5375679361</v>
      </c>
    </row>
    <row r="102" spans="2:20" ht="16" customHeight="1" x14ac:dyDescent="0.2">
      <c r="B102" s="96" t="s">
        <v>61</v>
      </c>
      <c r="C102" s="53"/>
      <c r="D102" s="54">
        <f ca="1">SUM(K99:T100)</f>
        <v>2309748.869557417</v>
      </c>
    </row>
    <row r="104" spans="2:20" ht="16" customHeight="1" x14ac:dyDescent="0.2">
      <c r="B104" s="5" t="s">
        <v>62</v>
      </c>
      <c r="D104" s="154">
        <f>T9</f>
        <v>48304</v>
      </c>
    </row>
    <row r="105" spans="2:20" ht="16" customHeight="1" x14ac:dyDescent="0.2">
      <c r="B105" s="5" t="s">
        <v>63</v>
      </c>
      <c r="D105" s="154">
        <f>T10</f>
        <v>98959</v>
      </c>
    </row>
    <row r="106" spans="2:20" ht="16" customHeight="1" x14ac:dyDescent="0.2">
      <c r="B106" s="5" t="s">
        <v>64</v>
      </c>
      <c r="D106" s="154">
        <f>T11</f>
        <v>120069</v>
      </c>
    </row>
    <row r="107" spans="2:20" ht="16" customHeight="1" x14ac:dyDescent="0.2">
      <c r="B107" s="5" t="s">
        <v>65</v>
      </c>
      <c r="D107" s="154">
        <f>T12</f>
        <v>0</v>
      </c>
      <c r="H107" s="5" t="s">
        <v>66</v>
      </c>
    </row>
    <row r="108" spans="2:20" ht="16" customHeight="1" x14ac:dyDescent="0.2">
      <c r="B108" s="96" t="s">
        <v>67</v>
      </c>
      <c r="C108" s="53"/>
      <c r="D108" s="97">
        <f ca="1">D102+D104+D105-D106-D107</f>
        <v>2336942.869557417</v>
      </c>
    </row>
    <row r="109" spans="2:20" ht="16" customHeight="1" x14ac:dyDescent="0.2">
      <c r="D109" s="61"/>
    </row>
    <row r="110" spans="2:20" ht="16" customHeight="1" x14ac:dyDescent="0.2">
      <c r="B110" s="89" t="s">
        <v>68</v>
      </c>
      <c r="C110" s="89"/>
      <c r="D110" s="155">
        <f>T16</f>
        <v>16325.8</v>
      </c>
    </row>
    <row r="111" spans="2:20" ht="16" customHeight="1" x14ac:dyDescent="0.2">
      <c r="B111" s="98" t="s">
        <v>1</v>
      </c>
      <c r="D111" s="99">
        <f ca="1">D108/D110</f>
        <v>143.14415646139344</v>
      </c>
    </row>
    <row r="113" spans="1:21" ht="16" customHeight="1" x14ac:dyDescent="0.2">
      <c r="A113" s="5" t="s">
        <v>10</v>
      </c>
      <c r="B113" s="12" t="s">
        <v>69</v>
      </c>
      <c r="C113" s="100"/>
      <c r="D113" s="100"/>
      <c r="E113" s="101"/>
      <c r="F113" s="101"/>
      <c r="G113" s="101"/>
      <c r="H113" s="101"/>
      <c r="I113" s="101"/>
      <c r="J113" s="101"/>
      <c r="K113" s="101"/>
      <c r="L113" s="101"/>
      <c r="M113" s="101"/>
      <c r="N113" s="101"/>
      <c r="O113" s="101"/>
      <c r="P113" s="101"/>
      <c r="Q113" s="101"/>
      <c r="R113" s="101"/>
      <c r="S113" s="101"/>
      <c r="T113" s="101"/>
      <c r="U113" s="101"/>
    </row>
    <row r="115" spans="1:21" ht="16" customHeight="1" x14ac:dyDescent="0.2">
      <c r="B115" s="5" t="s">
        <v>34</v>
      </c>
      <c r="D115" s="102">
        <f>D28</f>
        <v>3.0000000000000002E-2</v>
      </c>
      <c r="F115" s="5" t="s">
        <v>70</v>
      </c>
      <c r="H115" s="24">
        <v>5.0000000000000001E-3</v>
      </c>
      <c r="J115" s="5" t="s">
        <v>71</v>
      </c>
      <c r="L115" s="103">
        <f>D29</f>
        <v>11</v>
      </c>
      <c r="N115" s="5" t="s">
        <v>72</v>
      </c>
      <c r="P115" s="104">
        <v>0.5</v>
      </c>
    </row>
    <row r="116" spans="1:21" ht="16" customHeight="1" x14ac:dyDescent="0.2">
      <c r="B116" s="5" t="s">
        <v>33</v>
      </c>
      <c r="D116" s="102">
        <f>D27</f>
        <v>9.4898614361407785E-2</v>
      </c>
      <c r="F116" s="5" t="s">
        <v>73</v>
      </c>
      <c r="H116" s="24">
        <v>5.0000000000000001E-3</v>
      </c>
      <c r="J116" s="5" t="s">
        <v>74</v>
      </c>
      <c r="L116" s="102">
        <f>D27</f>
        <v>9.4898614361407785E-2</v>
      </c>
      <c r="N116" s="5" t="s">
        <v>73</v>
      </c>
      <c r="P116" s="24">
        <v>5.0000000000000001E-3</v>
      </c>
    </row>
    <row r="118" spans="1:21" ht="16" customHeight="1" x14ac:dyDescent="0.2">
      <c r="D118" s="156" t="s">
        <v>34</v>
      </c>
      <c r="E118" s="156"/>
      <c r="F118" s="156"/>
      <c r="G118" s="156"/>
      <c r="H118" s="156"/>
      <c r="L118" s="156" t="s">
        <v>35</v>
      </c>
      <c r="M118" s="156"/>
      <c r="N118" s="156"/>
      <c r="O118" s="156"/>
      <c r="P118" s="156"/>
    </row>
    <row r="119" spans="1:21" ht="16" customHeight="1" x14ac:dyDescent="0.2">
      <c r="D119" s="156"/>
      <c r="E119" s="156"/>
      <c r="F119" s="156"/>
      <c r="G119" s="156"/>
      <c r="H119" s="156"/>
      <c r="L119" s="156"/>
      <c r="M119" s="156"/>
      <c r="N119" s="156"/>
      <c r="O119" s="156"/>
      <c r="P119" s="156"/>
    </row>
    <row r="120" spans="1:21" ht="16" customHeight="1" x14ac:dyDescent="0.2">
      <c r="C120" s="99">
        <f ca="1">D111</f>
        <v>143.14415646139344</v>
      </c>
      <c r="D120" s="105">
        <f>E120-H115</f>
        <v>0.02</v>
      </c>
      <c r="E120" s="105">
        <f>F120-H115</f>
        <v>2.5000000000000001E-2</v>
      </c>
      <c r="F120" s="106">
        <f>CHOOSE(D23,H23,L23,P23,H28)</f>
        <v>3.0000000000000002E-2</v>
      </c>
      <c r="G120" s="105">
        <f>F120+H115</f>
        <v>3.5000000000000003E-2</v>
      </c>
      <c r="H120" s="105">
        <f>G120+H115</f>
        <v>0.04</v>
      </c>
      <c r="K120" s="99">
        <f ca="1">D111</f>
        <v>143.14415646139344</v>
      </c>
      <c r="L120" s="107">
        <f>M120-P115</f>
        <v>10</v>
      </c>
      <c r="M120" s="107">
        <f>N120-P115</f>
        <v>10.5</v>
      </c>
      <c r="N120" s="107">
        <f>CHOOSE(D24,H24,L24,P24,H29)</f>
        <v>11</v>
      </c>
      <c r="O120" s="107">
        <f>N120+P115</f>
        <v>11.5</v>
      </c>
      <c r="P120" s="107">
        <f>O120+P115</f>
        <v>12</v>
      </c>
    </row>
    <row r="121" spans="1:21" ht="16" customHeight="1" x14ac:dyDescent="0.2">
      <c r="B121" s="156" t="s">
        <v>33</v>
      </c>
      <c r="C121" s="108">
        <f>C122-H116</f>
        <v>8.4898614361407776E-2</v>
      </c>
      <c r="D121" s="93">
        <f t="dataTable" ref="D121:H125" dt2D="1" dtr="1" r1="D28" r2="D27" ca="1"/>
        <v>153.73970343451168</v>
      </c>
      <c r="E121" s="93">
        <v>159.26714100116391</v>
      </c>
      <c r="F121" s="93">
        <v>166.02567169736341</v>
      </c>
      <c r="G121" s="93">
        <v>174.47812856227134</v>
      </c>
      <c r="H121" s="93">
        <v>185.35258899940567</v>
      </c>
      <c r="J121" s="156" t="s">
        <v>33</v>
      </c>
      <c r="K121" s="108">
        <f>K122-P116</f>
        <v>8.4898614361407776E-2</v>
      </c>
      <c r="L121" s="93">
        <f t="dataTable" ref="L121:P125" dt2D="1" dtr="1" r1="D29" r2="D27" ca="1"/>
        <v>162.34867053547617</v>
      </c>
      <c r="M121" s="93">
        <v>164.18717111641976</v>
      </c>
      <c r="N121" s="93">
        <v>166.02567169736341</v>
      </c>
      <c r="O121" s="93">
        <v>167.86417227830702</v>
      </c>
      <c r="P121" s="93">
        <v>169.70267285925061</v>
      </c>
    </row>
    <row r="122" spans="1:21" ht="16" customHeight="1" x14ac:dyDescent="0.2">
      <c r="B122" s="156"/>
      <c r="C122" s="108">
        <f>C123-H116</f>
        <v>8.989861436140778E-2</v>
      </c>
      <c r="D122" s="93">
        <v>143.90579512502364</v>
      </c>
      <c r="E122" s="109">
        <v>148.3230164106489</v>
      </c>
      <c r="F122" s="109">
        <v>153.62547696436931</v>
      </c>
      <c r="G122" s="109">
        <v>160.10892286232297</v>
      </c>
      <c r="H122" s="93">
        <v>168.21734897618728</v>
      </c>
      <c r="J122" s="156"/>
      <c r="K122" s="108">
        <f>K123-P116</f>
        <v>8.989861436140778E-2</v>
      </c>
      <c r="L122" s="93">
        <v>150.1144684168537</v>
      </c>
      <c r="M122" s="109">
        <v>151.86997269061152</v>
      </c>
      <c r="N122" s="109">
        <v>153.62547696436931</v>
      </c>
      <c r="O122" s="109">
        <v>155.38098123812711</v>
      </c>
      <c r="P122" s="93">
        <v>157.1364855118849</v>
      </c>
    </row>
    <row r="123" spans="1:21" ht="16" customHeight="1" x14ac:dyDescent="0.2">
      <c r="B123" s="156"/>
      <c r="C123" s="108">
        <f>CHOOSE(D22,H22,L22,P22,H27)</f>
        <v>9.4898614361407785E-2</v>
      </c>
      <c r="D123" s="93">
        <v>135.32072931231568</v>
      </c>
      <c r="E123" s="109">
        <v>138.90591500167372</v>
      </c>
      <c r="F123" s="110">
        <v>143.14415646139344</v>
      </c>
      <c r="G123" s="109">
        <v>148.23176849261299</v>
      </c>
      <c r="H123" s="93">
        <v>154.45251394088353</v>
      </c>
      <c r="J123" s="156"/>
      <c r="K123" s="108">
        <f>CHOOSE(D22,H22,L22,P22,H27)</f>
        <v>9.4898614361407785E-2</v>
      </c>
      <c r="L123" s="93">
        <v>139.79093485814653</v>
      </c>
      <c r="M123" s="109">
        <v>141.46754565976997</v>
      </c>
      <c r="N123" s="110">
        <v>143.14415646139344</v>
      </c>
      <c r="O123" s="109">
        <v>144.82076726301688</v>
      </c>
      <c r="P123" s="93">
        <v>146.49737806464032</v>
      </c>
    </row>
    <row r="124" spans="1:21" ht="16" customHeight="1" x14ac:dyDescent="0.2">
      <c r="B124" s="156"/>
      <c r="C124" s="108">
        <f>C123+H116</f>
        <v>9.9898614361407789E-2</v>
      </c>
      <c r="D124" s="93">
        <v>127.73513834747195</v>
      </c>
      <c r="E124" s="109">
        <v>130.68348526014447</v>
      </c>
      <c r="F124" s="109">
        <v>134.1240550637979</v>
      </c>
      <c r="G124" s="109">
        <v>138.19133828156478</v>
      </c>
      <c r="H124" s="93">
        <v>143.07373095073012</v>
      </c>
      <c r="J124" s="156"/>
      <c r="K124" s="108">
        <f>K123+P116</f>
        <v>9.9898614361407789E-2</v>
      </c>
      <c r="L124" s="93">
        <v>130.92085526357297</v>
      </c>
      <c r="M124" s="109">
        <v>132.52245516368544</v>
      </c>
      <c r="N124" s="109">
        <v>134.1240550637979</v>
      </c>
      <c r="O124" s="109">
        <v>135.72565496391039</v>
      </c>
      <c r="P124" s="93">
        <v>137.32725486402285</v>
      </c>
    </row>
    <row r="125" spans="1:21" ht="16" customHeight="1" x14ac:dyDescent="0.2">
      <c r="B125" s="156"/>
      <c r="C125" s="108">
        <f>C124+H116</f>
        <v>0.10489861436140779</v>
      </c>
      <c r="D125" s="93">
        <v>120.96499694076044</v>
      </c>
      <c r="E125" s="93">
        <v>123.41710934623681</v>
      </c>
      <c r="F125" s="93">
        <v>126.24705915696514</v>
      </c>
      <c r="G125" s="93">
        <v>129.54946560811814</v>
      </c>
      <c r="H125" s="93">
        <v>133.45341847161097</v>
      </c>
      <c r="J125" s="156"/>
      <c r="K125" s="108">
        <f>K124+P116</f>
        <v>0.10489861436140779</v>
      </c>
      <c r="L125" s="93">
        <v>123.18653104080447</v>
      </c>
      <c r="M125" s="93">
        <v>124.71679509888483</v>
      </c>
      <c r="N125" s="93">
        <v>126.24705915696514</v>
      </c>
      <c r="O125" s="93">
        <v>127.77732321504551</v>
      </c>
      <c r="P125" s="93">
        <v>129.30758727312582</v>
      </c>
    </row>
    <row r="127" spans="1:21" ht="16" customHeight="1" x14ac:dyDescent="0.2">
      <c r="A127" s="5" t="s">
        <v>10</v>
      </c>
      <c r="B127" s="12" t="s">
        <v>142</v>
      </c>
      <c r="C127" s="100"/>
      <c r="D127" s="100"/>
      <c r="E127" s="33">
        <v>2017</v>
      </c>
      <c r="F127" s="33">
        <v>2018</v>
      </c>
      <c r="G127" s="33">
        <v>2019</v>
      </c>
      <c r="H127" s="33">
        <v>2020</v>
      </c>
      <c r="I127" s="33">
        <v>2021</v>
      </c>
      <c r="J127" s="33">
        <v>2022</v>
      </c>
      <c r="K127" s="34">
        <v>2023</v>
      </c>
      <c r="L127" s="34">
        <v>2024</v>
      </c>
      <c r="M127" s="34">
        <v>2025</v>
      </c>
      <c r="N127" s="34">
        <v>2026</v>
      </c>
      <c r="O127" s="34">
        <v>2027</v>
      </c>
      <c r="P127" s="34">
        <v>2028</v>
      </c>
      <c r="Q127" s="34">
        <v>2029</v>
      </c>
      <c r="R127" s="34">
        <v>2030</v>
      </c>
      <c r="S127" s="34">
        <v>2031</v>
      </c>
      <c r="T127" s="34">
        <v>2032</v>
      </c>
      <c r="U127" s="34">
        <v>2033</v>
      </c>
    </row>
    <row r="128" spans="1:21" ht="16" customHeight="1" x14ac:dyDescent="0.2">
      <c r="B128" s="12" t="s">
        <v>38</v>
      </c>
      <c r="C128" s="12"/>
      <c r="D128" s="12"/>
      <c r="E128" s="35">
        <f>EDATE(F128,-12)</f>
        <v>43008</v>
      </c>
      <c r="F128" s="35">
        <f t="shared" ref="F128" si="74">EDATE(G128,-12)</f>
        <v>43373</v>
      </c>
      <c r="G128" s="35">
        <f t="shared" ref="G128" si="75">EDATE(H128,-12)</f>
        <v>43738</v>
      </c>
      <c r="H128" s="35">
        <f t="shared" ref="H128" si="76">EDATE(I128,-12)</f>
        <v>44104</v>
      </c>
      <c r="I128" s="35">
        <f t="shared" ref="I128" si="77">EDATE(J128,-12)</f>
        <v>44469</v>
      </c>
      <c r="J128" s="35">
        <f>EDATE(K128,-12)</f>
        <v>44834</v>
      </c>
      <c r="K128" s="35">
        <v>45199</v>
      </c>
      <c r="L128" s="35">
        <f>EDATE(K128,12)</f>
        <v>45565</v>
      </c>
      <c r="M128" s="35">
        <f t="shared" ref="M128" si="78">EDATE(L128,12)</f>
        <v>45930</v>
      </c>
      <c r="N128" s="35">
        <f t="shared" ref="N128" si="79">EDATE(M128,12)</f>
        <v>46295</v>
      </c>
      <c r="O128" s="35">
        <f t="shared" ref="O128" si="80">EDATE(N128,12)</f>
        <v>46660</v>
      </c>
      <c r="P128" s="35">
        <f t="shared" ref="P128" si="81">EDATE(O128,12)</f>
        <v>47026</v>
      </c>
      <c r="Q128" s="35">
        <f t="shared" ref="Q128" si="82">EDATE(P128,12)</f>
        <v>47391</v>
      </c>
      <c r="R128" s="35">
        <f t="shared" ref="R128" si="83">EDATE(Q128,12)</f>
        <v>47756</v>
      </c>
      <c r="S128" s="35">
        <f t="shared" ref="S128" si="84">EDATE(R128,12)</f>
        <v>48121</v>
      </c>
      <c r="T128" s="35">
        <f t="shared" ref="T128" si="85">EDATE(S128,12)</f>
        <v>48487</v>
      </c>
      <c r="U128" s="35">
        <f t="shared" ref="U128" si="86">EDATE(T128,12)</f>
        <v>48852</v>
      </c>
    </row>
    <row r="129" spans="2:21" ht="16" customHeight="1" x14ac:dyDescent="0.2">
      <c r="B129" s="5" t="s">
        <v>42</v>
      </c>
      <c r="E129" s="38">
        <f>E59</f>
        <v>229234</v>
      </c>
      <c r="F129" s="38">
        <f t="shared" ref="F129:U130" si="87">F59</f>
        <v>265595</v>
      </c>
      <c r="G129" s="38">
        <f t="shared" si="87"/>
        <v>260174</v>
      </c>
      <c r="H129" s="38">
        <f t="shared" si="87"/>
        <v>274515</v>
      </c>
      <c r="I129" s="38">
        <f t="shared" si="87"/>
        <v>365817</v>
      </c>
      <c r="J129" s="111">
        <f t="shared" si="87"/>
        <v>394328</v>
      </c>
      <c r="K129" s="38">
        <f t="shared" ca="1" si="87"/>
        <v>402539.29000000004</v>
      </c>
      <c r="L129" s="38">
        <f t="shared" ca="1" si="87"/>
        <v>427960.22045061976</v>
      </c>
      <c r="M129" s="38">
        <f t="shared" ca="1" si="87"/>
        <v>457456.77698299038</v>
      </c>
      <c r="N129" s="38">
        <f t="shared" ca="1" si="87"/>
        <v>491898.7657391589</v>
      </c>
      <c r="O129" s="38">
        <f t="shared" ca="1" si="87"/>
        <v>526873.32782300375</v>
      </c>
      <c r="P129" s="38">
        <f t="shared" ca="1" si="87"/>
        <v>561855.10094386269</v>
      </c>
      <c r="Q129" s="38">
        <f t="shared" ca="1" si="87"/>
        <v>596245.70375823695</v>
      </c>
      <c r="R129" s="38">
        <f t="shared" ca="1" si="87"/>
        <v>629391.13320582605</v>
      </c>
      <c r="S129" s="38">
        <f t="shared" ca="1" si="87"/>
        <v>660605.1950467258</v>
      </c>
      <c r="T129" s="38">
        <f t="shared" ca="1" si="87"/>
        <v>689198.02616428025</v>
      </c>
      <c r="U129" s="38">
        <f t="shared" ca="1" si="87"/>
        <v>714508.14821605932</v>
      </c>
    </row>
    <row r="130" spans="2:21" s="39" customFormat="1" ht="16" customHeight="1" x14ac:dyDescent="0.2">
      <c r="B130" s="39" t="s">
        <v>39</v>
      </c>
      <c r="F130" s="112">
        <f t="shared" si="87"/>
        <v>0.15861957650261305</v>
      </c>
      <c r="G130" s="112">
        <f t="shared" si="87"/>
        <v>-2.04107758052674E-2</v>
      </c>
      <c r="H130" s="112">
        <f t="shared" si="87"/>
        <v>5.5120803769784787E-2</v>
      </c>
      <c r="I130" s="112">
        <f t="shared" si="87"/>
        <v>0.33259384733074704</v>
      </c>
      <c r="J130" s="113">
        <f t="shared" si="87"/>
        <v>7.7937876041846099E-2</v>
      </c>
      <c r="K130" s="112">
        <f t="shared" ca="1" si="87"/>
        <v>2.082350226207641E-2</v>
      </c>
      <c r="L130" s="112">
        <f t="shared" ca="1" si="87"/>
        <v>6.3151426661034016E-2</v>
      </c>
      <c r="M130" s="112">
        <f t="shared" ca="1" si="87"/>
        <v>6.8923594116556686E-2</v>
      </c>
      <c r="N130" s="112">
        <f t="shared" ca="1" si="87"/>
        <v>7.5290148685346114E-2</v>
      </c>
      <c r="O130" s="112">
        <f t="shared" ca="1" si="87"/>
        <v>7.1101138119933793E-2</v>
      </c>
      <c r="P130" s="112">
        <f t="shared" ca="1" si="87"/>
        <v>6.6395035150859982E-2</v>
      </c>
      <c r="Q130" s="112">
        <f t="shared" ca="1" si="87"/>
        <v>6.1209024811915702E-2</v>
      </c>
      <c r="R130" s="112">
        <f t="shared" ca="1" si="87"/>
        <v>5.5590219331842272E-2</v>
      </c>
      <c r="S130" s="112">
        <f t="shared" ca="1" si="87"/>
        <v>4.9594060345130364E-2</v>
      </c>
      <c r="T130" s="112">
        <f t="shared" ca="1" si="87"/>
        <v>4.3282782714919588E-2</v>
      </c>
      <c r="U130" s="112">
        <f t="shared" ca="1" si="87"/>
        <v>3.6724019934650798E-2</v>
      </c>
    </row>
    <row r="131" spans="2:21" ht="16" customHeight="1" x14ac:dyDescent="0.2">
      <c r="B131" s="5" t="s">
        <v>75</v>
      </c>
      <c r="E131" s="38">
        <f t="shared" ref="E131:U131" si="88">E74+E62</f>
        <v>71501</v>
      </c>
      <c r="F131" s="38">
        <f t="shared" si="88"/>
        <v>81801</v>
      </c>
      <c r="G131" s="38">
        <f t="shared" si="88"/>
        <v>76477</v>
      </c>
      <c r="H131" s="38">
        <f t="shared" si="88"/>
        <v>77344</v>
      </c>
      <c r="I131" s="38">
        <f t="shared" si="88"/>
        <v>120233</v>
      </c>
      <c r="J131" s="111">
        <f t="shared" si="88"/>
        <v>130541</v>
      </c>
      <c r="K131" s="38">
        <f t="shared" ca="1" si="88"/>
        <v>130807.71772286615</v>
      </c>
      <c r="L131" s="38">
        <f t="shared" ca="1" si="88"/>
        <v>142477.0654692782</v>
      </c>
      <c r="M131" s="38">
        <f t="shared" ca="1" si="88"/>
        <v>156401.58507443458</v>
      </c>
      <c r="N131" s="38">
        <f t="shared" ca="1" si="88"/>
        <v>172342.79996185322</v>
      </c>
      <c r="O131" s="38">
        <f t="shared" ca="1" si="88"/>
        <v>189191.18176093363</v>
      </c>
      <c r="P131" s="38">
        <f t="shared" ca="1" si="88"/>
        <v>203601.80053746089</v>
      </c>
      <c r="Q131" s="38">
        <f t="shared" ca="1" si="88"/>
        <v>218064.06909926707</v>
      </c>
      <c r="R131" s="38">
        <f t="shared" ca="1" si="88"/>
        <v>232277.66350006536</v>
      </c>
      <c r="S131" s="38">
        <f t="shared" ca="1" si="88"/>
        <v>246002.73980986699</v>
      </c>
      <c r="T131" s="38">
        <f t="shared" ca="1" si="88"/>
        <v>258945.94141136057</v>
      </c>
      <c r="U131" s="38">
        <f t="shared" ca="1" si="88"/>
        <v>270838.10850034282</v>
      </c>
    </row>
    <row r="132" spans="2:21" s="39" customFormat="1" ht="16" customHeight="1" x14ac:dyDescent="0.2">
      <c r="B132" s="39" t="s">
        <v>44</v>
      </c>
      <c r="E132" s="40">
        <f>E131/E129</f>
        <v>0.31191271800867237</v>
      </c>
      <c r="F132" s="40">
        <f>F131/F129</f>
        <v>0.30799149080366722</v>
      </c>
      <c r="G132" s="40">
        <f t="shared" ref="G132:U132" si="89">G131/G129</f>
        <v>0.29394559025882677</v>
      </c>
      <c r="H132" s="40">
        <f t="shared" si="89"/>
        <v>0.2817478097736007</v>
      </c>
      <c r="I132" s="40">
        <f t="shared" si="89"/>
        <v>0.32866979938056462</v>
      </c>
      <c r="J132" s="41">
        <f t="shared" si="89"/>
        <v>0.3310467428130896</v>
      </c>
      <c r="K132" s="40">
        <f t="shared" ca="1" si="89"/>
        <v>0.32495639797761389</v>
      </c>
      <c r="L132" s="40">
        <f t="shared" ca="1" si="89"/>
        <v>0.33292128254176823</v>
      </c>
      <c r="M132" s="40">
        <f t="shared" ca="1" si="89"/>
        <v>0.34189368907360196</v>
      </c>
      <c r="N132" s="40">
        <f t="shared" ca="1" si="89"/>
        <v>0.35036233462159594</v>
      </c>
      <c r="O132" s="40">
        <f t="shared" ca="1" si="89"/>
        <v>0.3590828606615098</v>
      </c>
      <c r="P132" s="40">
        <f t="shared" ca="1" si="89"/>
        <v>0.36237421391285651</v>
      </c>
      <c r="Q132" s="40">
        <f t="shared" ca="1" si="89"/>
        <v>0.36572853728718308</v>
      </c>
      <c r="R132" s="40">
        <f t="shared" ca="1" si="89"/>
        <v>0.36905137560001972</v>
      </c>
      <c r="S132" s="40">
        <f t="shared" ca="1" si="89"/>
        <v>0.37238995644360134</v>
      </c>
      <c r="T132" s="40">
        <f t="shared" ca="1" si="89"/>
        <v>0.37572066602181053</v>
      </c>
      <c r="U132" s="40">
        <f t="shared" ca="1" si="89"/>
        <v>0.37905531123270603</v>
      </c>
    </row>
    <row r="133" spans="2:21" ht="16" customHeight="1" x14ac:dyDescent="0.2">
      <c r="B133" s="5" t="s">
        <v>47</v>
      </c>
      <c r="E133" s="38">
        <f t="shared" ref="E133:U133" si="90">E74</f>
        <v>10157</v>
      </c>
      <c r="F133" s="38">
        <f t="shared" si="90"/>
        <v>10903</v>
      </c>
      <c r="G133" s="38">
        <f t="shared" si="90"/>
        <v>12547</v>
      </c>
      <c r="H133" s="38">
        <f t="shared" si="90"/>
        <v>11056</v>
      </c>
      <c r="I133" s="38">
        <f t="shared" si="90"/>
        <v>11284</v>
      </c>
      <c r="J133" s="111">
        <f t="shared" si="90"/>
        <v>11104</v>
      </c>
      <c r="K133" s="38">
        <f t="shared" ca="1" si="90"/>
        <v>11875.980405823506</v>
      </c>
      <c r="L133" s="38">
        <f t="shared" ca="1" si="90"/>
        <v>12338.512629185141</v>
      </c>
      <c r="M133" s="38">
        <f t="shared" ca="1" si="90"/>
        <v>13342.559849665829</v>
      </c>
      <c r="N133" s="38">
        <f t="shared" ca="1" si="90"/>
        <v>14264.523362530868</v>
      </c>
      <c r="O133" s="38">
        <f t="shared" ca="1" si="90"/>
        <v>15322.983579342364</v>
      </c>
      <c r="P133" s="38">
        <f t="shared" ca="1" si="90"/>
        <v>16316.766889506616</v>
      </c>
      <c r="Q133" s="38">
        <f t="shared" ca="1" si="90"/>
        <v>17328.015500660647</v>
      </c>
      <c r="R133" s="38">
        <f t="shared" ca="1" si="90"/>
        <v>18284.678210084527</v>
      </c>
      <c r="S133" s="38">
        <f t="shared" ca="1" si="90"/>
        <v>19194.956177157856</v>
      </c>
      <c r="T133" s="38">
        <f t="shared" ca="1" si="90"/>
        <v>20023.95900774347</v>
      </c>
      <c r="U133" s="38">
        <f t="shared" ca="1" si="90"/>
        <v>20760.256624722042</v>
      </c>
    </row>
    <row r="134" spans="2:21" s="39" customFormat="1" ht="16" customHeight="1" x14ac:dyDescent="0.2">
      <c r="B134" s="39" t="s">
        <v>48</v>
      </c>
      <c r="E134" s="112">
        <f t="shared" ref="E134:U134" si="91">E76</f>
        <v>0.81575777046020403</v>
      </c>
      <c r="F134" s="112">
        <f t="shared" si="91"/>
        <v>0.81897393525125817</v>
      </c>
      <c r="G134" s="112">
        <f t="shared" si="91"/>
        <v>1.1955216769890424</v>
      </c>
      <c r="H134" s="112">
        <f t="shared" si="91"/>
        <v>1.5126556300451499</v>
      </c>
      <c r="I134" s="112">
        <f t="shared" si="91"/>
        <v>1.0179521876409563</v>
      </c>
      <c r="J134" s="113">
        <f t="shared" si="91"/>
        <v>1.0369816959282778</v>
      </c>
      <c r="K134" s="112">
        <f t="shared" ca="1" si="91"/>
        <v>1.0269458100165274</v>
      </c>
      <c r="L134" s="112">
        <f t="shared" ca="1" si="91"/>
        <v>1.0318224650813737</v>
      </c>
      <c r="M134" s="112">
        <f t="shared" ca="1" si="91"/>
        <v>1.0293502866821609</v>
      </c>
      <c r="N134" s="112">
        <f t="shared" ca="1" si="91"/>
        <v>1.0305777357036547</v>
      </c>
      <c r="O134" s="112">
        <f t="shared" ca="1" si="91"/>
        <v>1.0299618737173448</v>
      </c>
      <c r="P134" s="112">
        <f t="shared" ca="1" si="91"/>
        <v>1.0302692675450946</v>
      </c>
      <c r="Q134" s="112">
        <f t="shared" ca="1" si="91"/>
        <v>1.030115436690956</v>
      </c>
      <c r="R134" s="112">
        <f t="shared" ca="1" si="91"/>
        <v>1.030192318589169</v>
      </c>
      <c r="S134" s="112">
        <f t="shared" ca="1" si="91"/>
        <v>1.0301538692633281</v>
      </c>
      <c r="T134" s="112">
        <f t="shared" ca="1" si="91"/>
        <v>1.0301730918313805</v>
      </c>
      <c r="U134" s="112">
        <f t="shared" ca="1" si="91"/>
        <v>1.0301634800237227</v>
      </c>
    </row>
    <row r="135" spans="2:21" ht="16" customHeight="1" x14ac:dyDescent="0.2">
      <c r="B135" s="5" t="s">
        <v>76</v>
      </c>
      <c r="E135" s="38">
        <f t="shared" ref="E135:U136" si="92">E62</f>
        <v>61344</v>
      </c>
      <c r="F135" s="38">
        <f t="shared" si="92"/>
        <v>70898</v>
      </c>
      <c r="G135" s="38">
        <f t="shared" si="92"/>
        <v>63930</v>
      </c>
      <c r="H135" s="38">
        <f t="shared" si="92"/>
        <v>66288</v>
      </c>
      <c r="I135" s="38">
        <f t="shared" si="92"/>
        <v>108949</v>
      </c>
      <c r="J135" s="111">
        <f t="shared" si="92"/>
        <v>119437</v>
      </c>
      <c r="K135" s="38">
        <f t="shared" ca="1" si="92"/>
        <v>118931.73731704264</v>
      </c>
      <c r="L135" s="38">
        <f t="shared" ca="1" si="92"/>
        <v>130138.55284009305</v>
      </c>
      <c r="M135" s="38">
        <f t="shared" ca="1" si="92"/>
        <v>143059.02522476876</v>
      </c>
      <c r="N135" s="38">
        <f t="shared" ca="1" si="92"/>
        <v>158078.27659932236</v>
      </c>
      <c r="O135" s="38">
        <f t="shared" ca="1" si="92"/>
        <v>173868.19818159126</v>
      </c>
      <c r="P135" s="38">
        <f t="shared" ca="1" si="92"/>
        <v>187285.03364795426</v>
      </c>
      <c r="Q135" s="38">
        <f t="shared" ca="1" si="92"/>
        <v>200736.05359860644</v>
      </c>
      <c r="R135" s="38">
        <f t="shared" ca="1" si="92"/>
        <v>213992.98528998083</v>
      </c>
      <c r="S135" s="38">
        <f t="shared" ca="1" si="92"/>
        <v>226807.78363270915</v>
      </c>
      <c r="T135" s="38">
        <f t="shared" ca="1" si="92"/>
        <v>238921.98240361709</v>
      </c>
      <c r="U135" s="38">
        <f t="shared" ca="1" si="92"/>
        <v>250077.85187562075</v>
      </c>
    </row>
    <row r="136" spans="2:21" s="39" customFormat="1" ht="16" customHeight="1" x14ac:dyDescent="0.2">
      <c r="B136" s="39" t="s">
        <v>44</v>
      </c>
      <c r="E136" s="40">
        <f t="shared" si="92"/>
        <v>0.26760428208729942</v>
      </c>
      <c r="F136" s="40">
        <f t="shared" si="92"/>
        <v>0.26694026619477024</v>
      </c>
      <c r="G136" s="40">
        <f t="shared" si="92"/>
        <v>0.24572017188496928</v>
      </c>
      <c r="H136" s="40">
        <f t="shared" si="92"/>
        <v>0.24147314354406862</v>
      </c>
      <c r="I136" s="40">
        <f t="shared" si="92"/>
        <v>0.29782377527561593</v>
      </c>
      <c r="J136" s="41">
        <f t="shared" si="92"/>
        <v>0.30288744395528594</v>
      </c>
      <c r="K136" s="40">
        <f t="shared" ca="1" si="92"/>
        <v>0.29545373649623774</v>
      </c>
      <c r="L136" s="40">
        <f t="shared" ca="1" si="92"/>
        <v>0.30409030237217832</v>
      </c>
      <c r="M136" s="40">
        <f t="shared" ca="1" si="92"/>
        <v>0.31272686824811891</v>
      </c>
      <c r="N136" s="40">
        <f t="shared" ca="1" si="92"/>
        <v>0.32136343412405949</v>
      </c>
      <c r="O136" s="40">
        <f t="shared" ca="1" si="92"/>
        <v>0.33</v>
      </c>
      <c r="P136" s="40">
        <f t="shared" ca="1" si="92"/>
        <v>0.33333333333333337</v>
      </c>
      <c r="Q136" s="40">
        <f t="shared" ca="1" si="92"/>
        <v>0.33666666666666667</v>
      </c>
      <c r="R136" s="40">
        <f t="shared" ca="1" si="92"/>
        <v>0.33999999999999997</v>
      </c>
      <c r="S136" s="40">
        <f t="shared" ca="1" si="92"/>
        <v>0.34333333333333327</v>
      </c>
      <c r="T136" s="40">
        <f t="shared" ca="1" si="92"/>
        <v>0.34666666666666657</v>
      </c>
      <c r="U136" s="40">
        <f t="shared" ca="1" si="92"/>
        <v>0.35</v>
      </c>
    </row>
    <row r="137" spans="2:21" ht="16" customHeight="1" x14ac:dyDescent="0.2">
      <c r="B137" s="5" t="s">
        <v>29</v>
      </c>
      <c r="E137" s="38">
        <f t="shared" ref="E137:U138" si="93">E69</f>
        <v>15738</v>
      </c>
      <c r="F137" s="38">
        <f t="shared" si="93"/>
        <v>13372</v>
      </c>
      <c r="G137" s="38">
        <f t="shared" si="93"/>
        <v>10481</v>
      </c>
      <c r="H137" s="38">
        <f t="shared" si="93"/>
        <v>9680</v>
      </c>
      <c r="I137" s="38">
        <f t="shared" si="93"/>
        <v>14527</v>
      </c>
      <c r="J137" s="111">
        <f t="shared" si="93"/>
        <v>19300</v>
      </c>
      <c r="K137" s="38">
        <f t="shared" ca="1" si="93"/>
        <v>19287.956323369603</v>
      </c>
      <c r="L137" s="38">
        <f t="shared" ca="1" si="93"/>
        <v>21727.806193279888</v>
      </c>
      <c r="M137" s="38">
        <f t="shared" ca="1" si="93"/>
        <v>24569.151205974322</v>
      </c>
      <c r="N137" s="38">
        <f t="shared" ca="1" si="93"/>
        <v>27904.560359229941</v>
      </c>
      <c r="O137" s="38">
        <f t="shared" ca="1" si="93"/>
        <v>31523.350701123432</v>
      </c>
      <c r="P137" s="38">
        <f t="shared" ca="1" si="93"/>
        <v>34851.562607810898</v>
      </c>
      <c r="Q137" s="38">
        <f t="shared" ca="1" si="93"/>
        <v>38314.626807852255</v>
      </c>
      <c r="R137" s="38">
        <f t="shared" ca="1" si="93"/>
        <v>41868.371496560234</v>
      </c>
      <c r="S137" s="38">
        <f t="shared" ca="1" si="93"/>
        <v>45460.295089770916</v>
      </c>
      <c r="T137" s="38">
        <f t="shared" ca="1" si="93"/>
        <v>49031.012468335844</v>
      </c>
      <c r="U137" s="38">
        <f t="shared" ca="1" si="93"/>
        <v>52516.348893880357</v>
      </c>
    </row>
    <row r="138" spans="2:21" s="39" customFormat="1" ht="16" customHeight="1" x14ac:dyDescent="0.2">
      <c r="B138" s="39" t="s">
        <v>45</v>
      </c>
      <c r="E138" s="40">
        <f t="shared" si="93"/>
        <v>0.25655320813771521</v>
      </c>
      <c r="F138" s="40">
        <f t="shared" si="93"/>
        <v>0.18860898755959266</v>
      </c>
      <c r="G138" s="40">
        <f t="shared" si="93"/>
        <v>0.16394493977788205</v>
      </c>
      <c r="H138" s="40">
        <f t="shared" si="93"/>
        <v>0.14602944726043929</v>
      </c>
      <c r="I138" s="40">
        <f t="shared" si="93"/>
        <v>0.13333761668303518</v>
      </c>
      <c r="J138" s="41">
        <f t="shared" si="93"/>
        <v>0.16159146663094351</v>
      </c>
      <c r="K138" s="40">
        <f t="shared" si="93"/>
        <v>0.16217669697326184</v>
      </c>
      <c r="L138" s="40">
        <f t="shared" si="93"/>
        <v>0.16695902727593565</v>
      </c>
      <c r="M138" s="40">
        <f t="shared" si="93"/>
        <v>0.17174135757860945</v>
      </c>
      <c r="N138" s="40">
        <f t="shared" si="93"/>
        <v>0.17652368788128325</v>
      </c>
      <c r="O138" s="40">
        <f t="shared" si="93"/>
        <v>0.18130601818395706</v>
      </c>
      <c r="P138" s="40">
        <f t="shared" si="93"/>
        <v>0.18608834848663086</v>
      </c>
      <c r="Q138" s="40">
        <f t="shared" si="93"/>
        <v>0.19087067878930467</v>
      </c>
      <c r="R138" s="40">
        <f t="shared" si="93"/>
        <v>0.19565300909197847</v>
      </c>
      <c r="S138" s="40">
        <f t="shared" si="93"/>
        <v>0.20043533939465227</v>
      </c>
      <c r="T138" s="40">
        <f t="shared" si="93"/>
        <v>0.20521766969732608</v>
      </c>
      <c r="U138" s="40">
        <f t="shared" si="93"/>
        <v>0.21</v>
      </c>
    </row>
    <row r="139" spans="2:21" ht="16" customHeight="1" x14ac:dyDescent="0.2">
      <c r="B139" s="5" t="s">
        <v>46</v>
      </c>
      <c r="E139" s="38">
        <f t="shared" ref="E139:U139" si="94">E72</f>
        <v>45606</v>
      </c>
      <c r="F139" s="38">
        <f t="shared" si="94"/>
        <v>57526</v>
      </c>
      <c r="G139" s="38">
        <f t="shared" si="94"/>
        <v>53449</v>
      </c>
      <c r="H139" s="38">
        <f t="shared" si="94"/>
        <v>56608</v>
      </c>
      <c r="I139" s="38">
        <f t="shared" si="94"/>
        <v>94422</v>
      </c>
      <c r="J139" s="111">
        <f t="shared" si="94"/>
        <v>100137</v>
      </c>
      <c r="K139" s="38">
        <f t="shared" ca="1" si="94"/>
        <v>99643.780993673048</v>
      </c>
      <c r="L139" s="38">
        <f t="shared" ca="1" si="94"/>
        <v>108410.74664681316</v>
      </c>
      <c r="M139" s="38">
        <f t="shared" ca="1" si="94"/>
        <v>118489.87401879443</v>
      </c>
      <c r="N139" s="38">
        <f t="shared" ca="1" si="94"/>
        <v>130173.71624009241</v>
      </c>
      <c r="O139" s="38">
        <f t="shared" ca="1" si="94"/>
        <v>142344.84748046781</v>
      </c>
      <c r="P139" s="38">
        <f t="shared" ca="1" si="94"/>
        <v>152433.47104014337</v>
      </c>
      <c r="Q139" s="38">
        <f t="shared" ca="1" si="94"/>
        <v>162421.42679075419</v>
      </c>
      <c r="R139" s="38">
        <f t="shared" ca="1" si="94"/>
        <v>172124.61379342061</v>
      </c>
      <c r="S139" s="38">
        <f t="shared" ca="1" si="94"/>
        <v>181347.48854293823</v>
      </c>
      <c r="T139" s="38">
        <f t="shared" ca="1" si="94"/>
        <v>189890.96993528126</v>
      </c>
      <c r="U139" s="38">
        <f t="shared" ca="1" si="94"/>
        <v>197561.5029817404</v>
      </c>
    </row>
    <row r="140" spans="2:21" ht="16" customHeight="1" x14ac:dyDescent="0.2">
      <c r="B140" s="5" t="s">
        <v>77</v>
      </c>
      <c r="E140" s="38">
        <f>E133</f>
        <v>10157</v>
      </c>
      <c r="F140" s="38">
        <f t="shared" ref="F140:U140" si="95">F133</f>
        <v>10903</v>
      </c>
      <c r="G140" s="38">
        <f t="shared" si="95"/>
        <v>12547</v>
      </c>
      <c r="H140" s="38">
        <f t="shared" si="95"/>
        <v>11056</v>
      </c>
      <c r="I140" s="38">
        <f t="shared" si="95"/>
        <v>11284</v>
      </c>
      <c r="J140" s="111">
        <f t="shared" si="95"/>
        <v>11104</v>
      </c>
      <c r="K140" s="38">
        <f t="shared" ca="1" si="95"/>
        <v>11875.980405823506</v>
      </c>
      <c r="L140" s="38">
        <f t="shared" ca="1" si="95"/>
        <v>12338.512629185141</v>
      </c>
      <c r="M140" s="38">
        <f t="shared" ca="1" si="95"/>
        <v>13342.559849665829</v>
      </c>
      <c r="N140" s="38">
        <f t="shared" ca="1" si="95"/>
        <v>14264.523362530868</v>
      </c>
      <c r="O140" s="38">
        <f t="shared" ca="1" si="95"/>
        <v>15322.983579342364</v>
      </c>
      <c r="P140" s="38">
        <f t="shared" ca="1" si="95"/>
        <v>16316.766889506616</v>
      </c>
      <c r="Q140" s="38">
        <f t="shared" ca="1" si="95"/>
        <v>17328.015500660647</v>
      </c>
      <c r="R140" s="38">
        <f t="shared" ca="1" si="95"/>
        <v>18284.678210084527</v>
      </c>
      <c r="S140" s="38">
        <f t="shared" ca="1" si="95"/>
        <v>19194.956177157856</v>
      </c>
      <c r="T140" s="38">
        <f t="shared" ca="1" si="95"/>
        <v>20023.95900774347</v>
      </c>
      <c r="U140" s="38">
        <f t="shared" ca="1" si="95"/>
        <v>20760.256624722042</v>
      </c>
    </row>
    <row r="141" spans="2:21" ht="16" customHeight="1" x14ac:dyDescent="0.2">
      <c r="B141" s="5" t="s">
        <v>78</v>
      </c>
      <c r="E141" s="38">
        <f t="shared" ref="E141:U141" si="96">E78</f>
        <v>12451</v>
      </c>
      <c r="F141" s="38">
        <f t="shared" si="96"/>
        <v>13313</v>
      </c>
      <c r="G141" s="38">
        <f t="shared" si="96"/>
        <v>10495</v>
      </c>
      <c r="H141" s="38">
        <f t="shared" si="96"/>
        <v>7309</v>
      </c>
      <c r="I141" s="38">
        <f t="shared" si="96"/>
        <v>11085</v>
      </c>
      <c r="J141" s="111">
        <f t="shared" si="96"/>
        <v>10708</v>
      </c>
      <c r="K141" s="38">
        <f t="shared" ca="1" si="96"/>
        <v>11564.369112750337</v>
      </c>
      <c r="L141" s="38">
        <f t="shared" ca="1" si="96"/>
        <v>11957.980221153719</v>
      </c>
      <c r="M141" s="38">
        <f t="shared" ca="1" si="96"/>
        <v>12962.11797120303</v>
      </c>
      <c r="N141" s="38">
        <f t="shared" ca="1" si="96"/>
        <v>13841.288112818953</v>
      </c>
      <c r="O141" s="38">
        <f t="shared" ca="1" si="96"/>
        <v>14877.233779575312</v>
      </c>
      <c r="P141" s="38">
        <f t="shared" ca="1" si="96"/>
        <v>15837.380967779314</v>
      </c>
      <c r="Q141" s="38">
        <f t="shared" ca="1" si="96"/>
        <v>16821.430767335652</v>
      </c>
      <c r="R141" s="38">
        <f t="shared" ca="1" si="96"/>
        <v>17748.800762876086</v>
      </c>
      <c r="S141" s="38">
        <f t="shared" ca="1" si="96"/>
        <v>18633.096229483013</v>
      </c>
      <c r="T141" s="38">
        <f t="shared" ca="1" si="96"/>
        <v>19437.470427562872</v>
      </c>
      <c r="U141" s="38">
        <f t="shared" ca="1" si="96"/>
        <v>20152.39039947715</v>
      </c>
    </row>
    <row r="142" spans="2:21" ht="16" customHeight="1" x14ac:dyDescent="0.2">
      <c r="B142" s="5" t="s">
        <v>79</v>
      </c>
      <c r="E142" s="38">
        <f t="shared" ref="E142:U142" si="97">E81</f>
        <v>-190</v>
      </c>
      <c r="F142" s="38">
        <f t="shared" si="97"/>
        <v>-2266</v>
      </c>
      <c r="G142" s="38">
        <f t="shared" si="97"/>
        <v>2927</v>
      </c>
      <c r="H142" s="38">
        <f t="shared" si="97"/>
        <v>-10177</v>
      </c>
      <c r="I142" s="38">
        <f t="shared" si="97"/>
        <v>1250</v>
      </c>
      <c r="J142" s="111">
        <f t="shared" si="97"/>
        <v>-7965</v>
      </c>
      <c r="K142" s="38">
        <f t="shared" ca="1" si="97"/>
        <v>-3486.3282637000902</v>
      </c>
      <c r="L142" s="38">
        <f t="shared" ca="1" si="97"/>
        <v>-4265.1250607730553</v>
      </c>
      <c r="M142" s="38">
        <f t="shared" ca="1" si="97"/>
        <v>-4668.4543046069439</v>
      </c>
      <c r="N142" s="38">
        <f t="shared" ca="1" si="97"/>
        <v>-6778.9236551068061</v>
      </c>
      <c r="O142" s="38">
        <f t="shared" ca="1" si="97"/>
        <v>-5215.6327613585645</v>
      </c>
      <c r="P142" s="38">
        <f t="shared" ca="1" si="97"/>
        <v>-6808.8896897402437</v>
      </c>
      <c r="Q142" s="38">
        <f t="shared" ca="1" si="97"/>
        <v>-6422.6777714476175</v>
      </c>
      <c r="R142" s="38">
        <f t="shared" ca="1" si="97"/>
        <v>-7001.1591914721412</v>
      </c>
      <c r="S142" s="38">
        <f t="shared" ca="1" si="97"/>
        <v>-7475.8201475100332</v>
      </c>
      <c r="T142" s="38">
        <f t="shared" ca="1" si="97"/>
        <v>-7927.0554525220523</v>
      </c>
      <c r="U142" s="38">
        <f t="shared" ca="1" si="97"/>
        <v>-7946.7412992547825</v>
      </c>
    </row>
    <row r="143" spans="2:21" ht="16" customHeight="1" x14ac:dyDescent="0.2">
      <c r="J143" s="42"/>
    </row>
    <row r="144" spans="2:21" ht="16" customHeight="1" x14ac:dyDescent="0.2">
      <c r="B144" s="89" t="s">
        <v>80</v>
      </c>
      <c r="C144" s="89"/>
      <c r="D144" s="89"/>
      <c r="E144" s="88">
        <f>E139+E140-E141-E142</f>
        <v>43502</v>
      </c>
      <c r="F144" s="88">
        <f t="shared" ref="F144:U144" si="98">F139+F140-F141-F142</f>
        <v>57382</v>
      </c>
      <c r="G144" s="88">
        <f t="shared" si="98"/>
        <v>52574</v>
      </c>
      <c r="H144" s="88">
        <f t="shared" si="98"/>
        <v>70532</v>
      </c>
      <c r="I144" s="88">
        <f t="shared" si="98"/>
        <v>93371</v>
      </c>
      <c r="J144" s="114">
        <f t="shared" si="98"/>
        <v>108498</v>
      </c>
      <c r="K144" s="88">
        <f t="shared" ca="1" si="98"/>
        <v>103441.72055044631</v>
      </c>
      <c r="L144" s="88">
        <f t="shared" ca="1" si="98"/>
        <v>113056.40411561765</v>
      </c>
      <c r="M144" s="88">
        <f t="shared" ca="1" si="98"/>
        <v>123538.77020186419</v>
      </c>
      <c r="N144" s="88">
        <f t="shared" ca="1" si="98"/>
        <v>137375.87514491114</v>
      </c>
      <c r="O144" s="88">
        <f t="shared" ca="1" si="98"/>
        <v>148006.23004159343</v>
      </c>
      <c r="P144" s="88">
        <f t="shared" ca="1" si="98"/>
        <v>159721.74665161091</v>
      </c>
      <c r="Q144" s="88">
        <f t="shared" ca="1" si="98"/>
        <v>169350.6892955268</v>
      </c>
      <c r="R144" s="88">
        <f t="shared" ca="1" si="98"/>
        <v>179661.65043210119</v>
      </c>
      <c r="S144" s="88">
        <f t="shared" ca="1" si="98"/>
        <v>189385.16863812308</v>
      </c>
      <c r="T144" s="88">
        <f t="shared" ca="1" si="98"/>
        <v>198404.51396798392</v>
      </c>
      <c r="U144" s="88">
        <f t="shared" ca="1" si="98"/>
        <v>206116.11050624007</v>
      </c>
    </row>
    <row r="145" spans="5:5" ht="16" customHeight="1" x14ac:dyDescent="0.2">
      <c r="E145" s="38"/>
    </row>
  </sheetData>
  <sheetProtection algorithmName="SHA-512" hashValue="KO1yitviyb/p48sFnj05fqBNhUIPy2H6BM8u9N5/IXnRPY6Wh8kawGizLQeKNFGdp+wb+aZIKC5Pyg9mx8mFig==" saltValue="PlBsmxb/Cgb4QQNn08l/DA==" spinCount="100000" sheet="1" objects="1" scenarios="1" selectLockedCells="1"/>
  <mergeCells count="4">
    <mergeCell ref="D118:H119"/>
    <mergeCell ref="L118:P119"/>
    <mergeCell ref="B121:B125"/>
    <mergeCell ref="J121:J125"/>
  </mergeCells>
  <pageMargins left="0.7" right="0.7" top="0.75" bottom="0.75" header="0.3" footer="0.3"/>
  <ignoredErrors>
    <ignoredError sqref="E40:G40 H40:J40" formulaRange="1"/>
    <ignoredError sqref="T22" unlockedFormula="1"/>
    <ignoredError sqref="P66:U66" 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3069-43AE-214B-9B25-A2AD4670310C}">
  <dimension ref="B1:FD51"/>
  <sheetViews>
    <sheetView zoomScaleNormal="100" workbookViewId="0">
      <pane xSplit="2" ySplit="2" topLeftCell="K3" activePane="bottomRight" state="frozen"/>
      <selection activeCell="U46" sqref="U46"/>
      <selection pane="topRight" activeCell="U46" sqref="U46"/>
      <selection pane="bottomLeft" activeCell="U46" sqref="U46"/>
      <selection pane="bottomRight" activeCell="R24" sqref="R24"/>
    </sheetView>
  </sheetViews>
  <sheetFormatPr baseColWidth="10" defaultRowHeight="16" x14ac:dyDescent="0.2"/>
  <cols>
    <col min="2" max="2" width="35.33203125" customWidth="1"/>
    <col min="3" max="6" width="10.83203125" customWidth="1"/>
    <col min="29" max="37" width="10.83203125" hidden="1" customWidth="1"/>
    <col min="40" max="40" width="10.83203125" customWidth="1"/>
  </cols>
  <sheetData>
    <row r="1" spans="2:38" x14ac:dyDescent="0.2">
      <c r="B1" s="61" t="e" vm="1">
        <v>#VALUE!</v>
      </c>
      <c r="C1" s="61"/>
      <c r="D1" s="61"/>
      <c r="E1" s="61"/>
      <c r="F1" s="61"/>
      <c r="G1" s="115"/>
      <c r="H1" s="115"/>
      <c r="I1" s="115"/>
      <c r="J1" s="115"/>
      <c r="K1" s="115"/>
      <c r="L1" s="115"/>
      <c r="M1" s="115"/>
      <c r="N1" s="116">
        <v>44834</v>
      </c>
      <c r="O1" s="116">
        <v>44926</v>
      </c>
      <c r="P1" s="116"/>
      <c r="Q1" s="115"/>
      <c r="R1" s="115"/>
      <c r="S1" s="115"/>
    </row>
    <row r="2" spans="2:38" x14ac:dyDescent="0.2">
      <c r="B2" s="117" t="s">
        <v>81</v>
      </c>
      <c r="C2" s="118" t="s">
        <v>143</v>
      </c>
      <c r="D2" s="118" t="s">
        <v>144</v>
      </c>
      <c r="E2" s="118" t="s">
        <v>145</v>
      </c>
      <c r="F2" s="118" t="s">
        <v>146</v>
      </c>
      <c r="G2" s="118" t="s">
        <v>82</v>
      </c>
      <c r="H2" s="118" t="s">
        <v>83</v>
      </c>
      <c r="I2" s="118" t="s">
        <v>84</v>
      </c>
      <c r="J2" s="118" t="s">
        <v>85</v>
      </c>
      <c r="K2" s="118" t="s">
        <v>86</v>
      </c>
      <c r="L2" s="118" t="s">
        <v>87</v>
      </c>
      <c r="M2" s="118" t="s">
        <v>88</v>
      </c>
      <c r="N2" s="118" t="s">
        <v>89</v>
      </c>
      <c r="O2" s="118" t="s">
        <v>90</v>
      </c>
      <c r="P2" s="118" t="s">
        <v>91</v>
      </c>
      <c r="Q2" s="118" t="s">
        <v>92</v>
      </c>
      <c r="R2" s="118" t="s">
        <v>93</v>
      </c>
      <c r="S2" s="115"/>
      <c r="V2" s="115" t="s">
        <v>94</v>
      </c>
      <c r="W2" s="115" t="s">
        <v>95</v>
      </c>
      <c r="X2" s="119">
        <v>2019</v>
      </c>
      <c r="Y2" s="119">
        <f>X2+1</f>
        <v>2020</v>
      </c>
      <c r="Z2" s="119">
        <f t="shared" ref="Z2:AK2" si="0">Y2+1</f>
        <v>2021</v>
      </c>
      <c r="AA2" s="119">
        <f t="shared" si="0"/>
        <v>2022</v>
      </c>
      <c r="AB2" s="120">
        <v>2023</v>
      </c>
      <c r="AC2" s="119">
        <f t="shared" si="0"/>
        <v>2024</v>
      </c>
      <c r="AD2" s="119">
        <f t="shared" si="0"/>
        <v>2025</v>
      </c>
      <c r="AE2" s="119">
        <f t="shared" si="0"/>
        <v>2026</v>
      </c>
      <c r="AF2" s="119">
        <f t="shared" si="0"/>
        <v>2027</v>
      </c>
      <c r="AG2" s="119">
        <f t="shared" si="0"/>
        <v>2028</v>
      </c>
      <c r="AH2" s="119">
        <f t="shared" si="0"/>
        <v>2029</v>
      </c>
      <c r="AI2" s="119">
        <f t="shared" si="0"/>
        <v>2030</v>
      </c>
      <c r="AJ2" s="119">
        <f t="shared" si="0"/>
        <v>2031</v>
      </c>
      <c r="AK2" s="119">
        <f t="shared" si="0"/>
        <v>2032</v>
      </c>
    </row>
    <row r="3" spans="2:38" x14ac:dyDescent="0.2">
      <c r="B3" s="121" t="s">
        <v>115</v>
      </c>
      <c r="C3" s="148">
        <v>55957</v>
      </c>
      <c r="D3" s="148">
        <v>28962</v>
      </c>
      <c r="E3" s="148">
        <v>26418</v>
      </c>
      <c r="F3" s="148">
        <v>26444</v>
      </c>
      <c r="G3" s="148">
        <v>65597</v>
      </c>
      <c r="H3" s="148">
        <v>47938</v>
      </c>
      <c r="I3" s="148">
        <v>39570</v>
      </c>
      <c r="J3" s="148">
        <v>38868</v>
      </c>
      <c r="K3" s="148">
        <v>71628</v>
      </c>
      <c r="L3" s="148">
        <v>50570</v>
      </c>
      <c r="M3" s="148">
        <v>40665</v>
      </c>
      <c r="N3" s="121">
        <f>205489-M3-L3-K3</f>
        <v>42626</v>
      </c>
      <c r="O3" s="121">
        <f t="shared" ref="O3:R6" si="1">K3*(1+O30)</f>
        <v>71628</v>
      </c>
      <c r="P3" s="121">
        <f t="shared" si="1"/>
        <v>51581.4</v>
      </c>
      <c r="Q3" s="121">
        <f t="shared" si="1"/>
        <v>41884.950000000004</v>
      </c>
      <c r="R3" s="121">
        <f t="shared" si="1"/>
        <v>43904.78</v>
      </c>
      <c r="S3" s="121"/>
      <c r="V3" s="121">
        <v>141319</v>
      </c>
      <c r="W3" s="148">
        <v>164888</v>
      </c>
      <c r="X3" s="148">
        <v>142381</v>
      </c>
      <c r="Y3" s="121">
        <v>137781</v>
      </c>
      <c r="Z3" s="121">
        <v>191973</v>
      </c>
      <c r="AA3" s="121">
        <v>205489</v>
      </c>
      <c r="AB3" s="121">
        <f>SUM(O3:R3)</f>
        <v>208999.13</v>
      </c>
      <c r="AC3" s="121">
        <f t="shared" ref="AC3:AK3" si="2">AB3*(1+AC31)</f>
        <v>238259.00820000004</v>
      </c>
      <c r="AD3" s="121">
        <f t="shared" si="2"/>
        <v>276380.44951200002</v>
      </c>
      <c r="AE3" s="121">
        <f t="shared" si="2"/>
        <v>315073.71244368004</v>
      </c>
      <c r="AF3" s="121">
        <f t="shared" si="2"/>
        <v>352882.55793692166</v>
      </c>
      <c r="AG3" s="121">
        <f t="shared" si="2"/>
        <v>395228.46488935227</v>
      </c>
      <c r="AH3" s="121">
        <f t="shared" si="2"/>
        <v>438703.59602718108</v>
      </c>
      <c r="AI3" s="121">
        <f t="shared" si="2"/>
        <v>482573.95562989922</v>
      </c>
      <c r="AJ3" s="121">
        <f t="shared" si="2"/>
        <v>526005.61163659021</v>
      </c>
      <c r="AK3" s="121">
        <f t="shared" si="2"/>
        <v>568086.06056751742</v>
      </c>
      <c r="AL3" s="122"/>
    </row>
    <row r="4" spans="2:38" x14ac:dyDescent="0.2">
      <c r="B4" s="121" t="s">
        <v>116</v>
      </c>
      <c r="C4" s="148">
        <v>7160</v>
      </c>
      <c r="D4" s="148">
        <v>5351</v>
      </c>
      <c r="E4" s="148">
        <v>7079</v>
      </c>
      <c r="F4" s="148">
        <v>9032</v>
      </c>
      <c r="G4" s="148">
        <v>8675</v>
      </c>
      <c r="H4" s="148">
        <v>9102</v>
      </c>
      <c r="I4" s="148">
        <v>8235</v>
      </c>
      <c r="J4" s="148">
        <v>9178</v>
      </c>
      <c r="K4" s="148">
        <v>10852</v>
      </c>
      <c r="L4" s="148">
        <v>10435</v>
      </c>
      <c r="M4" s="148">
        <v>7382</v>
      </c>
      <c r="N4" s="121">
        <f>40177-M4-L4-K4</f>
        <v>11508</v>
      </c>
      <c r="O4" s="121">
        <f t="shared" si="1"/>
        <v>11720.160000000002</v>
      </c>
      <c r="P4" s="121">
        <f t="shared" si="1"/>
        <v>10852.4</v>
      </c>
      <c r="Q4" s="121">
        <f t="shared" si="1"/>
        <v>7824.92</v>
      </c>
      <c r="R4" s="121">
        <f t="shared" si="1"/>
        <v>12313.560000000001</v>
      </c>
      <c r="S4" s="121"/>
      <c r="V4" s="121">
        <v>19222</v>
      </c>
      <c r="W4" s="148">
        <v>25198</v>
      </c>
      <c r="X4" s="148">
        <v>25740</v>
      </c>
      <c r="Y4" s="121">
        <v>28622</v>
      </c>
      <c r="Z4" s="121">
        <v>35190</v>
      </c>
      <c r="AA4" s="121">
        <v>40177</v>
      </c>
      <c r="AB4" s="121">
        <f t="shared" ref="AB4:AB6" si="3">SUM(O4:R4)</f>
        <v>42711.040000000008</v>
      </c>
      <c r="AC4" s="121">
        <f t="shared" ref="AC4:AK4" si="4">AB4*(1+AC32)</f>
        <v>46127.923200000012</v>
      </c>
      <c r="AD4" s="121">
        <f t="shared" si="4"/>
        <v>51663.273984000021</v>
      </c>
      <c r="AE4" s="121">
        <f t="shared" si="4"/>
        <v>55796.335902720028</v>
      </c>
      <c r="AF4" s="121">
        <f t="shared" si="4"/>
        <v>61101.809154655632</v>
      </c>
      <c r="AG4" s="121">
        <f t="shared" si="4"/>
        <v>65378.935795481528</v>
      </c>
      <c r="AH4" s="121">
        <f t="shared" si="4"/>
        <v>69301.671943210429</v>
      </c>
      <c r="AI4" s="121">
        <f t="shared" si="4"/>
        <v>72766.755540370956</v>
      </c>
      <c r="AJ4" s="121">
        <f t="shared" si="4"/>
        <v>76405.093317389503</v>
      </c>
      <c r="AK4" s="121">
        <f t="shared" si="4"/>
        <v>80225.34798325898</v>
      </c>
      <c r="AL4" s="122"/>
    </row>
    <row r="5" spans="2:38" x14ac:dyDescent="0.2">
      <c r="B5" s="121" t="s">
        <v>117</v>
      </c>
      <c r="C5" s="148">
        <v>5977</v>
      </c>
      <c r="D5" s="148">
        <v>4368</v>
      </c>
      <c r="E5" s="148">
        <v>6582</v>
      </c>
      <c r="F5" s="148">
        <v>6797</v>
      </c>
      <c r="G5" s="148">
        <v>8435</v>
      </c>
      <c r="H5" s="148">
        <v>7807</v>
      </c>
      <c r="I5" s="148">
        <v>7368</v>
      </c>
      <c r="J5" s="148">
        <v>8252</v>
      </c>
      <c r="K5" s="148">
        <v>7248</v>
      </c>
      <c r="L5" s="148">
        <v>7646</v>
      </c>
      <c r="M5" s="148">
        <v>7224</v>
      </c>
      <c r="N5" s="121">
        <f>29292-M5-L5-K5</f>
        <v>7174</v>
      </c>
      <c r="O5" s="121">
        <f t="shared" si="1"/>
        <v>5798.4000000000005</v>
      </c>
      <c r="P5" s="121">
        <f t="shared" si="1"/>
        <v>6728.4800000000005</v>
      </c>
      <c r="Q5" s="121">
        <f t="shared" si="1"/>
        <v>6935.04</v>
      </c>
      <c r="R5" s="121">
        <f t="shared" si="1"/>
        <v>7317.4800000000005</v>
      </c>
      <c r="S5" s="121"/>
      <c r="V5" s="121">
        <v>25850</v>
      </c>
      <c r="W5" s="148">
        <v>18380</v>
      </c>
      <c r="X5" s="148">
        <v>21280</v>
      </c>
      <c r="Y5" s="121">
        <v>23724</v>
      </c>
      <c r="Z5" s="121">
        <v>31862</v>
      </c>
      <c r="AA5" s="121">
        <v>29292</v>
      </c>
      <c r="AB5" s="121">
        <f t="shared" si="3"/>
        <v>26779.4</v>
      </c>
      <c r="AC5" s="121">
        <f t="shared" ref="AC5:AK5" si="5">AB5*(1+AC33)</f>
        <v>25440.43</v>
      </c>
      <c r="AD5" s="121">
        <f t="shared" si="5"/>
        <v>24931.6214</v>
      </c>
      <c r="AE5" s="121">
        <f t="shared" si="5"/>
        <v>25180.937613999999</v>
      </c>
      <c r="AF5" s="121">
        <f t="shared" si="5"/>
        <v>25516.683448853335</v>
      </c>
      <c r="AG5" s="121">
        <f t="shared" si="5"/>
        <v>25941.961506334221</v>
      </c>
      <c r="AH5" s="121">
        <f t="shared" si="5"/>
        <v>26460.800736460904</v>
      </c>
      <c r="AI5" s="121">
        <f t="shared" si="5"/>
        <v>27078.21942031166</v>
      </c>
      <c r="AJ5" s="121">
        <f t="shared" si="5"/>
        <v>27890.566002921008</v>
      </c>
      <c r="AK5" s="121">
        <f t="shared" si="5"/>
        <v>28727.282983008641</v>
      </c>
      <c r="AL5" s="122"/>
    </row>
    <row r="6" spans="2:38" x14ac:dyDescent="0.2">
      <c r="B6" s="121" t="s">
        <v>118</v>
      </c>
      <c r="C6" s="148">
        <v>10010</v>
      </c>
      <c r="D6" s="148">
        <v>6284</v>
      </c>
      <c r="E6" s="148">
        <v>6450</v>
      </c>
      <c r="F6" s="148">
        <v>7876</v>
      </c>
      <c r="G6" s="148">
        <v>12971</v>
      </c>
      <c r="H6" s="148">
        <v>7836</v>
      </c>
      <c r="I6" s="148">
        <v>8775</v>
      </c>
      <c r="J6" s="148">
        <v>8785</v>
      </c>
      <c r="K6" s="148">
        <v>14701</v>
      </c>
      <c r="L6" s="148">
        <v>8806</v>
      </c>
      <c r="M6" s="148">
        <v>8084</v>
      </c>
      <c r="N6" s="121">
        <f>41241-M6-L6-K6</f>
        <v>9650</v>
      </c>
      <c r="O6" s="121">
        <f t="shared" si="1"/>
        <v>14995.02</v>
      </c>
      <c r="P6" s="121">
        <f t="shared" si="1"/>
        <v>9422.42</v>
      </c>
      <c r="Q6" s="121">
        <f t="shared" si="1"/>
        <v>8649.880000000001</v>
      </c>
      <c r="R6" s="121">
        <f t="shared" si="1"/>
        <v>10325.5</v>
      </c>
      <c r="S6" s="121"/>
      <c r="V6" s="121">
        <v>12863</v>
      </c>
      <c r="W6" s="148">
        <v>17381</v>
      </c>
      <c r="X6" s="148">
        <v>24482</v>
      </c>
      <c r="Y6" s="121">
        <v>30620</v>
      </c>
      <c r="Z6" s="121">
        <v>38367</v>
      </c>
      <c r="AA6" s="121">
        <v>41241</v>
      </c>
      <c r="AB6" s="121">
        <f t="shared" si="3"/>
        <v>43392.820000000007</v>
      </c>
      <c r="AC6" s="121">
        <f t="shared" ref="AC6:AK6" si="6">AB6*(1+AC34)</f>
        <v>48599.95840000001</v>
      </c>
      <c r="AD6" s="121">
        <f t="shared" si="6"/>
        <v>54431.953408000016</v>
      </c>
      <c r="AE6" s="121">
        <f t="shared" si="6"/>
        <v>60963.787816960023</v>
      </c>
      <c r="AF6" s="121">
        <f t="shared" si="6"/>
        <v>68279.442354995233</v>
      </c>
      <c r="AG6" s="121">
        <f t="shared" si="6"/>
        <v>76472.975437594665</v>
      </c>
      <c r="AH6" s="121">
        <f t="shared" si="6"/>
        <v>85649.732490106035</v>
      </c>
      <c r="AI6" s="121">
        <f t="shared" si="6"/>
        <v>95927.700388918762</v>
      </c>
      <c r="AJ6" s="121">
        <f t="shared" si="6"/>
        <v>107439.02443558902</v>
      </c>
      <c r="AK6" s="121">
        <f t="shared" si="6"/>
        <v>120331.70736785971</v>
      </c>
      <c r="AL6" s="122"/>
    </row>
    <row r="7" spans="2:38" x14ac:dyDescent="0.2">
      <c r="B7" s="121" t="s">
        <v>148</v>
      </c>
      <c r="C7" s="148">
        <f t="shared" ref="C7:R7" si="7">SUM(C4:C6)</f>
        <v>23147</v>
      </c>
      <c r="D7" s="148">
        <f t="shared" si="7"/>
        <v>16003</v>
      </c>
      <c r="E7" s="148">
        <f t="shared" si="7"/>
        <v>20111</v>
      </c>
      <c r="F7" s="148">
        <f t="shared" si="7"/>
        <v>23705</v>
      </c>
      <c r="G7" s="148">
        <f t="shared" si="7"/>
        <v>30081</v>
      </c>
      <c r="H7" s="148">
        <f t="shared" si="7"/>
        <v>24745</v>
      </c>
      <c r="I7" s="148">
        <f t="shared" si="7"/>
        <v>24378</v>
      </c>
      <c r="J7" s="148">
        <f t="shared" si="7"/>
        <v>26215</v>
      </c>
      <c r="K7" s="148">
        <f t="shared" si="7"/>
        <v>32801</v>
      </c>
      <c r="L7" s="148">
        <f t="shared" si="7"/>
        <v>26887</v>
      </c>
      <c r="M7" s="148">
        <f t="shared" si="7"/>
        <v>22690</v>
      </c>
      <c r="N7" s="148">
        <f t="shared" si="7"/>
        <v>28332</v>
      </c>
      <c r="O7" s="148">
        <f t="shared" si="7"/>
        <v>32513.58</v>
      </c>
      <c r="P7" s="148">
        <f t="shared" si="7"/>
        <v>27003.300000000003</v>
      </c>
      <c r="Q7" s="148">
        <f t="shared" si="7"/>
        <v>23409.84</v>
      </c>
      <c r="R7" s="148">
        <f t="shared" si="7"/>
        <v>29956.54</v>
      </c>
      <c r="S7" s="148"/>
      <c r="T7" s="148"/>
      <c r="U7" s="148"/>
      <c r="V7" s="148">
        <f t="shared" ref="V7:AB7" si="8">SUM(V4:V6)</f>
        <v>57935</v>
      </c>
      <c r="W7" s="148">
        <f t="shared" si="8"/>
        <v>60959</v>
      </c>
      <c r="X7" s="148">
        <f t="shared" si="8"/>
        <v>71502</v>
      </c>
      <c r="Y7" s="148">
        <f t="shared" si="8"/>
        <v>82966</v>
      </c>
      <c r="Z7" s="148">
        <f t="shared" si="8"/>
        <v>105419</v>
      </c>
      <c r="AA7" s="148">
        <f t="shared" si="8"/>
        <v>110710</v>
      </c>
      <c r="AB7" s="148">
        <f t="shared" si="8"/>
        <v>112883.26000000001</v>
      </c>
      <c r="AC7" s="121"/>
      <c r="AD7" s="121"/>
      <c r="AE7" s="121"/>
      <c r="AF7" s="121"/>
      <c r="AG7" s="121"/>
      <c r="AH7" s="121"/>
      <c r="AI7" s="121"/>
      <c r="AJ7" s="121"/>
      <c r="AK7" s="121"/>
      <c r="AL7" s="122"/>
    </row>
    <row r="8" spans="2:38" x14ac:dyDescent="0.2">
      <c r="B8" s="121"/>
      <c r="C8" s="148"/>
      <c r="D8" s="148"/>
      <c r="E8" s="148"/>
      <c r="F8" s="148"/>
      <c r="G8" s="148"/>
      <c r="H8" s="148"/>
      <c r="I8" s="148"/>
      <c r="J8" s="148"/>
      <c r="K8" s="148"/>
      <c r="L8" s="148"/>
      <c r="M8" s="148"/>
      <c r="N8" s="121"/>
      <c r="O8" s="121"/>
      <c r="P8" s="121"/>
      <c r="Q8" s="121"/>
      <c r="R8" s="121"/>
      <c r="S8" s="121"/>
      <c r="V8" s="121"/>
      <c r="W8" s="121"/>
      <c r="X8" s="121"/>
      <c r="Y8" s="121"/>
      <c r="Z8" s="121"/>
      <c r="AA8" s="121"/>
      <c r="AB8" s="121"/>
      <c r="AC8" s="121">
        <f t="shared" ref="AC8:AK8" si="9">AB8*(1+AC36)</f>
        <v>0</v>
      </c>
      <c r="AD8" s="121">
        <f t="shared" si="9"/>
        <v>0</v>
      </c>
      <c r="AE8" s="121">
        <f t="shared" si="9"/>
        <v>0</v>
      </c>
      <c r="AF8" s="121">
        <f t="shared" si="9"/>
        <v>0</v>
      </c>
      <c r="AG8" s="121">
        <f t="shared" si="9"/>
        <v>0</v>
      </c>
      <c r="AH8" s="121">
        <f t="shared" si="9"/>
        <v>0</v>
      </c>
      <c r="AI8" s="121">
        <f t="shared" si="9"/>
        <v>0</v>
      </c>
      <c r="AJ8" s="121">
        <f t="shared" si="9"/>
        <v>0</v>
      </c>
      <c r="AK8" s="121">
        <f t="shared" si="9"/>
        <v>0</v>
      </c>
      <c r="AL8" s="122"/>
    </row>
    <row r="9" spans="2:38" x14ac:dyDescent="0.2">
      <c r="B9" s="121" t="s">
        <v>119</v>
      </c>
      <c r="C9" s="121">
        <f t="shared" ref="C9:M9" si="10">C3+SUM(C4:C6)</f>
        <v>79104</v>
      </c>
      <c r="D9" s="121">
        <f t="shared" si="10"/>
        <v>44965</v>
      </c>
      <c r="E9" s="121">
        <f t="shared" si="10"/>
        <v>46529</v>
      </c>
      <c r="F9" s="121">
        <f t="shared" si="10"/>
        <v>50149</v>
      </c>
      <c r="G9" s="121">
        <f t="shared" si="10"/>
        <v>95678</v>
      </c>
      <c r="H9" s="121">
        <f t="shared" si="10"/>
        <v>72683</v>
      </c>
      <c r="I9" s="121">
        <f t="shared" si="10"/>
        <v>63948</v>
      </c>
      <c r="J9" s="121">
        <f t="shared" si="10"/>
        <v>65083</v>
      </c>
      <c r="K9" s="121">
        <f t="shared" si="10"/>
        <v>104429</v>
      </c>
      <c r="L9" s="121">
        <f t="shared" si="10"/>
        <v>77457</v>
      </c>
      <c r="M9" s="121">
        <f t="shared" si="10"/>
        <v>63355</v>
      </c>
      <c r="N9" s="121">
        <f>316199-M9-L9-K9</f>
        <v>70958</v>
      </c>
      <c r="O9" s="121">
        <f>SUM(O3:O6)</f>
        <v>104141.58</v>
      </c>
      <c r="P9" s="121">
        <f>SUM(P3:P6)</f>
        <v>78584.7</v>
      </c>
      <c r="Q9" s="121">
        <f>SUM(Q3:Q6)</f>
        <v>65294.790000000008</v>
      </c>
      <c r="R9" s="121">
        <f>SUM(R3:R6)</f>
        <v>73861.320000000007</v>
      </c>
      <c r="S9" s="121"/>
      <c r="V9" s="121">
        <f>SUM(V3:V6)</f>
        <v>199254</v>
      </c>
      <c r="W9" s="121">
        <v>225847</v>
      </c>
      <c r="X9" s="121">
        <v>213883</v>
      </c>
      <c r="Y9" s="121">
        <v>220747</v>
      </c>
      <c r="Z9" s="121">
        <v>297392</v>
      </c>
      <c r="AA9" s="121">
        <v>316199</v>
      </c>
      <c r="AB9" s="121">
        <f>SUM(O9:R9)</f>
        <v>321882.39</v>
      </c>
      <c r="AC9" s="121">
        <f t="shared" ref="AC9:AK9" si="11">AB9*(1+AC37)</f>
        <v>357289.45290000003</v>
      </c>
      <c r="AD9" s="121">
        <f t="shared" si="11"/>
        <v>396591.29271900008</v>
      </c>
      <c r="AE9" s="121">
        <f t="shared" si="11"/>
        <v>440216.33491809014</v>
      </c>
      <c r="AF9" s="121">
        <f t="shared" si="11"/>
        <v>488640.1317590801</v>
      </c>
      <c r="AG9" s="121">
        <f t="shared" si="11"/>
        <v>542390.54625257896</v>
      </c>
      <c r="AH9" s="121">
        <f t="shared" si="11"/>
        <v>602053.50634036271</v>
      </c>
      <c r="AI9" s="121">
        <f t="shared" si="11"/>
        <v>668279.39203780273</v>
      </c>
      <c r="AJ9" s="121">
        <f t="shared" si="11"/>
        <v>741790.12516196107</v>
      </c>
      <c r="AK9" s="121">
        <f t="shared" si="11"/>
        <v>823387.03892977687</v>
      </c>
      <c r="AL9" s="122"/>
    </row>
    <row r="10" spans="2:38" x14ac:dyDescent="0.2">
      <c r="B10" s="121" t="s">
        <v>120</v>
      </c>
      <c r="C10" s="121">
        <v>12715</v>
      </c>
      <c r="D10" s="121">
        <v>13348</v>
      </c>
      <c r="E10" s="121">
        <v>13156</v>
      </c>
      <c r="F10" s="121">
        <v>14549</v>
      </c>
      <c r="G10" s="121">
        <v>15761</v>
      </c>
      <c r="H10" s="121">
        <v>16901</v>
      </c>
      <c r="I10" s="121">
        <v>17486</v>
      </c>
      <c r="J10" s="121">
        <v>18277</v>
      </c>
      <c r="K10" s="121">
        <v>19516</v>
      </c>
      <c r="L10" s="121">
        <v>19821</v>
      </c>
      <c r="M10" s="121">
        <v>19604</v>
      </c>
      <c r="N10" s="121">
        <f>78129-M10-L10-K10</f>
        <v>19188</v>
      </c>
      <c r="O10" s="121">
        <f>K10*(1+O34)</f>
        <v>19516</v>
      </c>
      <c r="P10" s="121">
        <f>L10*(1+P34)</f>
        <v>20217.420000000002</v>
      </c>
      <c r="Q10" s="121">
        <f>M10*(1+Q34)</f>
        <v>20584.2</v>
      </c>
      <c r="R10" s="121">
        <f>N10*(1+R34)</f>
        <v>20339.280000000002</v>
      </c>
      <c r="S10" s="121"/>
      <c r="V10" s="121">
        <v>29980</v>
      </c>
      <c r="W10" s="121">
        <v>39748</v>
      </c>
      <c r="X10" s="121">
        <v>46291</v>
      </c>
      <c r="Y10" s="121">
        <v>53768</v>
      </c>
      <c r="Z10" s="121">
        <v>68425</v>
      </c>
      <c r="AA10" s="121">
        <v>78129</v>
      </c>
      <c r="AB10" s="121">
        <f>SUM(O10:R10)</f>
        <v>80656.899999999994</v>
      </c>
      <c r="AC10" s="121">
        <f t="shared" ref="AC10:AK10" si="12">AB10*(1+AC38)</f>
        <v>105264.17154785074</v>
      </c>
      <c r="AD10" s="121">
        <f t="shared" si="12"/>
        <v>136463.94077228094</v>
      </c>
      <c r="AE10" s="121">
        <f t="shared" si="12"/>
        <v>176694.68890045246</v>
      </c>
      <c r="AF10" s="121">
        <f t="shared" si="12"/>
        <v>229327.51520183115</v>
      </c>
      <c r="AG10" s="121">
        <f t="shared" si="12"/>
        <v>297791.16704615363</v>
      </c>
      <c r="AH10" s="121">
        <f t="shared" si="12"/>
        <v>386206.77448283194</v>
      </c>
      <c r="AI10" s="121">
        <f t="shared" si="12"/>
        <v>500922.61462629423</v>
      </c>
      <c r="AJ10" s="121">
        <f t="shared" si="12"/>
        <v>649991.20681393356</v>
      </c>
      <c r="AK10" s="121">
        <f t="shared" si="12"/>
        <v>843374.30274719454</v>
      </c>
      <c r="AL10" s="122"/>
    </row>
    <row r="11" spans="2:38" x14ac:dyDescent="0.2">
      <c r="B11" s="125" t="s">
        <v>42</v>
      </c>
      <c r="C11" s="125">
        <f>SUM(C9:C10)</f>
        <v>91819</v>
      </c>
      <c r="D11" s="125">
        <f t="shared" ref="D11:R11" si="13">SUM(D9:D10)</f>
        <v>58313</v>
      </c>
      <c r="E11" s="125">
        <f t="shared" si="13"/>
        <v>59685</v>
      </c>
      <c r="F11" s="125">
        <f t="shared" si="13"/>
        <v>64698</v>
      </c>
      <c r="G11" s="125">
        <f t="shared" si="13"/>
        <v>111439</v>
      </c>
      <c r="H11" s="125">
        <f t="shared" si="13"/>
        <v>89584</v>
      </c>
      <c r="I11" s="125">
        <f t="shared" si="13"/>
        <v>81434</v>
      </c>
      <c r="J11" s="125">
        <f t="shared" si="13"/>
        <v>83360</v>
      </c>
      <c r="K11" s="125">
        <f t="shared" si="13"/>
        <v>123945</v>
      </c>
      <c r="L11" s="125">
        <f t="shared" si="13"/>
        <v>97278</v>
      </c>
      <c r="M11" s="125">
        <f t="shared" si="13"/>
        <v>82959</v>
      </c>
      <c r="N11" s="125">
        <f t="shared" si="13"/>
        <v>90146</v>
      </c>
      <c r="O11" s="125">
        <f t="shared" si="13"/>
        <v>123657.58</v>
      </c>
      <c r="P11" s="125">
        <f t="shared" si="13"/>
        <v>98802.12</v>
      </c>
      <c r="Q11" s="125">
        <f t="shared" si="13"/>
        <v>85878.99</v>
      </c>
      <c r="R11" s="125">
        <f t="shared" si="13"/>
        <v>94200.6</v>
      </c>
      <c r="S11" s="121"/>
      <c r="V11" s="125">
        <f t="shared" ref="V11" si="14">SUM(V9:V10)</f>
        <v>229234</v>
      </c>
      <c r="W11" s="125">
        <v>265595</v>
      </c>
      <c r="X11" s="125">
        <v>260174</v>
      </c>
      <c r="Y11" s="125">
        <v>274515</v>
      </c>
      <c r="Z11" s="125">
        <v>365817</v>
      </c>
      <c r="AA11" s="125">
        <v>394328</v>
      </c>
      <c r="AB11" s="125">
        <f t="shared" ref="AB11" si="15">SUM(N11:Q11)</f>
        <v>398484.69</v>
      </c>
      <c r="AC11" s="121">
        <f t="shared" ref="AC11:AK11" si="16">AB11*(1+AC39)</f>
        <v>374575.60859999998</v>
      </c>
      <c r="AD11" s="121">
        <f t="shared" si="16"/>
        <v>370829.85251399997</v>
      </c>
      <c r="AE11" s="121">
        <f t="shared" si="16"/>
        <v>381954.74808941997</v>
      </c>
      <c r="AF11" s="121">
        <f t="shared" si="16"/>
        <v>393413.39053210255</v>
      </c>
      <c r="AG11" s="121">
        <f t="shared" si="16"/>
        <v>409149.92615338665</v>
      </c>
      <c r="AH11" s="121">
        <f t="shared" si="16"/>
        <v>433698.92172258988</v>
      </c>
      <c r="AI11" s="121">
        <f t="shared" si="16"/>
        <v>455383.8678087194</v>
      </c>
      <c r="AJ11" s="121">
        <f t="shared" si="16"/>
        <v>478153.0611991554</v>
      </c>
      <c r="AK11" s="121">
        <f t="shared" si="16"/>
        <v>492497.65303513006</v>
      </c>
      <c r="AL11" s="122"/>
    </row>
    <row r="12" spans="2:38" x14ac:dyDescent="0.2">
      <c r="B12" s="121" t="s">
        <v>121</v>
      </c>
      <c r="C12" s="121">
        <v>52075</v>
      </c>
      <c r="D12" s="121">
        <v>31321</v>
      </c>
      <c r="E12" s="121">
        <v>32693</v>
      </c>
      <c r="F12" s="121">
        <v>35197</v>
      </c>
      <c r="G12" s="121">
        <v>62130</v>
      </c>
      <c r="H12" s="121">
        <v>46447</v>
      </c>
      <c r="I12" s="121">
        <v>40899</v>
      </c>
      <c r="J12" s="121">
        <v>42790</v>
      </c>
      <c r="K12" s="121">
        <v>64309</v>
      </c>
      <c r="L12" s="121">
        <v>49290</v>
      </c>
      <c r="M12" s="121">
        <v>41485</v>
      </c>
      <c r="N12" s="121">
        <f>201471-M12-L12-K12</f>
        <v>46387</v>
      </c>
      <c r="O12" s="121">
        <f t="shared" ref="O12:R13" si="17">O9*O37</f>
        <v>65609.195399999997</v>
      </c>
      <c r="P12" s="121">
        <f t="shared" si="17"/>
        <v>51472.978499999997</v>
      </c>
      <c r="Q12" s="121">
        <f t="shared" si="17"/>
        <v>42335.950908859057</v>
      </c>
      <c r="R12" s="121">
        <f t="shared" si="17"/>
        <v>47771.775255474211</v>
      </c>
      <c r="S12" s="121"/>
      <c r="V12" s="121">
        <v>141048</v>
      </c>
      <c r="W12" s="121">
        <v>148164</v>
      </c>
      <c r="X12" s="121">
        <v>144996</v>
      </c>
      <c r="Y12" s="121">
        <v>151286</v>
      </c>
      <c r="Z12" s="121">
        <v>192266</v>
      </c>
      <c r="AA12" s="121">
        <v>201471</v>
      </c>
      <c r="AB12" s="121">
        <f>SUM(O12:R12)</f>
        <v>207189.90006433325</v>
      </c>
      <c r="AC12" s="121">
        <f t="shared" ref="AC12:AK12" si="18">AB12*(1+AC40)</f>
        <v>227908.89007076659</v>
      </c>
      <c r="AD12" s="121">
        <f t="shared" si="18"/>
        <v>248420.69017713561</v>
      </c>
      <c r="AE12" s="121">
        <f t="shared" si="18"/>
        <v>270778.55229307781</v>
      </c>
      <c r="AF12" s="121">
        <f t="shared" si="18"/>
        <v>292440.83647652407</v>
      </c>
      <c r="AG12" s="121">
        <f t="shared" si="18"/>
        <v>312911.69502988079</v>
      </c>
      <c r="AH12" s="121">
        <f t="shared" si="18"/>
        <v>331686.39673167368</v>
      </c>
      <c r="AI12" s="121">
        <f t="shared" si="18"/>
        <v>348270.71656825737</v>
      </c>
      <c r="AJ12" s="121">
        <f t="shared" si="18"/>
        <v>365684.25239667023</v>
      </c>
      <c r="AK12" s="121">
        <f t="shared" si="18"/>
        <v>376654.77996857034</v>
      </c>
      <c r="AL12" s="122"/>
    </row>
    <row r="13" spans="2:38" x14ac:dyDescent="0.2">
      <c r="B13" s="121" t="s">
        <v>122</v>
      </c>
      <c r="C13" s="121">
        <v>4527</v>
      </c>
      <c r="D13" s="121">
        <v>4622</v>
      </c>
      <c r="E13" s="121">
        <v>4312</v>
      </c>
      <c r="F13" s="121">
        <v>4812</v>
      </c>
      <c r="G13" s="121">
        <v>4981</v>
      </c>
      <c r="H13" s="121">
        <v>5058</v>
      </c>
      <c r="I13" s="121">
        <v>5280</v>
      </c>
      <c r="J13" s="121">
        <v>5396</v>
      </c>
      <c r="K13" s="121">
        <v>5393</v>
      </c>
      <c r="L13" s="121">
        <v>5429</v>
      </c>
      <c r="M13" s="121">
        <v>5589</v>
      </c>
      <c r="N13" s="121">
        <f>22075-M13-L13-K13</f>
        <v>5664</v>
      </c>
      <c r="O13" s="121">
        <f t="shared" si="17"/>
        <v>5366.9000000000005</v>
      </c>
      <c r="P13" s="121">
        <f t="shared" si="17"/>
        <v>6267.400200000001</v>
      </c>
      <c r="Q13" s="121">
        <f t="shared" si="17"/>
        <v>6175.26</v>
      </c>
      <c r="R13" s="121">
        <f t="shared" si="17"/>
        <v>6001.0257000000011</v>
      </c>
      <c r="S13" s="121"/>
      <c r="V13" s="148" t="s">
        <v>147</v>
      </c>
      <c r="W13" s="121">
        <v>15592</v>
      </c>
      <c r="X13" s="121">
        <v>16786</v>
      </c>
      <c r="Y13" s="121">
        <v>18273</v>
      </c>
      <c r="Z13" s="121">
        <v>20715</v>
      </c>
      <c r="AA13" s="121">
        <v>22075</v>
      </c>
      <c r="AB13" s="121">
        <f t="shared" ref="AB13:AB14" si="19">SUM(O13:R13)</f>
        <v>23810.585900000002</v>
      </c>
      <c r="AC13" s="121"/>
      <c r="AD13" s="121"/>
      <c r="AE13" s="121"/>
      <c r="AF13" s="121"/>
      <c r="AG13" s="121"/>
      <c r="AH13" s="121"/>
      <c r="AI13" s="121"/>
      <c r="AJ13" s="121"/>
      <c r="AK13" s="121"/>
      <c r="AL13" s="123"/>
    </row>
    <row r="14" spans="2:38" x14ac:dyDescent="0.2">
      <c r="B14" s="121" t="s">
        <v>96</v>
      </c>
      <c r="C14" s="121">
        <f t="shared" ref="C14:F14" si="20">+C12+C13</f>
        <v>56602</v>
      </c>
      <c r="D14" s="121">
        <f t="shared" si="20"/>
        <v>35943</v>
      </c>
      <c r="E14" s="121">
        <f t="shared" si="20"/>
        <v>37005</v>
      </c>
      <c r="F14" s="121">
        <f t="shared" si="20"/>
        <v>40009</v>
      </c>
      <c r="G14" s="121">
        <f>+G12+G13</f>
        <v>67111</v>
      </c>
      <c r="H14" s="121">
        <f>+H12+H13</f>
        <v>51505</v>
      </c>
      <c r="I14" s="121">
        <f>+I12+I13</f>
        <v>46179</v>
      </c>
      <c r="J14" s="121">
        <f t="shared" ref="J14:K14" si="21">+J12+J13</f>
        <v>48186</v>
      </c>
      <c r="K14" s="121">
        <f t="shared" si="21"/>
        <v>69702</v>
      </c>
      <c r="L14" s="121">
        <f>+L12+L13</f>
        <v>54719</v>
      </c>
      <c r="M14" s="121">
        <f t="shared" ref="M14:R14" si="22">+M12+M13</f>
        <v>47074</v>
      </c>
      <c r="N14" s="121">
        <f t="shared" si="22"/>
        <v>52051</v>
      </c>
      <c r="O14" s="121">
        <f t="shared" si="22"/>
        <v>70976.095399999991</v>
      </c>
      <c r="P14" s="121">
        <f t="shared" si="22"/>
        <v>57740.378700000001</v>
      </c>
      <c r="Q14" s="121">
        <f t="shared" si="22"/>
        <v>48511.210908859059</v>
      </c>
      <c r="R14" s="121">
        <f t="shared" si="22"/>
        <v>53772.800955474209</v>
      </c>
      <c r="S14" s="121"/>
      <c r="V14" s="121">
        <f>V12</f>
        <v>141048</v>
      </c>
      <c r="W14" s="121">
        <v>163756</v>
      </c>
      <c r="X14" s="121">
        <v>161782</v>
      </c>
      <c r="Y14" s="121">
        <v>169559</v>
      </c>
      <c r="Z14" s="121">
        <v>212981</v>
      </c>
      <c r="AA14" s="121">
        <v>223546</v>
      </c>
      <c r="AB14" s="121">
        <f t="shared" si="19"/>
        <v>231000.48596433326</v>
      </c>
      <c r="AC14" s="121">
        <f t="shared" ref="AC14:AK14" si="23">AC4+AC6+AC12</f>
        <v>322636.77167076664</v>
      </c>
      <c r="AD14" s="121">
        <f t="shared" si="23"/>
        <v>354515.91756913566</v>
      </c>
      <c r="AE14" s="121">
        <f t="shared" si="23"/>
        <v>387538.67601275787</v>
      </c>
      <c r="AF14" s="121">
        <f t="shared" si="23"/>
        <v>421822.08798617497</v>
      </c>
      <c r="AG14" s="121">
        <f t="shared" si="23"/>
        <v>454763.60626295698</v>
      </c>
      <c r="AH14" s="121">
        <f t="shared" si="23"/>
        <v>486637.80116499017</v>
      </c>
      <c r="AI14" s="121">
        <f t="shared" si="23"/>
        <v>516965.17249754712</v>
      </c>
      <c r="AJ14" s="121">
        <f t="shared" si="23"/>
        <v>549528.37014964875</v>
      </c>
      <c r="AK14" s="121">
        <f t="shared" si="23"/>
        <v>577211.83531968901</v>
      </c>
      <c r="AL14" s="123"/>
    </row>
    <row r="15" spans="2:38" s="124" customFormat="1" x14ac:dyDescent="0.2">
      <c r="B15" s="125" t="s">
        <v>97</v>
      </c>
      <c r="C15" s="125">
        <f t="shared" ref="C15:F15" si="24">+C11-C14</f>
        <v>35217</v>
      </c>
      <c r="D15" s="125">
        <f t="shared" si="24"/>
        <v>22370</v>
      </c>
      <c r="E15" s="125">
        <f t="shared" si="24"/>
        <v>22680</v>
      </c>
      <c r="F15" s="125">
        <f t="shared" si="24"/>
        <v>24689</v>
      </c>
      <c r="G15" s="125">
        <f>+G11-G14</f>
        <v>44328</v>
      </c>
      <c r="H15" s="125">
        <f>+H11-H14</f>
        <v>38079</v>
      </c>
      <c r="I15" s="125">
        <f>+I11-I14</f>
        <v>35255</v>
      </c>
      <c r="J15" s="125">
        <f t="shared" ref="J15:K15" si="25">+J11-J14</f>
        <v>35174</v>
      </c>
      <c r="K15" s="125">
        <f t="shared" si="25"/>
        <v>54243</v>
      </c>
      <c r="L15" s="125">
        <f>+L11-L14</f>
        <v>42559</v>
      </c>
      <c r="M15" s="125">
        <f t="shared" ref="M15:R15" si="26">+M11-M14</f>
        <v>35885</v>
      </c>
      <c r="N15" s="125">
        <f t="shared" si="26"/>
        <v>38095</v>
      </c>
      <c r="O15" s="125">
        <f t="shared" si="26"/>
        <v>52681.484600000011</v>
      </c>
      <c r="P15" s="125">
        <f t="shared" si="26"/>
        <v>41061.741299999994</v>
      </c>
      <c r="Q15" s="125">
        <f t="shared" si="26"/>
        <v>37367.779091140947</v>
      </c>
      <c r="R15" s="125">
        <f t="shared" si="26"/>
        <v>40427.799044525796</v>
      </c>
      <c r="S15" s="125"/>
      <c r="V15" s="125">
        <f>V11-V14</f>
        <v>88186</v>
      </c>
      <c r="W15" s="125">
        <v>101839</v>
      </c>
      <c r="X15" s="125">
        <v>98392</v>
      </c>
      <c r="Y15" s="125">
        <v>104956</v>
      </c>
      <c r="Z15" s="125">
        <v>152836</v>
      </c>
      <c r="AA15" s="125">
        <v>170782</v>
      </c>
      <c r="AB15" s="125">
        <f>SUM(O15:R15)</f>
        <v>171538.80403566675</v>
      </c>
      <c r="AC15" s="125">
        <f t="shared" ref="AC15:AK15" si="27">AC10+AC3</f>
        <v>343523.17974785075</v>
      </c>
      <c r="AD15" s="125">
        <f t="shared" si="27"/>
        <v>412844.39028428099</v>
      </c>
      <c r="AE15" s="125">
        <f t="shared" si="27"/>
        <v>491768.40134413249</v>
      </c>
      <c r="AF15" s="125">
        <f t="shared" si="27"/>
        <v>582210.07313875284</v>
      </c>
      <c r="AG15" s="125">
        <f t="shared" si="27"/>
        <v>693019.63193550589</v>
      </c>
      <c r="AH15" s="125">
        <f t="shared" si="27"/>
        <v>824910.37051001308</v>
      </c>
      <c r="AI15" s="125">
        <f t="shared" si="27"/>
        <v>983496.5702561934</v>
      </c>
      <c r="AJ15" s="125">
        <f t="shared" si="27"/>
        <v>1175996.8184505238</v>
      </c>
      <c r="AK15" s="125">
        <f t="shared" si="27"/>
        <v>1411460.363314712</v>
      </c>
      <c r="AL15" s="152"/>
    </row>
    <row r="16" spans="2:38" x14ac:dyDescent="0.2">
      <c r="B16" s="121" t="s">
        <v>98</v>
      </c>
      <c r="C16" s="121">
        <v>4451</v>
      </c>
      <c r="D16" s="121">
        <v>4565</v>
      </c>
      <c r="E16" s="121">
        <v>4758</v>
      </c>
      <c r="F16" s="121">
        <v>4978</v>
      </c>
      <c r="G16" s="121">
        <v>5163</v>
      </c>
      <c r="H16" s="121">
        <v>5262</v>
      </c>
      <c r="I16" s="121">
        <v>5717</v>
      </c>
      <c r="J16" s="121">
        <v>5772</v>
      </c>
      <c r="K16" s="121">
        <v>6306</v>
      </c>
      <c r="L16" s="121">
        <v>6387</v>
      </c>
      <c r="M16" s="121">
        <v>6797</v>
      </c>
      <c r="N16" s="121">
        <f>26251-M16-L16-K16</f>
        <v>6761</v>
      </c>
      <c r="O16" s="121">
        <f>O11*O40</f>
        <v>7666.7699599999996</v>
      </c>
      <c r="P16" s="121">
        <f>P11*P40</f>
        <v>6487.0694344044905</v>
      </c>
      <c r="Q16" s="121">
        <f>Q11*Q40</f>
        <v>7036.2407337359427</v>
      </c>
      <c r="R16" s="121">
        <f>R11*R40</f>
        <v>7065.0972489073283</v>
      </c>
      <c r="S16" s="121"/>
      <c r="V16" s="121">
        <v>11581</v>
      </c>
      <c r="W16" s="121">
        <v>14236</v>
      </c>
      <c r="X16" s="121">
        <v>16217</v>
      </c>
      <c r="Y16" s="121">
        <v>18752</v>
      </c>
      <c r="Z16" s="121">
        <v>21914</v>
      </c>
      <c r="AA16" s="121">
        <v>26251</v>
      </c>
      <c r="AB16" s="121">
        <f>SUM(O16:R16)</f>
        <v>28255.177377047763</v>
      </c>
      <c r="AC16" s="121">
        <f t="shared" ref="AC16:AK16" si="28">AC5+AC11+AC9+AC8</f>
        <v>757305.4915</v>
      </c>
      <c r="AD16" s="121">
        <f t="shared" si="28"/>
        <v>792352.76663299999</v>
      </c>
      <c r="AE16" s="121">
        <f t="shared" si="28"/>
        <v>847352.02062151011</v>
      </c>
      <c r="AF16" s="121">
        <f t="shared" si="28"/>
        <v>907570.20574003598</v>
      </c>
      <c r="AG16" s="121">
        <f t="shared" si="28"/>
        <v>977482.43391229981</v>
      </c>
      <c r="AH16" s="121">
        <f t="shared" si="28"/>
        <v>1062213.2287994134</v>
      </c>
      <c r="AI16" s="121">
        <f t="shared" si="28"/>
        <v>1150741.4792668337</v>
      </c>
      <c r="AJ16" s="121">
        <f t="shared" si="28"/>
        <v>1247833.7523640376</v>
      </c>
      <c r="AK16" s="121">
        <f t="shared" si="28"/>
        <v>1344611.9749479156</v>
      </c>
      <c r="AL16" s="123"/>
    </row>
    <row r="17" spans="2:160" x14ac:dyDescent="0.2">
      <c r="B17" s="121" t="s">
        <v>123</v>
      </c>
      <c r="C17" s="121">
        <v>5197</v>
      </c>
      <c r="D17" s="121">
        <v>4952</v>
      </c>
      <c r="E17" s="121">
        <v>4831</v>
      </c>
      <c r="F17" s="121">
        <v>4936</v>
      </c>
      <c r="G17" s="121">
        <v>5631</v>
      </c>
      <c r="H17" s="121">
        <v>5314</v>
      </c>
      <c r="I17" s="121">
        <v>5412</v>
      </c>
      <c r="J17" s="121">
        <v>5616</v>
      </c>
      <c r="K17" s="121">
        <v>6449</v>
      </c>
      <c r="L17" s="121">
        <v>6193</v>
      </c>
      <c r="M17" s="121">
        <v>6012</v>
      </c>
      <c r="N17" s="121">
        <f>25094-M17-L17-K17</f>
        <v>6440</v>
      </c>
      <c r="O17" s="121">
        <f>O11*O41</f>
        <v>6306.53658</v>
      </c>
      <c r="P17" s="121">
        <f>P11*P41</f>
        <v>6290.0299056312824</v>
      </c>
      <c r="Q17" s="121">
        <f>Q11*Q41</f>
        <v>6223.6103120818725</v>
      </c>
      <c r="R17" s="121">
        <f>R11*R41</f>
        <v>6729.6592638608481</v>
      </c>
      <c r="S17" s="121"/>
      <c r="V17" s="121">
        <v>15261</v>
      </c>
      <c r="W17" s="121">
        <v>16705</v>
      </c>
      <c r="X17" s="121">
        <v>18245</v>
      </c>
      <c r="Y17" s="121">
        <v>19916</v>
      </c>
      <c r="Z17" s="121">
        <v>21973</v>
      </c>
      <c r="AA17" s="121">
        <v>25094</v>
      </c>
      <c r="AB17" s="121">
        <f t="shared" ref="AB17:AB18" si="29">SUM(O17:R17)</f>
        <v>25549.836061574006</v>
      </c>
      <c r="AC17" s="121"/>
      <c r="AD17" s="121"/>
      <c r="AE17" s="121"/>
      <c r="AF17" s="121"/>
      <c r="AG17" s="121"/>
      <c r="AH17" s="121"/>
      <c r="AI17" s="121"/>
      <c r="AJ17" s="121"/>
      <c r="AK17" s="121"/>
      <c r="AL17" s="123"/>
    </row>
    <row r="18" spans="2:160" x14ac:dyDescent="0.2">
      <c r="B18" s="121" t="s">
        <v>124</v>
      </c>
      <c r="C18" s="121">
        <f t="shared" ref="C18:F18" si="30">+C16+C17</f>
        <v>9648</v>
      </c>
      <c r="D18" s="121">
        <f t="shared" si="30"/>
        <v>9517</v>
      </c>
      <c r="E18" s="121">
        <f t="shared" si="30"/>
        <v>9589</v>
      </c>
      <c r="F18" s="121">
        <f t="shared" si="30"/>
        <v>9914</v>
      </c>
      <c r="G18" s="121">
        <f>+G16+G17</f>
        <v>10794</v>
      </c>
      <c r="H18" s="121">
        <f>+H16+H17</f>
        <v>10576</v>
      </c>
      <c r="I18" s="121">
        <f>+I16+I17</f>
        <v>11129</v>
      </c>
      <c r="J18" s="121">
        <f t="shared" ref="J18:K18" si="31">+J16+J17</f>
        <v>11388</v>
      </c>
      <c r="K18" s="121">
        <f t="shared" si="31"/>
        <v>12755</v>
      </c>
      <c r="L18" s="121">
        <f>+L16+L17</f>
        <v>12580</v>
      </c>
      <c r="M18" s="121">
        <f t="shared" ref="M18:R18" si="32">+M16+M17</f>
        <v>12809</v>
      </c>
      <c r="N18" s="121">
        <f t="shared" si="32"/>
        <v>13201</v>
      </c>
      <c r="O18" s="121">
        <f t="shared" si="32"/>
        <v>13973.30654</v>
      </c>
      <c r="P18" s="121">
        <f t="shared" si="32"/>
        <v>12777.099340035773</v>
      </c>
      <c r="Q18" s="121">
        <f t="shared" si="32"/>
        <v>13259.851045817815</v>
      </c>
      <c r="R18" s="121">
        <f t="shared" si="32"/>
        <v>13794.756512768177</v>
      </c>
      <c r="S18" s="125"/>
      <c r="V18" s="121">
        <f>SUM(V16:V17)</f>
        <v>26842</v>
      </c>
      <c r="W18" s="121">
        <v>30941</v>
      </c>
      <c r="X18" s="121">
        <v>34462</v>
      </c>
      <c r="Y18" s="121">
        <v>38668</v>
      </c>
      <c r="Z18" s="121">
        <v>43887</v>
      </c>
      <c r="AA18" s="121">
        <v>51345</v>
      </c>
      <c r="AB18" s="121">
        <f t="shared" si="29"/>
        <v>53805.013438621769</v>
      </c>
      <c r="AC18" s="125">
        <f t="shared" ref="AC18:AK18" si="33">SUM(AC3:AC12)</f>
        <v>1423465.4429186175</v>
      </c>
      <c r="AD18" s="125">
        <f t="shared" si="33"/>
        <v>1559713.0744864168</v>
      </c>
      <c r="AE18" s="125">
        <f t="shared" si="33"/>
        <v>1726659.0979784005</v>
      </c>
      <c r="AF18" s="125">
        <f t="shared" si="33"/>
        <v>1911602.3668649637</v>
      </c>
      <c r="AG18" s="125">
        <f t="shared" si="33"/>
        <v>2125265.6721107629</v>
      </c>
      <c r="AH18" s="125">
        <f t="shared" si="33"/>
        <v>2373761.4004744166</v>
      </c>
      <c r="AI18" s="125">
        <f t="shared" si="33"/>
        <v>2651203.2220205744</v>
      </c>
      <c r="AJ18" s="125">
        <f t="shared" si="33"/>
        <v>2973358.9409642098</v>
      </c>
      <c r="AK18" s="125">
        <f t="shared" si="33"/>
        <v>3333284.1735823164</v>
      </c>
    </row>
    <row r="19" spans="2:160" s="124" customFormat="1" x14ac:dyDescent="0.2">
      <c r="B19" s="125" t="s">
        <v>125</v>
      </c>
      <c r="C19" s="125">
        <f t="shared" ref="C19:F19" si="34">+C15-C18</f>
        <v>25569</v>
      </c>
      <c r="D19" s="125">
        <f t="shared" si="34"/>
        <v>12853</v>
      </c>
      <c r="E19" s="125">
        <f t="shared" si="34"/>
        <v>13091</v>
      </c>
      <c r="F19" s="125">
        <f t="shared" si="34"/>
        <v>14775</v>
      </c>
      <c r="G19" s="125">
        <f>+G15-G18</f>
        <v>33534</v>
      </c>
      <c r="H19" s="125">
        <f>+H15-H18</f>
        <v>27503</v>
      </c>
      <c r="I19" s="125">
        <f>+I15-I18</f>
        <v>24126</v>
      </c>
      <c r="J19" s="125">
        <f t="shared" ref="J19:K19" si="35">+J15-J18</f>
        <v>23786</v>
      </c>
      <c r="K19" s="125">
        <f t="shared" si="35"/>
        <v>41488</v>
      </c>
      <c r="L19" s="125">
        <f>+L15-L18</f>
        <v>29979</v>
      </c>
      <c r="M19" s="125">
        <f t="shared" ref="M19:R19" si="36">+M15-M18</f>
        <v>23076</v>
      </c>
      <c r="N19" s="125">
        <f t="shared" si="36"/>
        <v>24894</v>
      </c>
      <c r="O19" s="125">
        <f t="shared" si="36"/>
        <v>38708.178060000013</v>
      </c>
      <c r="P19" s="125">
        <f t="shared" si="36"/>
        <v>28284.641959964221</v>
      </c>
      <c r="Q19" s="125">
        <f t="shared" si="36"/>
        <v>24107.928045323133</v>
      </c>
      <c r="R19" s="125">
        <f t="shared" si="36"/>
        <v>26633.042531757619</v>
      </c>
      <c r="S19" s="125"/>
      <c r="V19" s="125">
        <f>V15-V18</f>
        <v>61344</v>
      </c>
      <c r="W19" s="125">
        <v>70898</v>
      </c>
      <c r="X19" s="125">
        <v>63930</v>
      </c>
      <c r="Y19" s="125">
        <v>66288</v>
      </c>
      <c r="Z19" s="125">
        <v>108949</v>
      </c>
      <c r="AA19" s="125">
        <v>119437</v>
      </c>
      <c r="AB19" s="125">
        <f t="shared" ref="AB19:AB24" si="37">SUM(O19:R19)</f>
        <v>117733.79059704498</v>
      </c>
      <c r="AC19" s="125">
        <f>AC18-AC20</f>
        <v>1423465.4429186175</v>
      </c>
      <c r="AD19" s="125">
        <f t="shared" ref="AD19:AK19" si="38">AD18-AD20</f>
        <v>1559713.0744864168</v>
      </c>
      <c r="AE19" s="125">
        <f t="shared" si="38"/>
        <v>1726659.0979784005</v>
      </c>
      <c r="AF19" s="125">
        <f t="shared" si="38"/>
        <v>1911602.3668649637</v>
      </c>
      <c r="AG19" s="125">
        <f t="shared" si="38"/>
        <v>2125265.6721107629</v>
      </c>
      <c r="AH19" s="125">
        <f t="shared" si="38"/>
        <v>2373761.4004744166</v>
      </c>
      <c r="AI19" s="125">
        <f t="shared" si="38"/>
        <v>2651203.2220205744</v>
      </c>
      <c r="AJ19" s="125">
        <f t="shared" si="38"/>
        <v>2973358.9409642098</v>
      </c>
      <c r="AK19" s="125">
        <f t="shared" si="38"/>
        <v>3333284.1735823164</v>
      </c>
    </row>
    <row r="20" spans="2:160" x14ac:dyDescent="0.2">
      <c r="B20" s="121" t="s">
        <v>126</v>
      </c>
      <c r="C20" s="121">
        <v>349</v>
      </c>
      <c r="D20" s="121">
        <v>282</v>
      </c>
      <c r="E20" s="121">
        <v>46</v>
      </c>
      <c r="F20" s="121">
        <v>126</v>
      </c>
      <c r="G20" s="121">
        <v>45</v>
      </c>
      <c r="H20" s="121">
        <v>508</v>
      </c>
      <c r="I20" s="121">
        <v>243</v>
      </c>
      <c r="J20" s="121">
        <v>-538</v>
      </c>
      <c r="K20" s="121">
        <v>-247</v>
      </c>
      <c r="L20" s="121">
        <v>160</v>
      </c>
      <c r="M20" s="121">
        <v>-10</v>
      </c>
      <c r="N20" s="121">
        <v>-334</v>
      </c>
      <c r="O20" s="121">
        <v>-300</v>
      </c>
      <c r="P20" s="121"/>
      <c r="Q20" s="121"/>
      <c r="R20" s="121"/>
      <c r="S20" s="121"/>
      <c r="V20" s="121">
        <v>2745</v>
      </c>
      <c r="W20" s="121">
        <v>2005</v>
      </c>
      <c r="X20" s="121">
        <v>1807</v>
      </c>
      <c r="Y20" s="121">
        <v>803</v>
      </c>
      <c r="Z20" s="121">
        <v>258</v>
      </c>
      <c r="AA20" s="121">
        <v>-431</v>
      </c>
      <c r="AB20" s="121">
        <f t="shared" si="37"/>
        <v>-300</v>
      </c>
      <c r="AC20" s="121">
        <f t="shared" ref="AC20:AK20" si="39">AC18*AC46</f>
        <v>0</v>
      </c>
      <c r="AD20" s="121">
        <f t="shared" si="39"/>
        <v>0</v>
      </c>
      <c r="AE20" s="121">
        <f t="shared" si="39"/>
        <v>0</v>
      </c>
      <c r="AF20" s="121">
        <f t="shared" si="39"/>
        <v>0</v>
      </c>
      <c r="AG20" s="121">
        <f t="shared" si="39"/>
        <v>0</v>
      </c>
      <c r="AH20" s="121">
        <f t="shared" si="39"/>
        <v>0</v>
      </c>
      <c r="AI20" s="121">
        <f t="shared" si="39"/>
        <v>0</v>
      </c>
      <c r="AJ20" s="121">
        <f t="shared" si="39"/>
        <v>0</v>
      </c>
      <c r="AK20" s="121">
        <f t="shared" si="39"/>
        <v>0</v>
      </c>
    </row>
    <row r="21" spans="2:160" x14ac:dyDescent="0.2">
      <c r="B21" s="121" t="s">
        <v>127</v>
      </c>
      <c r="C21" s="121">
        <f t="shared" ref="C21:F21" si="40">+C19+C20</f>
        <v>25918</v>
      </c>
      <c r="D21" s="121">
        <f t="shared" si="40"/>
        <v>13135</v>
      </c>
      <c r="E21" s="121">
        <f t="shared" si="40"/>
        <v>13137</v>
      </c>
      <c r="F21" s="121">
        <f t="shared" si="40"/>
        <v>14901</v>
      </c>
      <c r="G21" s="121">
        <f>+G19+G20</f>
        <v>33579</v>
      </c>
      <c r="H21" s="121">
        <f>+H19+H20</f>
        <v>28011</v>
      </c>
      <c r="I21" s="121">
        <f>+I19+I20</f>
        <v>24369</v>
      </c>
      <c r="J21" s="121">
        <f t="shared" ref="J21:K21" si="41">+J19+J20</f>
        <v>23248</v>
      </c>
      <c r="K21" s="121">
        <f t="shared" si="41"/>
        <v>41241</v>
      </c>
      <c r="L21" s="121">
        <f>+L19+L20</f>
        <v>30139</v>
      </c>
      <c r="M21" s="121">
        <f t="shared" ref="M21:R21" si="42">+M19+M20</f>
        <v>23066</v>
      </c>
      <c r="N21" s="121">
        <f t="shared" si="42"/>
        <v>24560</v>
      </c>
      <c r="O21" s="121">
        <f t="shared" si="42"/>
        <v>38408.178060000013</v>
      </c>
      <c r="P21" s="121">
        <f t="shared" si="42"/>
        <v>28284.641959964221</v>
      </c>
      <c r="Q21" s="121">
        <f t="shared" si="42"/>
        <v>24107.928045323133</v>
      </c>
      <c r="R21" s="121">
        <f t="shared" si="42"/>
        <v>26633.042531757619</v>
      </c>
      <c r="S21" s="121"/>
      <c r="V21" s="121">
        <f>V19+V20</f>
        <v>64089</v>
      </c>
      <c r="W21" s="121">
        <v>72903</v>
      </c>
      <c r="X21" s="121">
        <v>65737</v>
      </c>
      <c r="Y21" s="121">
        <v>67091</v>
      </c>
      <c r="Z21" s="121">
        <v>109207</v>
      </c>
      <c r="AA21" s="121">
        <v>119006</v>
      </c>
      <c r="AB21" s="121">
        <f t="shared" si="37"/>
        <v>117433.79059704498</v>
      </c>
      <c r="AC21" s="121">
        <f t="shared" ref="AC21:AK21" si="43">AC$18*AC47</f>
        <v>0</v>
      </c>
      <c r="AD21" s="121">
        <f t="shared" si="43"/>
        <v>0</v>
      </c>
      <c r="AE21" s="121">
        <f t="shared" si="43"/>
        <v>0</v>
      </c>
      <c r="AF21" s="121">
        <f t="shared" si="43"/>
        <v>0</v>
      </c>
      <c r="AG21" s="121">
        <f t="shared" si="43"/>
        <v>0</v>
      </c>
      <c r="AH21" s="121">
        <f t="shared" si="43"/>
        <v>0</v>
      </c>
      <c r="AI21" s="121">
        <f t="shared" si="43"/>
        <v>0</v>
      </c>
      <c r="AJ21" s="121">
        <f t="shared" si="43"/>
        <v>0</v>
      </c>
      <c r="AK21" s="121">
        <f t="shared" si="43"/>
        <v>0</v>
      </c>
    </row>
    <row r="22" spans="2:160" x14ac:dyDescent="0.2">
      <c r="B22" s="121" t="s">
        <v>29</v>
      </c>
      <c r="C22" s="121">
        <v>3682</v>
      </c>
      <c r="D22" s="121">
        <v>1886</v>
      </c>
      <c r="E22" s="121">
        <v>1884</v>
      </c>
      <c r="F22" s="121">
        <v>2228</v>
      </c>
      <c r="G22" s="121">
        <v>4824</v>
      </c>
      <c r="H22" s="121">
        <v>4381</v>
      </c>
      <c r="I22" s="121">
        <v>2625</v>
      </c>
      <c r="J22" s="121">
        <v>2697</v>
      </c>
      <c r="K22" s="121">
        <v>6611</v>
      </c>
      <c r="L22" s="121">
        <v>5129</v>
      </c>
      <c r="M22" s="121">
        <v>3624</v>
      </c>
      <c r="N22" s="121">
        <f>19300-M22-K22-L22</f>
        <v>3936</v>
      </c>
      <c r="O22" s="121">
        <f>O21*O43</f>
        <v>6145.3084896000018</v>
      </c>
      <c r="P22" s="121">
        <f t="shared" ref="P22:R22" si="44">P21*P43</f>
        <v>4525.5427135942755</v>
      </c>
      <c r="Q22" s="121">
        <f t="shared" si="44"/>
        <v>3857.2684872517016</v>
      </c>
      <c r="R22" s="121">
        <f t="shared" si="44"/>
        <v>4261.2868050812194</v>
      </c>
      <c r="S22" s="121"/>
      <c r="V22" s="121">
        <v>15738</v>
      </c>
      <c r="W22" s="121">
        <v>13372</v>
      </c>
      <c r="X22" s="121">
        <v>10481</v>
      </c>
      <c r="Y22" s="121">
        <v>9680</v>
      </c>
      <c r="Z22" s="121">
        <v>14527</v>
      </c>
      <c r="AA22" s="121">
        <v>19300</v>
      </c>
      <c r="AB22" s="121">
        <f t="shared" si="37"/>
        <v>18789.406495527197</v>
      </c>
      <c r="AC22" s="121" t="e">
        <f>AC$18*#REF!</f>
        <v>#REF!</v>
      </c>
      <c r="AD22" s="121" t="e">
        <f>AD$18*#REF!</f>
        <v>#REF!</v>
      </c>
      <c r="AE22" s="121" t="e">
        <f>AE$18*#REF!</f>
        <v>#REF!</v>
      </c>
      <c r="AF22" s="121" t="e">
        <f>AF$18*#REF!</f>
        <v>#REF!</v>
      </c>
      <c r="AG22" s="121" t="e">
        <f>AG$18*#REF!</f>
        <v>#REF!</v>
      </c>
      <c r="AH22" s="121" t="e">
        <f>AH$18*#REF!</f>
        <v>#REF!</v>
      </c>
      <c r="AI22" s="121" t="e">
        <f>AI$18*#REF!</f>
        <v>#REF!</v>
      </c>
      <c r="AJ22" s="121" t="e">
        <f>AJ$18*#REF!</f>
        <v>#REF!</v>
      </c>
      <c r="AK22" s="121" t="e">
        <f>AK$18*#REF!</f>
        <v>#REF!</v>
      </c>
    </row>
    <row r="23" spans="2:160" s="124" customFormat="1" x14ac:dyDescent="0.2">
      <c r="B23" s="125" t="s">
        <v>99</v>
      </c>
      <c r="C23" s="125">
        <f t="shared" ref="C23:F23" si="45">+C21-C22</f>
        <v>22236</v>
      </c>
      <c r="D23" s="125">
        <f t="shared" si="45"/>
        <v>11249</v>
      </c>
      <c r="E23" s="125">
        <f t="shared" si="45"/>
        <v>11253</v>
      </c>
      <c r="F23" s="125">
        <f t="shared" si="45"/>
        <v>12673</v>
      </c>
      <c r="G23" s="125">
        <f>+G21-G22</f>
        <v>28755</v>
      </c>
      <c r="H23" s="125">
        <f>+H21-H22</f>
        <v>23630</v>
      </c>
      <c r="I23" s="125">
        <f>+I21-I22</f>
        <v>21744</v>
      </c>
      <c r="J23" s="125">
        <f t="shared" ref="J23:K23" si="46">+J21-J22</f>
        <v>20551</v>
      </c>
      <c r="K23" s="125">
        <f t="shared" si="46"/>
        <v>34630</v>
      </c>
      <c r="L23" s="125">
        <f>+L21-L22</f>
        <v>25010</v>
      </c>
      <c r="M23" s="125">
        <f t="shared" ref="M23:R23" si="47">+M21-M22</f>
        <v>19442</v>
      </c>
      <c r="N23" s="125">
        <f t="shared" si="47"/>
        <v>20624</v>
      </c>
      <c r="O23" s="125">
        <f t="shared" si="47"/>
        <v>32262.869570400013</v>
      </c>
      <c r="P23" s="125">
        <f t="shared" si="47"/>
        <v>23759.099246369944</v>
      </c>
      <c r="Q23" s="125">
        <f t="shared" si="47"/>
        <v>20250.659558071431</v>
      </c>
      <c r="R23" s="125">
        <f t="shared" si="47"/>
        <v>22371.755726676398</v>
      </c>
      <c r="S23" s="125"/>
      <c r="V23" s="125">
        <f>V21-V22</f>
        <v>48351</v>
      </c>
      <c r="W23" s="125">
        <v>59531</v>
      </c>
      <c r="X23" s="125">
        <v>55256</v>
      </c>
      <c r="Y23" s="125">
        <v>57411</v>
      </c>
      <c r="Z23" s="125">
        <v>94680</v>
      </c>
      <c r="AA23" s="125">
        <v>99706</v>
      </c>
      <c r="AB23" s="125">
        <f t="shared" si="37"/>
        <v>98644.38410151779</v>
      </c>
      <c r="AC23" s="125" t="e">
        <f>AC$18*#REF!</f>
        <v>#REF!</v>
      </c>
      <c r="AD23" s="125" t="e">
        <f>AD$18*#REF!</f>
        <v>#REF!</v>
      </c>
      <c r="AE23" s="125" t="e">
        <f>AE$18*#REF!</f>
        <v>#REF!</v>
      </c>
      <c r="AF23" s="125" t="e">
        <f>AF$18*#REF!</f>
        <v>#REF!</v>
      </c>
      <c r="AG23" s="125" t="e">
        <f>AG$18*#REF!</f>
        <v>#REF!</v>
      </c>
      <c r="AH23" s="125" t="e">
        <f>AH$18*#REF!</f>
        <v>#REF!</v>
      </c>
      <c r="AI23" s="125" t="e">
        <f>AI$18*#REF!</f>
        <v>#REF!</v>
      </c>
      <c r="AJ23" s="125" t="e">
        <f>AJ$18*#REF!</f>
        <v>#REF!</v>
      </c>
      <c r="AK23" s="125" t="e">
        <f>AK$18*#REF!</f>
        <v>#REF!</v>
      </c>
    </row>
    <row r="24" spans="2:160" x14ac:dyDescent="0.2">
      <c r="B24" s="149" t="s">
        <v>128</v>
      </c>
      <c r="C24" s="149">
        <f t="shared" ref="C24:F24" si="48">+C23/C25</f>
        <v>1.2479223042091785</v>
      </c>
      <c r="D24" s="149">
        <f t="shared" si="48"/>
        <v>0.63846699811252383</v>
      </c>
      <c r="E24" s="149">
        <f t="shared" si="48"/>
        <v>0.64601300384622584</v>
      </c>
      <c r="F24" s="149">
        <f t="shared" si="48"/>
        <v>0.73438904632051849</v>
      </c>
      <c r="G24" s="149">
        <f>+G23/G25</f>
        <v>1.6802339741147556</v>
      </c>
      <c r="H24" s="149">
        <f>+H23/H25</f>
        <v>1.3958166966021994</v>
      </c>
      <c r="I24" s="149">
        <f>+I23/I25</f>
        <v>1.2956943963183782</v>
      </c>
      <c r="J24" s="149">
        <f t="shared" ref="J24:K24" si="49">+J23/J25</f>
        <v>1.2354000701047909</v>
      </c>
      <c r="K24" s="149">
        <f t="shared" si="49"/>
        <v>2.0963369432743812</v>
      </c>
      <c r="L24" s="149">
        <f>+L23/L25</f>
        <v>1.5246917147727936</v>
      </c>
      <c r="M24" s="149">
        <f t="shared" ref="M24:R24" si="50">+M23/M25</f>
        <v>1.1955329791418789</v>
      </c>
      <c r="N24" s="149">
        <f t="shared" si="50"/>
        <v>1.263275061422646</v>
      </c>
      <c r="O24" s="149">
        <f t="shared" si="50"/>
        <v>1.9761868957630864</v>
      </c>
      <c r="P24" s="149">
        <f t="shared" si="50"/>
        <v>1.462621367105345</v>
      </c>
      <c r="Q24" s="149">
        <f t="shared" si="50"/>
        <v>1.252904686871392</v>
      </c>
      <c r="R24" s="149">
        <f t="shared" si="50"/>
        <v>1.3910919875960535</v>
      </c>
      <c r="S24" s="125"/>
      <c r="V24" s="125"/>
      <c r="W24" s="149">
        <v>2.9764851126245446</v>
      </c>
      <c r="X24" s="149">
        <v>2.9714474637107351</v>
      </c>
      <c r="Y24" s="149">
        <v>3.2667913524884469</v>
      </c>
      <c r="Z24" s="149">
        <v>5.6071451371401242</v>
      </c>
      <c r="AA24" s="149">
        <v>6.0798366986116994</v>
      </c>
      <c r="AB24" s="149">
        <f t="shared" si="37"/>
        <v>6.0828049373358768</v>
      </c>
      <c r="AC24" s="125" t="e">
        <f>AC20-AC23-AC21-AC22</f>
        <v>#REF!</v>
      </c>
      <c r="AD24" s="125" t="e">
        <f t="shared" ref="AD24:AK24" si="51">AD20-AD23-AD21-AD22</f>
        <v>#REF!</v>
      </c>
      <c r="AE24" s="125" t="e">
        <f t="shared" si="51"/>
        <v>#REF!</v>
      </c>
      <c r="AF24" s="125" t="e">
        <f t="shared" si="51"/>
        <v>#REF!</v>
      </c>
      <c r="AG24" s="125" t="e">
        <f t="shared" si="51"/>
        <v>#REF!</v>
      </c>
      <c r="AH24" s="125" t="e">
        <f t="shared" si="51"/>
        <v>#REF!</v>
      </c>
      <c r="AI24" s="125" t="e">
        <f t="shared" si="51"/>
        <v>#REF!</v>
      </c>
      <c r="AJ24" s="125" t="e">
        <f t="shared" si="51"/>
        <v>#REF!</v>
      </c>
      <c r="AK24" s="125" t="e">
        <f t="shared" si="51"/>
        <v>#REF!</v>
      </c>
    </row>
    <row r="25" spans="2:160" x14ac:dyDescent="0.2">
      <c r="B25" s="121" t="s">
        <v>129</v>
      </c>
      <c r="C25" s="121">
        <v>17818.417000000001</v>
      </c>
      <c r="D25" s="121">
        <v>17618.764999999999</v>
      </c>
      <c r="E25" s="121">
        <v>17419.153999999999</v>
      </c>
      <c r="F25" s="121">
        <v>17256.521000000001</v>
      </c>
      <c r="G25" s="121">
        <v>17113.687999999998</v>
      </c>
      <c r="H25" s="121">
        <v>16929.156999999999</v>
      </c>
      <c r="I25" s="121">
        <v>16781.735000000001</v>
      </c>
      <c r="J25" s="121">
        <v>16635.097000000002</v>
      </c>
      <c r="K25" s="121">
        <v>16519.291000000001</v>
      </c>
      <c r="L25" s="121">
        <v>16403.315999999999</v>
      </c>
      <c r="M25" s="121">
        <v>16262.203</v>
      </c>
      <c r="N25" s="121">
        <f>16325.819</f>
        <v>16325.819</v>
      </c>
      <c r="O25" s="121">
        <f>N25</f>
        <v>16325.819</v>
      </c>
      <c r="P25" s="121">
        <f>O25*0.995</f>
        <v>16244.189904999999</v>
      </c>
      <c r="Q25" s="121">
        <f t="shared" ref="Q25:R25" si="52">P25*0.995</f>
        <v>16162.968955474998</v>
      </c>
      <c r="R25" s="121">
        <f t="shared" si="52"/>
        <v>16082.154110697624</v>
      </c>
      <c r="S25" s="121"/>
      <c r="V25" s="121"/>
      <c r="W25" s="121">
        <v>20000.436000000002</v>
      </c>
      <c r="X25" s="121">
        <v>18595.651000000002</v>
      </c>
      <c r="Y25" s="121">
        <v>17256.521000000001</v>
      </c>
      <c r="Z25" s="121">
        <v>16635.097000000002</v>
      </c>
      <c r="AA25" s="121">
        <v>16325.819</v>
      </c>
      <c r="AB25" s="121">
        <f>R25</f>
        <v>16082.154110697624</v>
      </c>
      <c r="AC25" s="121">
        <f>AVERAGE(X25:AB25)</f>
        <v>16979.048422139524</v>
      </c>
      <c r="AD25" s="121">
        <f t="shared" ref="AD25:AK25" si="53">AVERAGE(Y25:AC25)</f>
        <v>16655.72790656743</v>
      </c>
      <c r="AE25" s="121">
        <f t="shared" si="53"/>
        <v>16535.569287880913</v>
      </c>
      <c r="AF25" s="121">
        <f t="shared" si="53"/>
        <v>16515.663745457096</v>
      </c>
      <c r="AG25" s="121">
        <f t="shared" si="53"/>
        <v>16553.63269454852</v>
      </c>
      <c r="AH25" s="121">
        <f t="shared" si="53"/>
        <v>16647.928411318695</v>
      </c>
      <c r="AI25" s="121">
        <f t="shared" si="53"/>
        <v>16581.704409154529</v>
      </c>
      <c r="AJ25" s="121">
        <f t="shared" si="53"/>
        <v>16566.899709671947</v>
      </c>
      <c r="AK25" s="121">
        <f t="shared" si="53"/>
        <v>16573.165794030159</v>
      </c>
    </row>
    <row r="26" spans="2:160" x14ac:dyDescent="0.2">
      <c r="S26" s="121"/>
      <c r="V26" s="121"/>
      <c r="X26" s="126"/>
      <c r="Y26" s="126"/>
      <c r="Z26" s="126"/>
      <c r="AA26" s="126"/>
      <c r="AB26" s="126"/>
      <c r="AC26" s="121" t="e">
        <f>AC24+AC25</f>
        <v>#REF!</v>
      </c>
      <c r="AD26" s="121" t="e">
        <f t="shared" ref="AD26:AK26" si="54">AD24+AD25</f>
        <v>#REF!</v>
      </c>
      <c r="AE26" s="121" t="e">
        <f t="shared" si="54"/>
        <v>#REF!</v>
      </c>
      <c r="AF26" s="121" t="e">
        <f t="shared" si="54"/>
        <v>#REF!</v>
      </c>
      <c r="AG26" s="121" t="e">
        <f t="shared" si="54"/>
        <v>#REF!</v>
      </c>
      <c r="AH26" s="121" t="e">
        <f t="shared" si="54"/>
        <v>#REF!</v>
      </c>
      <c r="AI26" s="121" t="e">
        <f t="shared" si="54"/>
        <v>#REF!</v>
      </c>
      <c r="AJ26" s="121" t="e">
        <f t="shared" si="54"/>
        <v>#REF!</v>
      </c>
      <c r="AK26" s="121" t="e">
        <f t="shared" si="54"/>
        <v>#REF!</v>
      </c>
    </row>
    <row r="27" spans="2:160" x14ac:dyDescent="0.2">
      <c r="B27" s="127" t="s">
        <v>100</v>
      </c>
      <c r="C27" s="127"/>
      <c r="D27" s="127"/>
      <c r="E27" s="127"/>
      <c r="F27" s="127"/>
      <c r="G27" s="127">
        <f>G11/C11-1</f>
        <v>0.21368126422635836</v>
      </c>
      <c r="H27" s="127">
        <f t="shared" ref="H27:R27" si="55">H11/D11-1</f>
        <v>0.53626121105070901</v>
      </c>
      <c r="I27" s="127">
        <f t="shared" si="55"/>
        <v>0.36439641450950822</v>
      </c>
      <c r="J27" s="127">
        <f t="shared" si="55"/>
        <v>0.28844786546724777</v>
      </c>
      <c r="K27" s="127">
        <f t="shared" si="55"/>
        <v>0.11222283042740866</v>
      </c>
      <c r="L27" s="127">
        <f t="shared" si="55"/>
        <v>8.5885872477228009E-2</v>
      </c>
      <c r="M27" s="127">
        <f t="shared" si="55"/>
        <v>1.8726821720657316E-2</v>
      </c>
      <c r="N27" s="127">
        <f t="shared" si="55"/>
        <v>8.1405950095969182E-2</v>
      </c>
      <c r="O27" s="127">
        <f t="shared" si="55"/>
        <v>-2.3189317842591262E-3</v>
      </c>
      <c r="P27" s="127">
        <f t="shared" si="55"/>
        <v>1.5667674088694294E-2</v>
      </c>
      <c r="Q27" s="127">
        <f t="shared" si="55"/>
        <v>3.5197989368242144E-2</v>
      </c>
      <c r="R27" s="127">
        <f t="shared" si="55"/>
        <v>4.4978146562243637E-2</v>
      </c>
      <c r="S27" s="121"/>
      <c r="V27" s="121"/>
      <c r="W27" s="127">
        <f>W11/V11-1</f>
        <v>0.15861957650261305</v>
      </c>
      <c r="X27" s="127">
        <f>X11/W11-1</f>
        <v>-2.04107758052674E-2</v>
      </c>
      <c r="Y27" s="127">
        <f t="shared" ref="Y27:AA27" si="56">Y11/X11-1</f>
        <v>5.5120803769784787E-2</v>
      </c>
      <c r="Z27" s="127">
        <f t="shared" si="56"/>
        <v>0.33259384733074704</v>
      </c>
      <c r="AA27" s="127">
        <f t="shared" si="56"/>
        <v>7.7937876041846099E-2</v>
      </c>
      <c r="AB27" s="127">
        <f>AB11/AA11-1</f>
        <v>1.0541199204723073E-2</v>
      </c>
      <c r="AC27" s="121" t="e">
        <f>AC26*#REF!</f>
        <v>#REF!</v>
      </c>
      <c r="AD27" s="121" t="e">
        <f>AD26*#REF!</f>
        <v>#REF!</v>
      </c>
      <c r="AE27" s="121" t="e">
        <f>AE26*#REF!</f>
        <v>#REF!</v>
      </c>
      <c r="AF27" s="121" t="e">
        <f>AF26*#REF!</f>
        <v>#REF!</v>
      </c>
      <c r="AG27" s="121" t="e">
        <f>AG26*#REF!</f>
        <v>#REF!</v>
      </c>
      <c r="AH27" s="121" t="e">
        <f>AH26*#REF!</f>
        <v>#REF!</v>
      </c>
      <c r="AI27" s="121" t="e">
        <f>AI26*#REF!</f>
        <v>#REF!</v>
      </c>
      <c r="AJ27" s="121" t="e">
        <f>AJ26*#REF!</f>
        <v>#REF!</v>
      </c>
      <c r="AK27" s="121" t="e">
        <f>AK26*#REF!</f>
        <v>#REF!</v>
      </c>
    </row>
    <row r="28" spans="2:160" x14ac:dyDescent="0.2">
      <c r="B28" s="128" t="s">
        <v>130</v>
      </c>
      <c r="C28" s="128"/>
      <c r="D28" s="128"/>
      <c r="E28" s="128"/>
      <c r="F28" s="128"/>
      <c r="G28" s="128">
        <f>G9/C9-1</f>
        <v>0.20952164239482207</v>
      </c>
      <c r="H28" s="128">
        <f t="shared" ref="H28:R28" si="57">H9/D9-1</f>
        <v>0.61643500500389181</v>
      </c>
      <c r="I28" s="128">
        <f t="shared" si="57"/>
        <v>0.37436867330052226</v>
      </c>
      <c r="J28" s="128">
        <f t="shared" si="57"/>
        <v>0.2977925781172106</v>
      </c>
      <c r="K28" s="128">
        <f t="shared" si="57"/>
        <v>9.1463032254018639E-2</v>
      </c>
      <c r="L28" s="128">
        <f t="shared" si="57"/>
        <v>6.5682484212264303E-2</v>
      </c>
      <c r="M28" s="128">
        <f t="shared" si="57"/>
        <v>-9.2731594420466523E-3</v>
      </c>
      <c r="N28" s="128">
        <f t="shared" si="57"/>
        <v>9.0269348370542124E-2</v>
      </c>
      <c r="O28" s="128">
        <f t="shared" si="57"/>
        <v>-2.7523006061535016E-3</v>
      </c>
      <c r="P28" s="128">
        <f t="shared" si="57"/>
        <v>1.4559045664045867E-2</v>
      </c>
      <c r="Q28" s="128">
        <f t="shared" si="57"/>
        <v>3.0617788651251088E-2</v>
      </c>
      <c r="R28" s="128">
        <f t="shared" si="57"/>
        <v>4.0916034837509718E-2</v>
      </c>
      <c r="S28" s="125"/>
      <c r="V28" s="125"/>
      <c r="W28" s="128">
        <f>W9/V9-1</f>
        <v>0.13346281630481704</v>
      </c>
      <c r="X28" s="128">
        <f>X9/W9-1</f>
        <v>-5.2973915969660834E-2</v>
      </c>
      <c r="Y28" s="128">
        <f t="shared" ref="Y28:AB28" si="58">Y9/X9-1</f>
        <v>3.2092312151970948E-2</v>
      </c>
      <c r="Z28" s="128">
        <f t="shared" si="58"/>
        <v>0.34720743656765429</v>
      </c>
      <c r="AA28" s="128">
        <f t="shared" si="58"/>
        <v>6.3239764351428418E-2</v>
      </c>
      <c r="AB28" s="128">
        <f t="shared" si="58"/>
        <v>1.7974092264681385E-2</v>
      </c>
      <c r="AC28" s="125" t="e">
        <f>AC26-AC27</f>
        <v>#REF!</v>
      </c>
      <c r="AD28" s="125" t="e">
        <f t="shared" ref="AD28:AK28" si="59">AD26-AD27</f>
        <v>#REF!</v>
      </c>
      <c r="AE28" s="125" t="e">
        <f t="shared" si="59"/>
        <v>#REF!</v>
      </c>
      <c r="AF28" s="125" t="e">
        <f t="shared" si="59"/>
        <v>#REF!</v>
      </c>
      <c r="AG28" s="125" t="e">
        <f t="shared" si="59"/>
        <v>#REF!</v>
      </c>
      <c r="AH28" s="125" t="e">
        <f t="shared" si="59"/>
        <v>#REF!</v>
      </c>
      <c r="AI28" s="125" t="e">
        <f t="shared" si="59"/>
        <v>#REF!</v>
      </c>
      <c r="AJ28" s="125" t="e">
        <f t="shared" si="59"/>
        <v>#REF!</v>
      </c>
      <c r="AK28" s="125" t="e">
        <f t="shared" si="59"/>
        <v>#REF!</v>
      </c>
      <c r="AL28" s="125"/>
      <c r="AM28" s="125"/>
      <c r="AN28" s="125"/>
      <c r="AO28" s="125"/>
      <c r="AP28" s="125"/>
      <c r="AQ28" s="125"/>
      <c r="AR28" s="125"/>
      <c r="AS28" s="125"/>
      <c r="AT28" s="125"/>
      <c r="AU28" s="125"/>
      <c r="AV28" s="125"/>
      <c r="AW28" s="125"/>
      <c r="AX28" s="125"/>
      <c r="AY28" s="125"/>
      <c r="AZ28" s="125"/>
      <c r="BA28" s="125"/>
      <c r="BB28" s="125"/>
      <c r="BC28" s="125"/>
      <c r="BD28" s="125"/>
      <c r="BE28" s="125"/>
      <c r="BF28" s="125"/>
      <c r="BG28" s="125"/>
      <c r="BH28" s="125"/>
      <c r="BI28" s="125"/>
      <c r="BJ28" s="125"/>
      <c r="BK28" s="125"/>
      <c r="BL28" s="125"/>
      <c r="BM28" s="125"/>
      <c r="BN28" s="125"/>
      <c r="BO28" s="125"/>
      <c r="BP28" s="125"/>
      <c r="BQ28" s="125"/>
      <c r="BR28" s="125"/>
      <c r="BS28" s="125"/>
      <c r="BT28" s="125"/>
      <c r="BU28" s="125"/>
      <c r="BV28" s="125"/>
      <c r="BW28" s="125"/>
      <c r="BX28" s="125"/>
      <c r="BY28" s="125"/>
      <c r="BZ28" s="125"/>
      <c r="CA28" s="125"/>
      <c r="CB28" s="125"/>
      <c r="CC28" s="125"/>
      <c r="CD28" s="125"/>
      <c r="CE28" s="125"/>
      <c r="CF28" s="125"/>
      <c r="CG28" s="125"/>
      <c r="CH28" s="125"/>
      <c r="CI28" s="125"/>
      <c r="CJ28" s="125"/>
      <c r="CK28" s="125"/>
      <c r="CL28" s="125"/>
      <c r="CM28" s="125"/>
      <c r="CN28" s="125"/>
      <c r="CO28" s="125"/>
      <c r="CP28" s="125"/>
      <c r="CQ28" s="125"/>
      <c r="CR28" s="125"/>
      <c r="CS28" s="125"/>
      <c r="CT28" s="125"/>
      <c r="CU28" s="125"/>
      <c r="CV28" s="125"/>
      <c r="CW28" s="125"/>
      <c r="CX28" s="125"/>
      <c r="CY28" s="125"/>
      <c r="CZ28" s="125"/>
      <c r="DA28" s="125"/>
      <c r="DB28" s="125"/>
      <c r="DC28" s="125"/>
      <c r="DD28" s="125"/>
      <c r="DE28" s="125"/>
      <c r="DF28" s="125"/>
      <c r="DG28" s="125"/>
      <c r="DH28" s="125"/>
      <c r="DI28" s="125"/>
      <c r="DJ28" s="125"/>
      <c r="DK28" s="125"/>
      <c r="DL28" s="125"/>
      <c r="DM28" s="125"/>
      <c r="DN28" s="125"/>
      <c r="DO28" s="125"/>
      <c r="DP28" s="125"/>
      <c r="DQ28" s="125"/>
      <c r="DR28" s="125"/>
      <c r="DS28" s="125"/>
      <c r="DT28" s="125"/>
      <c r="DU28" s="125"/>
      <c r="DV28" s="125"/>
      <c r="DW28" s="125"/>
      <c r="DX28" s="125"/>
      <c r="DY28" s="125"/>
      <c r="DZ28" s="125"/>
      <c r="EA28" s="125"/>
      <c r="EB28" s="125"/>
      <c r="EC28" s="125"/>
      <c r="ED28" s="125"/>
      <c r="EE28" s="125"/>
      <c r="EF28" s="125"/>
      <c r="EG28" s="125"/>
      <c r="EH28" s="125"/>
      <c r="EI28" s="125"/>
      <c r="EJ28" s="125"/>
      <c r="EK28" s="125"/>
      <c r="EL28" s="125"/>
      <c r="EM28" s="125"/>
      <c r="EN28" s="125"/>
      <c r="EO28" s="125"/>
      <c r="EP28" s="125"/>
      <c r="EQ28" s="125"/>
      <c r="ER28" s="125"/>
      <c r="ES28" s="125"/>
      <c r="ET28" s="125"/>
      <c r="EU28" s="125"/>
      <c r="EV28" s="125"/>
      <c r="EW28" s="125"/>
      <c r="EX28" s="125"/>
      <c r="EY28" s="125"/>
      <c r="EZ28" s="125"/>
      <c r="FA28" s="125"/>
      <c r="FB28" s="125"/>
      <c r="FC28" s="125"/>
      <c r="FD28" s="125"/>
    </row>
    <row r="29" spans="2:160" x14ac:dyDescent="0.2">
      <c r="B29" s="126"/>
      <c r="C29" s="126"/>
      <c r="D29" s="126"/>
      <c r="E29" s="126"/>
      <c r="F29" s="126"/>
      <c r="G29" s="126"/>
      <c r="H29" s="126"/>
      <c r="I29" s="126"/>
      <c r="J29" s="126"/>
      <c r="K29" s="126"/>
      <c r="L29" s="126"/>
      <c r="M29" s="126"/>
      <c r="N29" s="126"/>
      <c r="O29" s="126"/>
      <c r="P29" s="126"/>
      <c r="Q29" s="126"/>
      <c r="R29" s="126"/>
      <c r="S29" s="121"/>
      <c r="W29" s="127"/>
      <c r="X29" s="127"/>
      <c r="Y29" s="127"/>
      <c r="Z29" s="127"/>
      <c r="AA29" s="127"/>
      <c r="AB29" s="127"/>
      <c r="AC29" s="121"/>
      <c r="AD29" s="121"/>
      <c r="AE29" s="121"/>
      <c r="AF29" s="121"/>
      <c r="AG29" s="121"/>
      <c r="AH29" s="121"/>
      <c r="AI29" s="121"/>
      <c r="AJ29" s="121"/>
      <c r="AK29" s="121"/>
    </row>
    <row r="30" spans="2:160" x14ac:dyDescent="0.2">
      <c r="B30" s="126" t="s">
        <v>131</v>
      </c>
      <c r="C30" s="126"/>
      <c r="D30" s="126"/>
      <c r="E30" s="126"/>
      <c r="F30" s="126"/>
      <c r="G30" s="126">
        <f t="shared" ref="G30:N33" si="60">G3/C3-1</f>
        <v>0.1722751398395197</v>
      </c>
      <c r="H30" s="126">
        <f t="shared" si="60"/>
        <v>0.65520336993301576</v>
      </c>
      <c r="I30" s="126">
        <f t="shared" si="60"/>
        <v>0.49784238019532134</v>
      </c>
      <c r="J30" s="126">
        <f t="shared" si="60"/>
        <v>0.46982302223566785</v>
      </c>
      <c r="K30" s="126">
        <f t="shared" si="60"/>
        <v>9.1940180191167231E-2</v>
      </c>
      <c r="L30" s="126">
        <f t="shared" si="60"/>
        <v>5.4904251324627618E-2</v>
      </c>
      <c r="M30" s="126">
        <f t="shared" si="60"/>
        <v>2.7672479150871787E-2</v>
      </c>
      <c r="N30" s="126">
        <f t="shared" si="60"/>
        <v>9.6686220026757308E-2</v>
      </c>
      <c r="O30" s="126">
        <v>0</v>
      </c>
      <c r="P30" s="126">
        <v>0.02</v>
      </c>
      <c r="Q30" s="126">
        <v>0.03</v>
      </c>
      <c r="R30" s="126">
        <v>0.03</v>
      </c>
      <c r="S30" s="127"/>
      <c r="T30" s="127"/>
      <c r="U30" s="127"/>
      <c r="V30" s="127"/>
      <c r="W30" s="126">
        <f t="shared" ref="W30:AB33" si="61">W3/V3-1</f>
        <v>0.16677870633106662</v>
      </c>
      <c r="X30" s="126">
        <f t="shared" si="61"/>
        <v>-0.13649871427878313</v>
      </c>
      <c r="Y30" s="126">
        <f t="shared" si="61"/>
        <v>-3.2307681502447672E-2</v>
      </c>
      <c r="Z30" s="126">
        <f t="shared" si="61"/>
        <v>0.39331983364905176</v>
      </c>
      <c r="AA30" s="126">
        <f t="shared" si="61"/>
        <v>7.0405734139696641E-2</v>
      </c>
      <c r="AB30" s="126">
        <f t="shared" si="61"/>
        <v>1.7081838930551152E-2</v>
      </c>
      <c r="AC30" s="127">
        <f t="shared" ref="AC30:AK30" si="62">AC18/AB18-1</f>
        <v>25.456000137281631</v>
      </c>
      <c r="AD30" s="127">
        <f t="shared" si="62"/>
        <v>9.5715447287882505E-2</v>
      </c>
      <c r="AE30" s="127">
        <f t="shared" si="62"/>
        <v>0.10703636856218313</v>
      </c>
      <c r="AF30" s="127">
        <f t="shared" si="62"/>
        <v>0.10711047079478386</v>
      </c>
      <c r="AG30" s="127">
        <f t="shared" si="62"/>
        <v>0.11177183547654224</v>
      </c>
      <c r="AH30" s="127">
        <f t="shared" si="62"/>
        <v>0.11692454812807185</v>
      </c>
      <c r="AI30" s="127">
        <f t="shared" si="62"/>
        <v>0.11687856306480882</v>
      </c>
      <c r="AJ30" s="127">
        <f t="shared" si="62"/>
        <v>0.12151302332007186</v>
      </c>
      <c r="AK30" s="127">
        <f t="shared" si="62"/>
        <v>0.12105004466813174</v>
      </c>
      <c r="AN30" s="126"/>
    </row>
    <row r="31" spans="2:160" x14ac:dyDescent="0.2">
      <c r="B31" s="126" t="s">
        <v>132</v>
      </c>
      <c r="C31" s="126"/>
      <c r="D31" s="126"/>
      <c r="E31" s="126"/>
      <c r="F31" s="126"/>
      <c r="G31" s="126">
        <f t="shared" si="60"/>
        <v>0.21159217877094982</v>
      </c>
      <c r="H31" s="126">
        <f t="shared" si="60"/>
        <v>0.70099046907120166</v>
      </c>
      <c r="I31" s="126">
        <f t="shared" si="60"/>
        <v>0.16329990111597681</v>
      </c>
      <c r="J31" s="126">
        <f t="shared" si="60"/>
        <v>1.6164747564216153E-2</v>
      </c>
      <c r="K31" s="126">
        <f t="shared" si="60"/>
        <v>0.2509510086455331</v>
      </c>
      <c r="L31" s="126">
        <f t="shared" si="60"/>
        <v>0.14645132937815863</v>
      </c>
      <c r="M31" s="126">
        <f t="shared" si="60"/>
        <v>-0.10358227079538551</v>
      </c>
      <c r="N31" s="126">
        <f t="shared" si="60"/>
        <v>0.25386794508607546</v>
      </c>
      <c r="O31" s="126">
        <v>0.08</v>
      </c>
      <c r="P31" s="126">
        <v>0.04</v>
      </c>
      <c r="Q31" s="126">
        <v>0.06</v>
      </c>
      <c r="R31" s="126">
        <v>7.0000000000000007E-2</v>
      </c>
      <c r="S31" s="126"/>
      <c r="T31" s="126"/>
      <c r="U31" s="126"/>
      <c r="V31" s="126"/>
      <c r="W31" s="126">
        <f t="shared" si="61"/>
        <v>0.31089376755800635</v>
      </c>
      <c r="X31" s="126">
        <f t="shared" si="61"/>
        <v>2.1509643622509733E-2</v>
      </c>
      <c r="Y31" s="126">
        <f t="shared" si="61"/>
        <v>0.11196581196581201</v>
      </c>
      <c r="Z31" s="126">
        <f t="shared" si="61"/>
        <v>0.22947383131856625</v>
      </c>
      <c r="AA31" s="126">
        <f t="shared" si="61"/>
        <v>0.14171639670360903</v>
      </c>
      <c r="AB31" s="126">
        <f t="shared" si="61"/>
        <v>6.3071906812355527E-2</v>
      </c>
      <c r="AC31" s="129">
        <v>0.14000000000000001</v>
      </c>
      <c r="AD31" s="129">
        <v>0.16</v>
      </c>
      <c r="AE31" s="129">
        <v>0.14000000000000001</v>
      </c>
      <c r="AF31" s="129">
        <v>0.12</v>
      </c>
      <c r="AG31" s="129">
        <v>0.12</v>
      </c>
      <c r="AH31" s="129">
        <v>0.11</v>
      </c>
      <c r="AI31" s="129">
        <v>0.1</v>
      </c>
      <c r="AJ31" s="129">
        <v>0.09</v>
      </c>
      <c r="AK31" s="129">
        <v>0.08</v>
      </c>
      <c r="AN31" s="130"/>
    </row>
    <row r="32" spans="2:160" x14ac:dyDescent="0.2">
      <c r="B32" s="126" t="s">
        <v>133</v>
      </c>
      <c r="C32" s="126"/>
      <c r="D32" s="126"/>
      <c r="E32" s="126"/>
      <c r="F32" s="126"/>
      <c r="G32" s="126">
        <f t="shared" si="60"/>
        <v>0.4112430985444202</v>
      </c>
      <c r="H32" s="126">
        <f t="shared" si="60"/>
        <v>0.78731684981684991</v>
      </c>
      <c r="I32" s="126">
        <f t="shared" si="60"/>
        <v>0.11941659070191424</v>
      </c>
      <c r="J32" s="126">
        <f t="shared" si="60"/>
        <v>0.21406502868912747</v>
      </c>
      <c r="K32" s="126">
        <f t="shared" si="60"/>
        <v>-0.14072317723770011</v>
      </c>
      <c r="L32" s="126">
        <f t="shared" si="60"/>
        <v>-2.0622518252849997E-2</v>
      </c>
      <c r="M32" s="126">
        <f t="shared" si="60"/>
        <v>-1.9543973941368087E-2</v>
      </c>
      <c r="N32" s="126">
        <f t="shared" si="60"/>
        <v>-0.13063499757634511</v>
      </c>
      <c r="O32" s="126">
        <v>-0.2</v>
      </c>
      <c r="P32" s="126">
        <v>-0.12</v>
      </c>
      <c r="Q32" s="126">
        <v>-0.04</v>
      </c>
      <c r="R32" s="126">
        <v>0.02</v>
      </c>
      <c r="S32" s="126"/>
      <c r="T32" s="126"/>
      <c r="U32" s="126"/>
      <c r="V32" s="126"/>
      <c r="W32" s="126">
        <f t="shared" si="61"/>
        <v>-0.28897485493230179</v>
      </c>
      <c r="X32" s="126">
        <f t="shared" si="61"/>
        <v>0.15778019586507064</v>
      </c>
      <c r="Y32" s="126">
        <f t="shared" si="61"/>
        <v>0.11484962406015042</v>
      </c>
      <c r="Z32" s="126">
        <f t="shared" si="61"/>
        <v>0.34302815714044854</v>
      </c>
      <c r="AA32" s="126">
        <f t="shared" si="61"/>
        <v>-8.0660347749670458E-2</v>
      </c>
      <c r="AB32" s="126">
        <f t="shared" si="61"/>
        <v>-8.5777686740406867E-2</v>
      </c>
      <c r="AC32" s="128">
        <v>0.08</v>
      </c>
      <c r="AD32" s="128">
        <v>0.12</v>
      </c>
      <c r="AE32" s="128">
        <v>0.08</v>
      </c>
      <c r="AF32" s="128">
        <f>AE32-($AB$32-$AK$32)/($AK$2-$AB$2)</f>
        <v>9.5086409637822986E-2</v>
      </c>
      <c r="AG32" s="128">
        <v>7.0000000000000007E-2</v>
      </c>
      <c r="AH32" s="128">
        <v>0.06</v>
      </c>
      <c r="AI32" s="128">
        <v>0.05</v>
      </c>
      <c r="AJ32" s="128">
        <v>0.05</v>
      </c>
      <c r="AK32" s="128">
        <v>0.05</v>
      </c>
      <c r="AN32" s="126"/>
    </row>
    <row r="33" spans="2:37" x14ac:dyDescent="0.2">
      <c r="B33" s="126" t="s">
        <v>134</v>
      </c>
      <c r="C33" s="126"/>
      <c r="D33" s="126"/>
      <c r="E33" s="126"/>
      <c r="F33" s="126"/>
      <c r="G33" s="126">
        <f t="shared" si="60"/>
        <v>0.2958041958041957</v>
      </c>
      <c r="H33" s="126">
        <f t="shared" si="60"/>
        <v>0.2469764481222152</v>
      </c>
      <c r="I33" s="126">
        <f t="shared" si="60"/>
        <v>0.36046511627906974</v>
      </c>
      <c r="J33" s="126">
        <f t="shared" si="60"/>
        <v>0.11541391569324522</v>
      </c>
      <c r="K33" s="126">
        <f t="shared" si="60"/>
        <v>0.13337445069771037</v>
      </c>
      <c r="L33" s="126">
        <f t="shared" si="60"/>
        <v>0.12378764675855036</v>
      </c>
      <c r="M33" s="126">
        <f t="shared" si="60"/>
        <v>-7.8746438746438718E-2</v>
      </c>
      <c r="N33" s="126">
        <f t="shared" si="60"/>
        <v>9.8463289698349499E-2</v>
      </c>
      <c r="O33" s="126">
        <v>0.02</v>
      </c>
      <c r="P33" s="126">
        <v>7.0000000000000007E-2</v>
      </c>
      <c r="Q33" s="126">
        <v>7.0000000000000007E-2</v>
      </c>
      <c r="R33" s="126">
        <v>7.0000000000000007E-2</v>
      </c>
      <c r="S33" s="126"/>
      <c r="T33" s="126"/>
      <c r="U33" s="126"/>
      <c r="V33" s="126"/>
      <c r="W33" s="126">
        <f t="shared" si="61"/>
        <v>0.35123999067091649</v>
      </c>
      <c r="X33" s="126">
        <f t="shared" si="61"/>
        <v>0.40854956561762834</v>
      </c>
      <c r="Y33" s="126">
        <f t="shared" si="61"/>
        <v>0.25071481088146386</v>
      </c>
      <c r="Z33" s="126">
        <f t="shared" si="61"/>
        <v>0.2530045721750489</v>
      </c>
      <c r="AA33" s="126">
        <f t="shared" si="61"/>
        <v>7.4908124169208001E-2</v>
      </c>
      <c r="AB33" s="126">
        <f t="shared" si="61"/>
        <v>5.2176717344390555E-2</v>
      </c>
      <c r="AC33" s="128">
        <v>-0.05</v>
      </c>
      <c r="AD33" s="128">
        <v>-0.02</v>
      </c>
      <c r="AE33" s="128">
        <v>0.01</v>
      </c>
      <c r="AF33" s="128">
        <f>AE33-($AE$33-$AK$33)/($AK$2-$AE$2)</f>
        <v>1.3333333333333332E-2</v>
      </c>
      <c r="AG33" s="128">
        <f>AF33-($AE$33-$AK$33)/($AK$2-$AE$2)</f>
        <v>1.6666666666666666E-2</v>
      </c>
      <c r="AH33" s="128">
        <f>AG33-($AE$33-$AK$33)/($AK$2-$AE$2)</f>
        <v>0.02</v>
      </c>
      <c r="AI33" s="128">
        <f>AH33-($AE$33-$AK$33)/($AK$2-$AE$2)</f>
        <v>2.3333333333333334E-2</v>
      </c>
      <c r="AJ33" s="128">
        <v>0.03</v>
      </c>
      <c r="AK33" s="128">
        <v>0.03</v>
      </c>
    </row>
    <row r="34" spans="2:37" x14ac:dyDescent="0.2">
      <c r="B34" s="126" t="s">
        <v>135</v>
      </c>
      <c r="C34" s="126"/>
      <c r="D34" s="126"/>
      <c r="E34" s="126"/>
      <c r="F34" s="126"/>
      <c r="G34" s="126">
        <f t="shared" ref="G34:N34" si="63">G10/C10-1</f>
        <v>0.23955957530475813</v>
      </c>
      <c r="H34" s="126">
        <f t="shared" si="63"/>
        <v>0.26618219958046141</v>
      </c>
      <c r="I34" s="126">
        <f t="shared" si="63"/>
        <v>0.32912739434478566</v>
      </c>
      <c r="J34" s="126">
        <f t="shared" si="63"/>
        <v>0.25623754209911342</v>
      </c>
      <c r="K34" s="126">
        <f t="shared" si="63"/>
        <v>0.23824630416851722</v>
      </c>
      <c r="L34" s="126">
        <f t="shared" si="63"/>
        <v>0.17277084196201398</v>
      </c>
      <c r="M34" s="126">
        <f t="shared" si="63"/>
        <v>0.12112547180601618</v>
      </c>
      <c r="N34" s="126">
        <f t="shared" si="63"/>
        <v>4.984406631285232E-2</v>
      </c>
      <c r="O34" s="126">
        <v>0</v>
      </c>
      <c r="P34" s="126">
        <v>0.02</v>
      </c>
      <c r="Q34" s="126">
        <v>0.05</v>
      </c>
      <c r="R34" s="126">
        <v>0.06</v>
      </c>
      <c r="S34" s="126"/>
      <c r="T34" s="126"/>
      <c r="U34" s="126"/>
      <c r="V34" s="126"/>
      <c r="W34" s="126">
        <f>W10/V10-1</f>
        <v>0.3258172114743163</v>
      </c>
      <c r="X34" s="126">
        <f>X10/W10-1</f>
        <v>0.16461205595250084</v>
      </c>
      <c r="Y34" s="126">
        <f t="shared" ref="Y34:AB34" si="64">Y10/X10-1</f>
        <v>0.16152167807997242</v>
      </c>
      <c r="Z34" s="126">
        <f t="shared" si="64"/>
        <v>0.27259708376729663</v>
      </c>
      <c r="AA34" s="126">
        <f t="shared" si="64"/>
        <v>0.14181951041286078</v>
      </c>
      <c r="AB34" s="126">
        <f t="shared" si="64"/>
        <v>3.2355463400273843E-2</v>
      </c>
      <c r="AC34" s="128">
        <v>0.12</v>
      </c>
      <c r="AD34" s="128">
        <v>0.12</v>
      </c>
      <c r="AE34" s="128">
        <v>0.12</v>
      </c>
      <c r="AF34" s="128">
        <v>0.12</v>
      </c>
      <c r="AG34" s="128">
        <v>0.12</v>
      </c>
      <c r="AH34" s="128">
        <v>0.12</v>
      </c>
      <c r="AI34" s="128">
        <v>0.12</v>
      </c>
      <c r="AJ34" s="128">
        <v>0.12</v>
      </c>
      <c r="AK34" s="128">
        <v>0.12</v>
      </c>
    </row>
    <row r="35" spans="2:37" x14ac:dyDescent="0.2">
      <c r="B35" s="126" t="s">
        <v>155</v>
      </c>
      <c r="C35" s="126"/>
      <c r="D35" s="126"/>
      <c r="E35" s="126"/>
      <c r="F35" s="126"/>
      <c r="G35" s="126">
        <f>G7/C7-1</f>
        <v>0.29956365835745458</v>
      </c>
      <c r="H35" s="126">
        <f t="shared" ref="H35:M35" si="65">H7/D7-1</f>
        <v>0.54627257389239525</v>
      </c>
      <c r="I35" s="126">
        <f t="shared" si="65"/>
        <v>0.21217244294167381</v>
      </c>
      <c r="J35" s="126">
        <f t="shared" si="65"/>
        <v>0.10588483442311758</v>
      </c>
      <c r="K35" s="126">
        <f t="shared" si="65"/>
        <v>9.0422525846880042E-2</v>
      </c>
      <c r="L35" s="126">
        <f t="shared" si="65"/>
        <v>8.6562942008486576E-2</v>
      </c>
      <c r="M35" s="126">
        <f t="shared" si="65"/>
        <v>-6.9242759865452475E-2</v>
      </c>
      <c r="N35" s="126">
        <f t="shared" ref="N35" si="66">N7/J7-1</f>
        <v>8.0755292771314213E-2</v>
      </c>
      <c r="O35" s="126">
        <f t="shared" ref="O35" si="67">O7/K7-1</f>
        <v>-8.762537727508235E-3</v>
      </c>
      <c r="P35" s="126">
        <f t="shared" ref="P35" si="68">P7/L7-1</f>
        <v>4.3255104697439428E-3</v>
      </c>
      <c r="Q35" s="126">
        <f t="shared" ref="Q35" si="69">Q7/M7-1</f>
        <v>3.1724988981930435E-2</v>
      </c>
      <c r="R35" s="126">
        <f t="shared" ref="R35" si="70">R7/N7-1</f>
        <v>5.7339404207256806E-2</v>
      </c>
      <c r="S35" s="126"/>
      <c r="T35" s="126"/>
      <c r="U35" s="126"/>
      <c r="V35" s="126"/>
      <c r="W35" s="126">
        <f>W7/V7-1</f>
        <v>5.2196427030292591E-2</v>
      </c>
      <c r="X35" s="126">
        <f t="shared" ref="X35:AK35" si="71">X7/W7-1</f>
        <v>0.17295231220984597</v>
      </c>
      <c r="Y35" s="126">
        <f t="shared" si="71"/>
        <v>0.16033117954742515</v>
      </c>
      <c r="Z35" s="126">
        <f t="shared" si="71"/>
        <v>0.27062893233372698</v>
      </c>
      <c r="AA35" s="126">
        <f t="shared" si="71"/>
        <v>5.0190193418643725E-2</v>
      </c>
      <c r="AB35" s="126">
        <f t="shared" si="71"/>
        <v>1.9630205040195081E-2</v>
      </c>
      <c r="AC35" s="126">
        <f t="shared" si="71"/>
        <v>-1</v>
      </c>
      <c r="AD35" s="126" t="e">
        <f t="shared" si="71"/>
        <v>#DIV/0!</v>
      </c>
      <c r="AE35" s="126" t="e">
        <f t="shared" si="71"/>
        <v>#DIV/0!</v>
      </c>
      <c r="AF35" s="126" t="e">
        <f t="shared" si="71"/>
        <v>#DIV/0!</v>
      </c>
      <c r="AG35" s="126" t="e">
        <f t="shared" si="71"/>
        <v>#DIV/0!</v>
      </c>
      <c r="AH35" s="126" t="e">
        <f t="shared" si="71"/>
        <v>#DIV/0!</v>
      </c>
      <c r="AI35" s="126" t="e">
        <f t="shared" si="71"/>
        <v>#DIV/0!</v>
      </c>
      <c r="AJ35" s="126" t="e">
        <f t="shared" si="71"/>
        <v>#DIV/0!</v>
      </c>
      <c r="AK35" s="126" t="e">
        <f t="shared" si="71"/>
        <v>#DIV/0!</v>
      </c>
    </row>
    <row r="36" spans="2:37" x14ac:dyDescent="0.2">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c r="AA36" s="126"/>
      <c r="AB36" s="126"/>
      <c r="AC36" s="128">
        <v>-0.01</v>
      </c>
      <c r="AD36" s="128">
        <v>0.03</v>
      </c>
      <c r="AE36" s="128">
        <f t="shared" ref="AE36:AJ36" si="72">AD36-($AD$36-$AK$36)/($AK$2-$AD$2)</f>
        <v>4.7142857142857139E-2</v>
      </c>
      <c r="AF36" s="128">
        <f t="shared" si="72"/>
        <v>6.4285714285714279E-2</v>
      </c>
      <c r="AG36" s="128">
        <f t="shared" si="72"/>
        <v>8.142857142857142E-2</v>
      </c>
      <c r="AH36" s="128">
        <f t="shared" si="72"/>
        <v>9.857142857142856E-2</v>
      </c>
      <c r="AI36" s="128">
        <f t="shared" si="72"/>
        <v>0.1157142857142857</v>
      </c>
      <c r="AJ36" s="128">
        <f t="shared" si="72"/>
        <v>0.13285714285714284</v>
      </c>
      <c r="AK36" s="128">
        <v>0.15</v>
      </c>
    </row>
    <row r="37" spans="2:37" x14ac:dyDescent="0.2">
      <c r="B37" s="126" t="s">
        <v>121</v>
      </c>
      <c r="C37" s="126"/>
      <c r="D37" s="126"/>
      <c r="E37" s="126"/>
      <c r="F37" s="126"/>
      <c r="G37" s="126">
        <f t="shared" ref="G37:N38" si="73">G12/G9</f>
        <v>0.64936558038420533</v>
      </c>
      <c r="H37" s="126">
        <f t="shared" si="73"/>
        <v>0.6390352627161785</v>
      </c>
      <c r="I37" s="126">
        <f t="shared" si="73"/>
        <v>0.63956652279977477</v>
      </c>
      <c r="J37" s="126">
        <f t="shared" si="73"/>
        <v>0.65746815604689401</v>
      </c>
      <c r="K37" s="126">
        <f t="shared" si="73"/>
        <v>0.61581553016882284</v>
      </c>
      <c r="L37" s="126">
        <f t="shared" si="73"/>
        <v>0.63635307331809909</v>
      </c>
      <c r="M37" s="126">
        <f t="shared" si="73"/>
        <v>0.65480230447478494</v>
      </c>
      <c r="N37" s="126">
        <f t="shared" si="73"/>
        <v>0.65372473857775026</v>
      </c>
      <c r="O37" s="126">
        <v>0.63</v>
      </c>
      <c r="P37" s="126">
        <v>0.65500000000000003</v>
      </c>
      <c r="Q37" s="126">
        <f t="shared" ref="Q37:R38" si="74">AVERAGE(M37:P37)</f>
        <v>0.6483817607631337</v>
      </c>
      <c r="R37" s="126">
        <f t="shared" si="74"/>
        <v>0.64677662483522103</v>
      </c>
      <c r="S37" s="126"/>
      <c r="T37" s="126"/>
      <c r="U37" s="126"/>
      <c r="V37" s="126"/>
      <c r="W37" s="126">
        <f t="shared" ref="W37:AB38" si="75">W12/W9</f>
        <v>0.65603705163229975</v>
      </c>
      <c r="X37" s="126">
        <f t="shared" si="75"/>
        <v>0.67792204148997348</v>
      </c>
      <c r="Y37" s="126">
        <f t="shared" si="75"/>
        <v>0.68533660706600774</v>
      </c>
      <c r="Z37" s="126">
        <f t="shared" si="75"/>
        <v>0.64650696723516432</v>
      </c>
      <c r="AA37" s="126">
        <f t="shared" si="75"/>
        <v>0.63716520292600543</v>
      </c>
      <c r="AB37" s="126">
        <f t="shared" si="75"/>
        <v>0.64368199846016194</v>
      </c>
      <c r="AC37" s="128">
        <v>0.11</v>
      </c>
      <c r="AD37" s="128">
        <v>0.11</v>
      </c>
      <c r="AE37" s="128">
        <v>0.11</v>
      </c>
      <c r="AF37" s="128">
        <v>0.11</v>
      </c>
      <c r="AG37" s="128">
        <v>0.11</v>
      </c>
      <c r="AH37" s="128">
        <v>0.11</v>
      </c>
      <c r="AI37" s="128">
        <v>0.11</v>
      </c>
      <c r="AJ37" s="128">
        <v>0.11</v>
      </c>
      <c r="AK37" s="128">
        <v>0.11</v>
      </c>
    </row>
    <row r="38" spans="2:37" x14ac:dyDescent="0.2">
      <c r="B38" s="126" t="s">
        <v>122</v>
      </c>
      <c r="C38" s="126"/>
      <c r="D38" s="126"/>
      <c r="E38" s="126"/>
      <c r="F38" s="126"/>
      <c r="G38" s="126">
        <f t="shared" si="73"/>
        <v>0.31603324662140725</v>
      </c>
      <c r="H38" s="126">
        <f t="shared" si="73"/>
        <v>0.29927223241228329</v>
      </c>
      <c r="I38" s="126">
        <f t="shared" si="73"/>
        <v>0.30195585039460138</v>
      </c>
      <c r="J38" s="126">
        <f t="shared" si="73"/>
        <v>0.29523444766646606</v>
      </c>
      <c r="K38" s="126">
        <f t="shared" si="73"/>
        <v>0.27633736421397825</v>
      </c>
      <c r="L38" s="126">
        <f t="shared" si="73"/>
        <v>0.27390141768831039</v>
      </c>
      <c r="M38" s="126">
        <f t="shared" si="73"/>
        <v>0.28509487859620486</v>
      </c>
      <c r="N38" s="126">
        <f t="shared" si="73"/>
        <v>0.2951844903064415</v>
      </c>
      <c r="O38" s="126">
        <v>0.27500000000000002</v>
      </c>
      <c r="P38" s="126">
        <v>0.31</v>
      </c>
      <c r="Q38" s="126">
        <v>0.3</v>
      </c>
      <c r="R38" s="126">
        <f t="shared" si="74"/>
        <v>0.29504612257661039</v>
      </c>
      <c r="S38" s="126"/>
      <c r="T38" s="126"/>
      <c r="U38" s="126"/>
      <c r="V38" s="126"/>
      <c r="W38" s="126">
        <f t="shared" si="75"/>
        <v>0.39227130924826409</v>
      </c>
      <c r="X38" s="126">
        <f t="shared" si="75"/>
        <v>0.36261908362316647</v>
      </c>
      <c r="Y38" s="126">
        <f t="shared" si="75"/>
        <v>0.33984898080642761</v>
      </c>
      <c r="Z38" s="126">
        <f t="shared" si="75"/>
        <v>0.30274022652539279</v>
      </c>
      <c r="AA38" s="126">
        <f t="shared" si="75"/>
        <v>0.28254553366867619</v>
      </c>
      <c r="AB38" s="126">
        <f t="shared" si="75"/>
        <v>0.29520829464063214</v>
      </c>
      <c r="AC38" s="128">
        <f>AVERAGE(Y38:AB38)</f>
        <v>0.30508575891028222</v>
      </c>
      <c r="AD38" s="128">
        <f t="shared" ref="AD38:AK38" si="76">AVERAGE(Z38:AC38)</f>
        <v>0.29639495343624583</v>
      </c>
      <c r="AE38" s="128">
        <f t="shared" si="76"/>
        <v>0.29480863516395911</v>
      </c>
      <c r="AF38" s="128">
        <f t="shared" si="76"/>
        <v>0.29787441053777985</v>
      </c>
      <c r="AG38" s="128">
        <f t="shared" si="76"/>
        <v>0.29854093951206673</v>
      </c>
      <c r="AH38" s="128">
        <f t="shared" si="76"/>
        <v>0.29690473466251288</v>
      </c>
      <c r="AI38" s="128">
        <f t="shared" si="76"/>
        <v>0.2970321799690796</v>
      </c>
      <c r="AJ38" s="128">
        <f t="shared" si="76"/>
        <v>0.29758806617035977</v>
      </c>
      <c r="AK38" s="128">
        <f t="shared" si="76"/>
        <v>0.29751648007850473</v>
      </c>
    </row>
    <row r="39" spans="2:37" x14ac:dyDescent="0.2">
      <c r="B39" s="126" t="s">
        <v>101</v>
      </c>
      <c r="C39" s="126"/>
      <c r="D39" s="126"/>
      <c r="E39" s="126"/>
      <c r="F39" s="126"/>
      <c r="G39" s="126">
        <f t="shared" ref="G39:R39" si="77">G15/G11</f>
        <v>0.39777815665969724</v>
      </c>
      <c r="H39" s="126">
        <f t="shared" si="77"/>
        <v>0.42506474370423292</v>
      </c>
      <c r="I39" s="126">
        <f t="shared" si="77"/>
        <v>0.43292727853230839</v>
      </c>
      <c r="J39" s="126">
        <f t="shared" si="77"/>
        <v>0.42195297504798462</v>
      </c>
      <c r="K39" s="126">
        <f t="shared" si="77"/>
        <v>0.43763766186615033</v>
      </c>
      <c r="L39" s="126">
        <f t="shared" si="77"/>
        <v>0.43749871502292398</v>
      </c>
      <c r="M39" s="126">
        <f t="shared" si="77"/>
        <v>0.43256307332537758</v>
      </c>
      <c r="N39" s="126">
        <f t="shared" si="77"/>
        <v>0.4225922392563175</v>
      </c>
      <c r="O39" s="126">
        <f t="shared" si="77"/>
        <v>0.42602713557874905</v>
      </c>
      <c r="P39" s="126">
        <f t="shared" si="77"/>
        <v>0.41559575138671112</v>
      </c>
      <c r="Q39" s="126">
        <f t="shared" si="77"/>
        <v>0.43512131536643534</v>
      </c>
      <c r="R39" s="126">
        <f t="shared" si="77"/>
        <v>0.42916710768854754</v>
      </c>
      <c r="S39" s="126"/>
      <c r="T39" s="126"/>
      <c r="U39" s="126"/>
      <c r="V39" s="126"/>
      <c r="W39" s="126">
        <f t="shared" ref="W39:X39" si="78">W15/W11</f>
        <v>0.38343718820007905</v>
      </c>
      <c r="X39" s="126">
        <f t="shared" si="78"/>
        <v>0.37817768109034722</v>
      </c>
      <c r="Y39" s="126">
        <f>Y15/Y11</f>
        <v>0.38233247727810865</v>
      </c>
      <c r="Z39" s="126">
        <f t="shared" ref="Z39:AB39" si="79">Z15/Z11</f>
        <v>0.41779359625167778</v>
      </c>
      <c r="AA39" s="126">
        <f t="shared" si="79"/>
        <v>0.43309630561360085</v>
      </c>
      <c r="AB39" s="126">
        <f t="shared" si="79"/>
        <v>0.43047777829473638</v>
      </c>
      <c r="AC39" s="128">
        <v>-0.06</v>
      </c>
      <c r="AD39" s="128">
        <v>-0.01</v>
      </c>
      <c r="AE39" s="128">
        <v>0.03</v>
      </c>
      <c r="AF39" s="128">
        <v>0.03</v>
      </c>
      <c r="AG39" s="128">
        <v>0.04</v>
      </c>
      <c r="AH39" s="128">
        <v>0.06</v>
      </c>
      <c r="AI39" s="128">
        <v>0.05</v>
      </c>
      <c r="AJ39" s="128">
        <v>0.05</v>
      </c>
      <c r="AK39" s="128">
        <v>0.03</v>
      </c>
    </row>
    <row r="40" spans="2:37" x14ac:dyDescent="0.2">
      <c r="B40" s="126" t="s">
        <v>136</v>
      </c>
      <c r="C40" s="126"/>
      <c r="D40" s="126"/>
      <c r="E40" s="126"/>
      <c r="F40" s="126"/>
      <c r="G40" s="126">
        <f t="shared" ref="G40:N40" si="80">G16/G11</f>
        <v>4.6330279345650982E-2</v>
      </c>
      <c r="H40" s="126">
        <f t="shared" si="80"/>
        <v>5.8738167529916056E-2</v>
      </c>
      <c r="I40" s="126">
        <f t="shared" si="80"/>
        <v>7.0204091657047427E-2</v>
      </c>
      <c r="J40" s="126">
        <f t="shared" si="80"/>
        <v>6.9241842610364687E-2</v>
      </c>
      <c r="K40" s="126">
        <f t="shared" si="80"/>
        <v>5.0877405300738233E-2</v>
      </c>
      <c r="L40" s="126">
        <f t="shared" si="80"/>
        <v>6.5657188675754027E-2</v>
      </c>
      <c r="M40" s="126">
        <f t="shared" si="80"/>
        <v>8.1932038717920902E-2</v>
      </c>
      <c r="N40" s="126">
        <f t="shared" si="80"/>
        <v>7.5000554655780621E-2</v>
      </c>
      <c r="O40" s="126">
        <v>6.2E-2</v>
      </c>
      <c r="P40" s="126">
        <f>L40</f>
        <v>6.5657188675754027E-2</v>
      </c>
      <c r="Q40" s="126">
        <f t="shared" ref="Q40:R41" si="81">M40</f>
        <v>8.1932038717920902E-2</v>
      </c>
      <c r="R40" s="126">
        <f t="shared" si="81"/>
        <v>7.5000554655780621E-2</v>
      </c>
      <c r="S40" s="126"/>
      <c r="T40" s="126"/>
      <c r="U40" s="126"/>
      <c r="V40" s="126"/>
      <c r="W40" s="126">
        <f t="shared" ref="W40:X40" si="82">W16/W11</f>
        <v>5.3600406634161032E-2</v>
      </c>
      <c r="X40" s="126">
        <f t="shared" si="82"/>
        <v>6.233136285716482E-2</v>
      </c>
      <c r="Y40" s="126">
        <f>Y16/Y11</f>
        <v>6.8309564140393061E-2</v>
      </c>
      <c r="Z40" s="126">
        <f>Z16/Z11</f>
        <v>5.9904269074427925E-2</v>
      </c>
      <c r="AA40" s="126">
        <f>AA16/AA11</f>
        <v>6.657148363798665E-2</v>
      </c>
      <c r="AB40" s="126">
        <f>AB16/AB11</f>
        <v>7.090655697976192E-2</v>
      </c>
      <c r="AC40" s="128">
        <v>0.1</v>
      </c>
      <c r="AD40" s="128">
        <v>0.09</v>
      </c>
      <c r="AE40" s="128">
        <v>0.09</v>
      </c>
      <c r="AF40" s="128">
        <v>0.08</v>
      </c>
      <c r="AG40" s="128">
        <v>7.0000000000000007E-2</v>
      </c>
      <c r="AH40" s="128">
        <v>0.06</v>
      </c>
      <c r="AI40" s="128">
        <v>0.05</v>
      </c>
      <c r="AJ40" s="128">
        <v>0.05</v>
      </c>
      <c r="AK40" s="128">
        <v>0.03</v>
      </c>
    </row>
    <row r="41" spans="2:37" x14ac:dyDescent="0.2">
      <c r="B41" s="126" t="s">
        <v>137</v>
      </c>
      <c r="C41" s="126"/>
      <c r="D41" s="126"/>
      <c r="E41" s="126"/>
      <c r="F41" s="126"/>
      <c r="G41" s="126">
        <f t="shared" ref="G41:N41" si="83">G17/G11</f>
        <v>5.0529886305512431E-2</v>
      </c>
      <c r="H41" s="126">
        <f t="shared" si="83"/>
        <v>5.9318628326486871E-2</v>
      </c>
      <c r="I41" s="126">
        <f t="shared" si="83"/>
        <v>6.645872731291598E-2</v>
      </c>
      <c r="J41" s="126">
        <f t="shared" si="83"/>
        <v>6.7370441458733207E-2</v>
      </c>
      <c r="K41" s="126">
        <f t="shared" si="83"/>
        <v>5.2031142845617009E-2</v>
      </c>
      <c r="L41" s="126">
        <f t="shared" si="83"/>
        <v>6.3662904253788108E-2</v>
      </c>
      <c r="M41" s="126">
        <f t="shared" si="83"/>
        <v>7.2469533142877809E-2</v>
      </c>
      <c r="N41" s="126">
        <f t="shared" si="83"/>
        <v>7.1439664544183878E-2</v>
      </c>
      <c r="O41" s="126">
        <v>5.0999999999999997E-2</v>
      </c>
      <c r="P41" s="126">
        <f>L41</f>
        <v>6.3662904253788108E-2</v>
      </c>
      <c r="Q41" s="126">
        <f t="shared" si="81"/>
        <v>7.2469533142877809E-2</v>
      </c>
      <c r="R41" s="126">
        <f t="shared" si="81"/>
        <v>7.1439664544183878E-2</v>
      </c>
      <c r="S41" s="126"/>
      <c r="T41" s="126"/>
      <c r="U41" s="126"/>
      <c r="V41" s="126"/>
      <c r="W41" s="126">
        <f t="shared" ref="W41:X41" si="84">W17/W11</f>
        <v>6.2896515371147807E-2</v>
      </c>
      <c r="X41" s="126">
        <f t="shared" si="84"/>
        <v>7.0126146348213125E-2</v>
      </c>
      <c r="Y41" s="126">
        <f>Y17/Y11</f>
        <v>7.2549769593646979E-2</v>
      </c>
      <c r="Z41" s="126">
        <f>Z17/Z11</f>
        <v>6.006555190163388E-2</v>
      </c>
      <c r="AA41" s="126">
        <f>AA17/AA11</f>
        <v>6.3637378020328261E-2</v>
      </c>
      <c r="AB41" s="126">
        <f>AB17/AB11</f>
        <v>6.411748481873672E-2</v>
      </c>
      <c r="AC41" s="128"/>
      <c r="AD41" s="128"/>
      <c r="AE41" s="128"/>
      <c r="AF41" s="128"/>
      <c r="AG41" s="128"/>
      <c r="AH41" s="128"/>
      <c r="AI41" s="128"/>
      <c r="AJ41" s="128"/>
      <c r="AK41" s="128"/>
    </row>
    <row r="42" spans="2:37" s="124" customFormat="1" x14ac:dyDescent="0.2">
      <c r="B42" s="127" t="s">
        <v>102</v>
      </c>
      <c r="C42" s="127"/>
      <c r="D42" s="127"/>
      <c r="E42" s="127"/>
      <c r="F42" s="127"/>
      <c r="G42" s="127">
        <f t="shared" ref="G42:R42" si="85">G19/G11</f>
        <v>0.30091799100853384</v>
      </c>
      <c r="H42" s="127">
        <f t="shared" si="85"/>
        <v>0.30700794784782998</v>
      </c>
      <c r="I42" s="127">
        <f t="shared" si="85"/>
        <v>0.29626445956234498</v>
      </c>
      <c r="J42" s="127">
        <f t="shared" si="85"/>
        <v>0.28534069097888676</v>
      </c>
      <c r="K42" s="127">
        <f t="shared" si="85"/>
        <v>0.33472911371979508</v>
      </c>
      <c r="L42" s="127">
        <f t="shared" si="85"/>
        <v>0.30817862209338187</v>
      </c>
      <c r="M42" s="127">
        <f t="shared" si="85"/>
        <v>0.27816150146457891</v>
      </c>
      <c r="N42" s="127">
        <f t="shared" si="85"/>
        <v>0.27615202005635303</v>
      </c>
      <c r="O42" s="127">
        <f t="shared" si="85"/>
        <v>0.31302713557874912</v>
      </c>
      <c r="P42" s="127">
        <f t="shared" si="85"/>
        <v>0.28627565845716896</v>
      </c>
      <c r="Q42" s="127">
        <f t="shared" si="85"/>
        <v>0.28071974350563661</v>
      </c>
      <c r="R42" s="127">
        <f t="shared" si="85"/>
        <v>0.28272688848858307</v>
      </c>
      <c r="S42" s="127"/>
      <c r="T42" s="127"/>
      <c r="U42" s="127"/>
      <c r="V42" s="127"/>
      <c r="W42" s="127">
        <f t="shared" ref="W42:X42" si="86">W19/W11</f>
        <v>0.26694026619477024</v>
      </c>
      <c r="X42" s="127">
        <f t="shared" si="86"/>
        <v>0.24572017188496928</v>
      </c>
      <c r="Y42" s="127">
        <f>Y19/Y11</f>
        <v>0.24147314354406862</v>
      </c>
      <c r="Z42" s="127">
        <f t="shared" ref="Z42:AB42" si="87">Z19/Z11</f>
        <v>0.29782377527561593</v>
      </c>
      <c r="AA42" s="127">
        <f t="shared" si="87"/>
        <v>0.30288744395528594</v>
      </c>
      <c r="AB42" s="127">
        <f t="shared" si="87"/>
        <v>0.29545373649623774</v>
      </c>
      <c r="AC42" s="127">
        <f t="shared" ref="AC42:AK42" si="88">AC14/AB14-1</f>
        <v>0.3966930429773301</v>
      </c>
      <c r="AD42" s="127">
        <f t="shared" si="88"/>
        <v>9.8808160437769299E-2</v>
      </c>
      <c r="AE42" s="127">
        <f t="shared" si="88"/>
        <v>9.3148873737615157E-2</v>
      </c>
      <c r="AF42" s="127">
        <f t="shared" si="88"/>
        <v>8.8464491663506895E-2</v>
      </c>
      <c r="AG42" s="127">
        <f t="shared" si="88"/>
        <v>7.8093393435247682E-2</v>
      </c>
      <c r="AH42" s="127">
        <f t="shared" si="88"/>
        <v>7.0089590422507619E-2</v>
      </c>
      <c r="AI42" s="127">
        <f t="shared" si="88"/>
        <v>6.2320212815269338E-2</v>
      </c>
      <c r="AJ42" s="127">
        <f t="shared" si="88"/>
        <v>6.2989151657515396E-2</v>
      </c>
      <c r="AK42" s="127">
        <f t="shared" si="88"/>
        <v>5.0376771562315126E-2</v>
      </c>
    </row>
    <row r="43" spans="2:37" x14ac:dyDescent="0.2">
      <c r="B43" s="126" t="s">
        <v>108</v>
      </c>
      <c r="C43" s="126"/>
      <c r="D43" s="126"/>
      <c r="E43" s="126"/>
      <c r="F43" s="126"/>
      <c r="G43" s="126">
        <f t="shared" ref="G43:N43" si="89">G22/G21</f>
        <v>0.14366121683194855</v>
      </c>
      <c r="H43" s="126">
        <f t="shared" si="89"/>
        <v>0.1564028417407447</v>
      </c>
      <c r="I43" s="126">
        <f t="shared" si="89"/>
        <v>0.10771882309491568</v>
      </c>
      <c r="J43" s="126">
        <f t="shared" si="89"/>
        <v>0.11600997935306263</v>
      </c>
      <c r="K43" s="126">
        <f t="shared" si="89"/>
        <v>0.16030164157028201</v>
      </c>
      <c r="L43" s="126">
        <f t="shared" si="89"/>
        <v>0.17017817445834302</v>
      </c>
      <c r="M43" s="126">
        <f t="shared" si="89"/>
        <v>0.15711436746726784</v>
      </c>
      <c r="N43" s="126">
        <f t="shared" si="89"/>
        <v>0.16026058631921825</v>
      </c>
      <c r="O43" s="126">
        <v>0.16</v>
      </c>
      <c r="P43" s="126">
        <v>0.16</v>
      </c>
      <c r="Q43" s="126">
        <v>0.16</v>
      </c>
      <c r="R43" s="126">
        <v>0.16</v>
      </c>
      <c r="S43" s="126"/>
      <c r="T43" s="126"/>
      <c r="U43" s="126"/>
      <c r="V43" s="126"/>
      <c r="W43" s="126">
        <f t="shared" ref="W43:X43" si="90">W22/W21</f>
        <v>0.18342180705869443</v>
      </c>
      <c r="X43" s="126">
        <f t="shared" si="90"/>
        <v>0.15943836804235059</v>
      </c>
      <c r="Y43" s="126">
        <f>Y22/Y21</f>
        <v>0.14428164731484103</v>
      </c>
      <c r="Z43" s="126">
        <f>Z22/Z21</f>
        <v>0.13302260844085087</v>
      </c>
      <c r="AA43" s="126">
        <f>AA22/AA21</f>
        <v>0.16217669697326184</v>
      </c>
      <c r="AB43" s="126">
        <f>AA43</f>
        <v>0.16217669697326184</v>
      </c>
      <c r="AC43" s="126">
        <f t="shared" ref="AC43:AK43" si="91">AC15/AB15-1</f>
        <v>1.0025974978607444</v>
      </c>
      <c r="AD43" s="126">
        <f t="shared" si="91"/>
        <v>0.20179485584440804</v>
      </c>
      <c r="AE43" s="126">
        <f t="shared" si="91"/>
        <v>0.19117132972427009</v>
      </c>
      <c r="AF43" s="126">
        <f t="shared" si="91"/>
        <v>0.18391110845556446</v>
      </c>
      <c r="AG43" s="126">
        <f t="shared" si="91"/>
        <v>0.19032573277093556</v>
      </c>
      <c r="AH43" s="126">
        <f t="shared" si="91"/>
        <v>0.19031313471763411</v>
      </c>
      <c r="AI43" s="126">
        <f t="shared" si="91"/>
        <v>0.19224658267798489</v>
      </c>
      <c r="AJ43" s="126">
        <f t="shared" si="91"/>
        <v>0.19573047229253215</v>
      </c>
      <c r="AK43" s="126">
        <f t="shared" si="91"/>
        <v>0.20022464446326604</v>
      </c>
    </row>
    <row r="44" spans="2:37" x14ac:dyDescent="0.2">
      <c r="S44" s="126"/>
      <c r="T44" s="126"/>
      <c r="U44" s="126"/>
      <c r="V44" s="126"/>
      <c r="W44" s="126">
        <f t="shared" ref="W44:AB44" si="92">W16/V16-1</f>
        <v>0.22925481391935065</v>
      </c>
      <c r="X44" s="126">
        <f t="shared" si="92"/>
        <v>0.13915425681371163</v>
      </c>
      <c r="Y44" s="126">
        <f t="shared" si="92"/>
        <v>0.15631744465684161</v>
      </c>
      <c r="Z44" s="126">
        <f t="shared" si="92"/>
        <v>0.16862201365187723</v>
      </c>
      <c r="AA44" s="126">
        <f t="shared" si="92"/>
        <v>0.19791001186456136</v>
      </c>
      <c r="AB44" s="126">
        <f t="shared" si="92"/>
        <v>7.6346705917784474E-2</v>
      </c>
      <c r="AC44" s="126">
        <f t="shared" ref="AC44:AK44" si="93">AC16/AB16-1</f>
        <v>25.802361966949611</v>
      </c>
      <c r="AD44" s="126">
        <f t="shared" si="93"/>
        <v>4.6278913234316654E-2</v>
      </c>
      <c r="AE44" s="126">
        <f t="shared" si="93"/>
        <v>6.9412585283474604E-2</v>
      </c>
      <c r="AF44" s="126">
        <f t="shared" si="93"/>
        <v>7.1066314416005527E-2</v>
      </c>
      <c r="AG44" s="126">
        <f t="shared" si="93"/>
        <v>7.7032308608298905E-2</v>
      </c>
      <c r="AH44" s="126">
        <f t="shared" si="93"/>
        <v>8.6682677813436415E-2</v>
      </c>
      <c r="AI44" s="126">
        <f t="shared" si="93"/>
        <v>8.3343200844411491E-2</v>
      </c>
      <c r="AJ44" s="126">
        <f t="shared" si="93"/>
        <v>8.4373662413788741E-2</v>
      </c>
      <c r="AK44" s="126">
        <f t="shared" si="93"/>
        <v>7.7556984173997812E-2</v>
      </c>
    </row>
    <row r="45" spans="2:37" x14ac:dyDescent="0.2">
      <c r="B45" s="150" t="s">
        <v>103</v>
      </c>
      <c r="C45" s="131"/>
      <c r="D45" s="131"/>
      <c r="E45" s="131"/>
      <c r="F45" s="131"/>
      <c r="G45" s="131"/>
      <c r="H45" s="131"/>
      <c r="I45" s="131"/>
      <c r="J45" s="131"/>
      <c r="K45" s="131"/>
      <c r="L45" s="131"/>
      <c r="M45" s="131"/>
      <c r="N45" s="131"/>
      <c r="O45" s="150">
        <v>2.04</v>
      </c>
      <c r="P45" s="131">
        <v>1.49</v>
      </c>
      <c r="Q45" s="131">
        <v>1.25</v>
      </c>
      <c r="R45" s="131">
        <v>1.4</v>
      </c>
    </row>
    <row r="46" spans="2:37" x14ac:dyDescent="0.2">
      <c r="B46" s="150" t="s">
        <v>138</v>
      </c>
      <c r="C46" s="131"/>
      <c r="D46" s="131"/>
      <c r="E46" s="131"/>
      <c r="F46" s="131"/>
      <c r="G46" s="131"/>
      <c r="H46" s="131"/>
      <c r="I46" s="131"/>
      <c r="J46" s="131"/>
      <c r="K46" s="131"/>
      <c r="L46" s="131"/>
      <c r="M46" s="131"/>
      <c r="N46" s="131"/>
      <c r="O46" s="131">
        <v>126.07</v>
      </c>
      <c r="P46" s="131">
        <v>97.82</v>
      </c>
      <c r="Q46" s="131">
        <v>86.98</v>
      </c>
      <c r="R46" s="131">
        <v>94.81</v>
      </c>
      <c r="S46" s="127"/>
      <c r="T46" s="127"/>
      <c r="U46" s="127"/>
      <c r="V46" s="127"/>
      <c r="W46" s="127"/>
      <c r="X46" s="127"/>
      <c r="Y46" s="127"/>
      <c r="Z46" s="127"/>
      <c r="AA46" s="127"/>
      <c r="AB46" s="127"/>
      <c r="AC46" s="127">
        <f>AB46*1.005</f>
        <v>0</v>
      </c>
      <c r="AD46" s="127">
        <f t="shared" ref="AD46:AK46" si="94">AC46*1.005</f>
        <v>0</v>
      </c>
      <c r="AE46" s="127">
        <f t="shared" si="94"/>
        <v>0</v>
      </c>
      <c r="AF46" s="127">
        <f t="shared" si="94"/>
        <v>0</v>
      </c>
      <c r="AG46" s="127">
        <f t="shared" si="94"/>
        <v>0</v>
      </c>
      <c r="AH46" s="127">
        <f t="shared" si="94"/>
        <v>0</v>
      </c>
      <c r="AI46" s="127">
        <f t="shared" si="94"/>
        <v>0</v>
      </c>
      <c r="AJ46" s="127">
        <f t="shared" si="94"/>
        <v>0</v>
      </c>
      <c r="AK46" s="127">
        <f t="shared" si="94"/>
        <v>0</v>
      </c>
    </row>
    <row r="47" spans="2:37" x14ac:dyDescent="0.2">
      <c r="B47" s="126" t="s">
        <v>139</v>
      </c>
      <c r="P47" s="126"/>
      <c r="Q47" s="126"/>
      <c r="R47" s="126"/>
      <c r="S47" s="126"/>
      <c r="T47" s="126"/>
      <c r="U47" s="126"/>
      <c r="V47" s="126"/>
      <c r="W47" s="126"/>
      <c r="X47" s="126"/>
      <c r="Y47" s="126"/>
      <c r="Z47" s="126"/>
      <c r="AA47" s="126"/>
      <c r="AB47" s="126"/>
      <c r="AC47" s="126">
        <f>AB47</f>
        <v>0</v>
      </c>
      <c r="AD47" s="126">
        <f t="shared" ref="AD47:AK47" si="95">AC47</f>
        <v>0</v>
      </c>
      <c r="AE47" s="126">
        <f t="shared" si="95"/>
        <v>0</v>
      </c>
      <c r="AF47" s="126">
        <f t="shared" si="95"/>
        <v>0</v>
      </c>
      <c r="AG47" s="126">
        <f t="shared" si="95"/>
        <v>0</v>
      </c>
      <c r="AH47" s="126">
        <f t="shared" si="95"/>
        <v>0</v>
      </c>
      <c r="AI47" s="126">
        <f t="shared" si="95"/>
        <v>0</v>
      </c>
      <c r="AJ47" s="126">
        <f t="shared" si="95"/>
        <v>0</v>
      </c>
      <c r="AK47" s="126">
        <f t="shared" si="95"/>
        <v>0</v>
      </c>
    </row>
    <row r="48" spans="2:37" x14ac:dyDescent="0.2">
      <c r="B48" s="126"/>
      <c r="P48" s="126"/>
      <c r="Q48" s="126"/>
      <c r="R48" s="126"/>
      <c r="S48" s="126"/>
      <c r="T48" s="126"/>
      <c r="U48" s="126"/>
      <c r="V48" s="126"/>
      <c r="W48" s="126"/>
      <c r="X48" s="126"/>
      <c r="Y48" s="126"/>
      <c r="Z48" s="126"/>
      <c r="AA48" s="126"/>
      <c r="AB48" s="151"/>
      <c r="AC48" s="126"/>
      <c r="AD48" s="126"/>
      <c r="AE48" s="126"/>
      <c r="AF48" s="126"/>
      <c r="AG48" s="126"/>
      <c r="AH48" s="126"/>
      <c r="AI48" s="126"/>
      <c r="AJ48" s="126"/>
      <c r="AK48" s="126"/>
    </row>
    <row r="49" spans="2:37" x14ac:dyDescent="0.2">
      <c r="B49" s="126" t="s">
        <v>47</v>
      </c>
      <c r="C49" s="126"/>
      <c r="D49" s="126"/>
      <c r="E49" s="126"/>
      <c r="F49" s="126"/>
      <c r="U49" s="121"/>
      <c r="V49" s="121">
        <v>10157</v>
      </c>
      <c r="W49" s="121">
        <v>10903</v>
      </c>
      <c r="X49" s="121">
        <v>12547</v>
      </c>
      <c r="Y49" s="121">
        <v>11056</v>
      </c>
      <c r="Z49" s="121">
        <v>11284</v>
      </c>
      <c r="AA49" s="121">
        <v>11104</v>
      </c>
      <c r="AB49" s="121"/>
      <c r="AC49" s="131"/>
      <c r="AD49" s="131"/>
      <c r="AE49" s="131"/>
      <c r="AF49" s="131"/>
      <c r="AG49" s="131"/>
      <c r="AH49" s="131"/>
      <c r="AI49" s="131"/>
      <c r="AJ49" s="131"/>
      <c r="AK49" s="131"/>
    </row>
    <row r="50" spans="2:37" x14ac:dyDescent="0.2">
      <c r="B50" s="126" t="s">
        <v>49</v>
      </c>
      <c r="C50" s="126"/>
      <c r="D50" s="126"/>
      <c r="E50" s="126"/>
      <c r="F50" s="126"/>
      <c r="U50" s="121"/>
      <c r="V50" s="121">
        <v>-12451</v>
      </c>
      <c r="W50" s="121">
        <v>-13313</v>
      </c>
      <c r="X50" s="121">
        <v>-10495</v>
      </c>
      <c r="Y50" s="121">
        <v>-7309</v>
      </c>
      <c r="Z50" s="121">
        <v>-11085</v>
      </c>
      <c r="AA50" s="121">
        <v>-10708</v>
      </c>
      <c r="AB50" s="121"/>
      <c r="AC50" s="121"/>
      <c r="AD50" s="121"/>
      <c r="AE50" s="121"/>
      <c r="AF50" s="121"/>
      <c r="AG50" s="121"/>
      <c r="AH50" s="121"/>
      <c r="AI50" s="121"/>
      <c r="AJ50" s="121"/>
      <c r="AK50" s="121"/>
    </row>
    <row r="51" spans="2:37" x14ac:dyDescent="0.2">
      <c r="B51" s="126" t="s">
        <v>50</v>
      </c>
      <c r="C51" s="126"/>
      <c r="D51" s="126"/>
      <c r="E51" s="126"/>
      <c r="F51" s="126"/>
      <c r="U51" s="121"/>
      <c r="V51" s="121">
        <v>-190</v>
      </c>
      <c r="W51" s="121">
        <v>-2266</v>
      </c>
      <c r="X51" s="121">
        <v>2927</v>
      </c>
      <c r="Y51" s="121">
        <v>-10177</v>
      </c>
      <c r="Z51" s="121">
        <v>1250</v>
      </c>
      <c r="AA51" s="121">
        <v>-7965</v>
      </c>
      <c r="AB51" s="121"/>
      <c r="AC51" s="121"/>
      <c r="AD51" s="121"/>
      <c r="AE51" s="121"/>
      <c r="AF51" s="121"/>
      <c r="AG51" s="121"/>
      <c r="AH51" s="121"/>
      <c r="AI51" s="121"/>
      <c r="AJ51" s="121"/>
      <c r="AK51" s="121"/>
    </row>
  </sheetData>
  <sheetProtection algorithmName="SHA-512" hashValue="15CK/MHdUxeQRjUxi/TzrLE3MLSNXOPc6V6KESYJM1e8fgxlI3sFaWfnhLi8cv2/KDoBDAfpKCI+YYMh/2BI8w==" saltValue="JxN0CPd2o1M9A1K7QDtkWA==" spinCount="100000" sheet="1" objects="1" scenarios="1" selectLockedCells="1"/>
  <pageMargins left="0.7" right="0.7" top="0.75" bottom="0.75" header="0.3" footer="0.3"/>
  <ignoredErrors>
    <ignoredError sqref="V7:AA7 C7:M7" formulaRange="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21416-B356-B64B-9E3F-9D1036EFDE03}">
  <dimension ref="A2:AD22"/>
  <sheetViews>
    <sheetView showGridLines="0" zoomScale="130" zoomScaleNormal="130" workbookViewId="0">
      <selection activeCell="F17" sqref="F17"/>
    </sheetView>
  </sheetViews>
  <sheetFormatPr baseColWidth="10" defaultColWidth="10.83203125" defaultRowHeight="16" x14ac:dyDescent="0.2"/>
  <cols>
    <col min="1" max="1" width="6.1640625" style="134" customWidth="1"/>
    <col min="2" max="5" width="10.83203125" style="134"/>
    <col min="6" max="6" width="12.83203125" style="134" customWidth="1"/>
    <col min="7" max="8" width="10.83203125" style="134"/>
    <col min="9" max="9" width="17" style="134" bestFit="1" customWidth="1"/>
    <col min="10" max="16384" width="10.83203125" style="134"/>
  </cols>
  <sheetData>
    <row r="2" spans="1:30" ht="22" thickBot="1" x14ac:dyDescent="0.3">
      <c r="A2" s="132"/>
      <c r="B2" s="133" t="s">
        <v>33</v>
      </c>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row>
    <row r="4" spans="1:30" x14ac:dyDescent="0.2">
      <c r="B4" s="134" t="s">
        <v>104</v>
      </c>
    </row>
    <row r="5" spans="1:30" x14ac:dyDescent="0.2">
      <c r="B5" s="134" t="s">
        <v>105</v>
      </c>
    </row>
    <row r="7" spans="1:30" ht="20" customHeight="1" x14ac:dyDescent="0.2">
      <c r="B7" s="157" t="s">
        <v>106</v>
      </c>
      <c r="C7" s="158"/>
      <c r="D7" s="158"/>
      <c r="E7" s="158"/>
      <c r="F7" s="158"/>
    </row>
    <row r="9" spans="1:30" x14ac:dyDescent="0.2">
      <c r="B9" s="134" t="s">
        <v>67</v>
      </c>
      <c r="F9" s="135">
        <f>DCF!G5*DCF!D110</f>
        <v>2250838.0460000001</v>
      </c>
      <c r="I9" s="135"/>
    </row>
    <row r="10" spans="1:30" x14ac:dyDescent="0.2">
      <c r="B10" s="134" t="s">
        <v>107</v>
      </c>
      <c r="F10" s="136">
        <f>DCF!T13+DCF!T14</f>
        <v>108887</v>
      </c>
    </row>
    <row r="11" spans="1:30" x14ac:dyDescent="0.2">
      <c r="B11" s="134" t="s">
        <v>22</v>
      </c>
      <c r="F11" s="137">
        <f>DCF!T15</f>
        <v>4.2299999999999997E-2</v>
      </c>
    </row>
    <row r="12" spans="1:30" x14ac:dyDescent="0.2">
      <c r="B12" s="134" t="s">
        <v>108</v>
      </c>
      <c r="F12" s="137">
        <f>DCF!K70</f>
        <v>0.16217669697326184</v>
      </c>
    </row>
    <row r="13" spans="1:30" x14ac:dyDescent="0.2">
      <c r="B13" s="138" t="s">
        <v>109</v>
      </c>
      <c r="C13" s="138"/>
      <c r="D13" s="138"/>
      <c r="E13" s="138"/>
      <c r="F13" s="139">
        <f>(F10)/(F10+F9)</f>
        <v>4.6143935364239039E-2</v>
      </c>
    </row>
    <row r="14" spans="1:30" x14ac:dyDescent="0.2">
      <c r="B14" s="140" t="s">
        <v>110</v>
      </c>
      <c r="C14" s="141"/>
      <c r="D14" s="141"/>
      <c r="E14" s="141"/>
      <c r="F14" s="142">
        <f>F11*(1-F12)</f>
        <v>3.5439925718031021E-2</v>
      </c>
    </row>
    <row r="16" spans="1:30" x14ac:dyDescent="0.2">
      <c r="B16" s="134" t="s">
        <v>111</v>
      </c>
      <c r="F16" s="137">
        <v>3.39E-2</v>
      </c>
    </row>
    <row r="17" spans="2:6" x14ac:dyDescent="0.2">
      <c r="B17" s="134" t="s">
        <v>112</v>
      </c>
      <c r="F17" s="143">
        <f>DCF!T20</f>
        <v>5.11E-2</v>
      </c>
    </row>
    <row r="18" spans="2:6" x14ac:dyDescent="0.2">
      <c r="B18" s="134" t="s">
        <v>31</v>
      </c>
      <c r="F18" s="134">
        <f>DCF!T21</f>
        <v>1.25</v>
      </c>
    </row>
    <row r="19" spans="2:6" x14ac:dyDescent="0.2">
      <c r="B19" s="138" t="s">
        <v>113</v>
      </c>
      <c r="C19" s="138"/>
      <c r="D19" s="138"/>
      <c r="E19" s="138"/>
      <c r="F19" s="139">
        <f>1-F13</f>
        <v>0.953856064635761</v>
      </c>
    </row>
    <row r="20" spans="2:6" x14ac:dyDescent="0.2">
      <c r="B20" s="144" t="s">
        <v>114</v>
      </c>
      <c r="F20" s="143">
        <f>F16+F18*F17</f>
        <v>9.7775000000000001E-2</v>
      </c>
    </row>
    <row r="22" spans="2:6" ht="26" customHeight="1" x14ac:dyDescent="0.2">
      <c r="B22" s="145" t="s">
        <v>33</v>
      </c>
      <c r="C22" s="146"/>
      <c r="D22" s="146"/>
      <c r="E22" s="146"/>
      <c r="F22" s="147">
        <f>F14*F13+F20*F19</f>
        <v>9.4898614361407785E-2</v>
      </c>
    </row>
  </sheetData>
  <sheetProtection algorithmName="SHA-512" hashValue="vL5NapDPB8EIXVIPnA9wtbaEqDH4xKIvAwmiPmYHUxCtMzWHq2q+z7px98WcGp4AXX+f+cVsW7qSVkm4JhfKWg==" saltValue="iojAzbCkzR+g19Xeza1ER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2023-01-21T07:49:10Z</dcterms:created>
  <dcterms:modified xsi:type="dcterms:W3CDTF">2023-01-22T04:03:50Z</dcterms:modified>
</cp:coreProperties>
</file>