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E4AA3260-AB80-9243-A1A2-88ED478BD43C}" xr6:coauthVersionLast="47" xr6:coauthVersionMax="47" xr10:uidLastSave="{00000000-0000-0000-0000-000000000000}"/>
  <bookViews>
    <workbookView xWindow="0" yWindow="500" windowWidth="38400" windowHeight="19240" xr2:uid="{45385354-91A4-BB46-ADD5-BB7496EE3A91}"/>
  </bookViews>
  <sheets>
    <sheet name="DCF" sheetId="1" r:id="rId1"/>
    <sheet name="Financials + KPIs" sheetId="2" r:id="rId2"/>
    <sheet name="WACC"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1" l="1"/>
  <c r="D31" i="1"/>
  <c r="D33" i="1"/>
  <c r="D133" i="1"/>
  <c r="X29" i="2"/>
  <c r="X30" i="2"/>
  <c r="X31" i="2"/>
  <c r="T13" i="1"/>
  <c r="F99" i="1"/>
  <c r="G99" i="1"/>
  <c r="H99" i="1"/>
  <c r="I99" i="1"/>
  <c r="J99" i="1"/>
  <c r="E99" i="1"/>
  <c r="F96" i="1"/>
  <c r="G96" i="1"/>
  <c r="H96" i="1"/>
  <c r="I96" i="1"/>
  <c r="J96" i="1"/>
  <c r="E96" i="1"/>
  <c r="F92" i="1"/>
  <c r="G92" i="1"/>
  <c r="H92" i="1"/>
  <c r="I92" i="1"/>
  <c r="J92" i="1"/>
  <c r="E92" i="1"/>
  <c r="J90" i="1"/>
  <c r="L88" i="1"/>
  <c r="K88" i="1"/>
  <c r="F87" i="1"/>
  <c r="G87" i="1"/>
  <c r="H87" i="1"/>
  <c r="I87" i="1"/>
  <c r="J87" i="1"/>
  <c r="E87" i="1"/>
  <c r="K81" i="1"/>
  <c r="L84" i="1"/>
  <c r="L82" i="1"/>
  <c r="K84" i="1"/>
  <c r="K82" i="1"/>
  <c r="L83" i="1"/>
  <c r="K83" i="1"/>
  <c r="F80" i="1"/>
  <c r="G80" i="1"/>
  <c r="H80" i="1"/>
  <c r="I80" i="1"/>
  <c r="J80" i="1"/>
  <c r="E80" i="1"/>
  <c r="L67" i="1"/>
  <c r="L69" i="1"/>
  <c r="K67" i="1"/>
  <c r="K69" i="1"/>
  <c r="L68" i="1"/>
  <c r="K68" i="1"/>
  <c r="U62" i="1"/>
  <c r="U61" i="1"/>
  <c r="U60" i="1"/>
  <c r="U53" i="1"/>
  <c r="L53" i="1"/>
  <c r="U46" i="1"/>
  <c r="L46" i="1"/>
  <c r="K46" i="1"/>
  <c r="U41" i="1"/>
  <c r="U40" i="1"/>
  <c r="U38" i="1" s="1"/>
  <c r="U39" i="1"/>
  <c r="U47" i="1"/>
  <c r="U48" i="1"/>
  <c r="U45" i="1" s="1"/>
  <c r="L55" i="1"/>
  <c r="L62" i="1"/>
  <c r="L60" i="1"/>
  <c r="K62" i="1"/>
  <c r="K60" i="1"/>
  <c r="L61" i="1"/>
  <c r="K61" i="1"/>
  <c r="K52" i="1"/>
  <c r="K55" i="1"/>
  <c r="K53" i="1"/>
  <c r="L54" i="1"/>
  <c r="K54" i="1"/>
  <c r="M48" i="1"/>
  <c r="M47" i="1"/>
  <c r="M46" i="1"/>
  <c r="L48" i="1"/>
  <c r="K48" i="1"/>
  <c r="L47" i="1"/>
  <c r="K47" i="1"/>
  <c r="M39" i="1"/>
  <c r="M41" i="1"/>
  <c r="M40" i="1"/>
  <c r="L41" i="1"/>
  <c r="L39" i="1"/>
  <c r="K41" i="1"/>
  <c r="K39" i="1"/>
  <c r="L40" i="1"/>
  <c r="K40" i="1"/>
  <c r="L59" i="1"/>
  <c r="K59" i="1"/>
  <c r="F65" i="1"/>
  <c r="G65" i="1"/>
  <c r="H65" i="1"/>
  <c r="I65" i="1"/>
  <c r="J65" i="1"/>
  <c r="E65" i="1"/>
  <c r="F58" i="1"/>
  <c r="G58" i="1"/>
  <c r="H58" i="1"/>
  <c r="I58" i="1"/>
  <c r="I59" i="1" s="1"/>
  <c r="J58" i="1"/>
  <c r="E58" i="1"/>
  <c r="F51" i="1"/>
  <c r="G51" i="1"/>
  <c r="H51" i="1"/>
  <c r="I51" i="1"/>
  <c r="J51" i="1"/>
  <c r="E51" i="1"/>
  <c r="F44" i="1"/>
  <c r="F72" i="1" s="1"/>
  <c r="G44" i="1"/>
  <c r="G72" i="1" s="1"/>
  <c r="H44" i="1"/>
  <c r="I44" i="1"/>
  <c r="J44" i="1"/>
  <c r="E44" i="1"/>
  <c r="F37" i="1"/>
  <c r="G37" i="1"/>
  <c r="H37" i="1"/>
  <c r="I37" i="1"/>
  <c r="I72" i="1" s="1"/>
  <c r="J37" i="1"/>
  <c r="E37" i="1"/>
  <c r="H59" i="1"/>
  <c r="D45" i="2"/>
  <c r="E45" i="2"/>
  <c r="F45" i="2"/>
  <c r="G45" i="2"/>
  <c r="H45" i="2"/>
  <c r="I45" i="2"/>
  <c r="J45" i="2"/>
  <c r="K45" i="2"/>
  <c r="L45" i="2"/>
  <c r="M45" i="2"/>
  <c r="N45" i="2"/>
  <c r="Q45" i="2"/>
  <c r="R45" i="2"/>
  <c r="S45" i="2"/>
  <c r="T45" i="2"/>
  <c r="U45" i="2"/>
  <c r="V45" i="2"/>
  <c r="W45" i="2"/>
  <c r="X45" i="2"/>
  <c r="Y45" i="2"/>
  <c r="Z45" i="2"/>
  <c r="AA45" i="2"/>
  <c r="AB45" i="2"/>
  <c r="AC45" i="2"/>
  <c r="AD45" i="2"/>
  <c r="AE45" i="2"/>
  <c r="AF45" i="2"/>
  <c r="AG45" i="2"/>
  <c r="AH45" i="2"/>
  <c r="C45" i="2"/>
  <c r="X20" i="2"/>
  <c r="X17" i="2"/>
  <c r="X15" i="2"/>
  <c r="W12" i="2"/>
  <c r="X14" i="2"/>
  <c r="X12" i="2"/>
  <c r="X11" i="2"/>
  <c r="X10" i="2"/>
  <c r="X9" i="2"/>
  <c r="X7" i="2"/>
  <c r="X6" i="2"/>
  <c r="X5" i="2"/>
  <c r="X4" i="2"/>
  <c r="X8" i="2" s="1"/>
  <c r="Y27" i="2" s="1"/>
  <c r="X3" i="2"/>
  <c r="W20" i="2"/>
  <c r="W39" i="2" s="1"/>
  <c r="W17" i="2"/>
  <c r="W15" i="2"/>
  <c r="W14" i="2"/>
  <c r="W11" i="2"/>
  <c r="W13" i="2"/>
  <c r="W10" i="2"/>
  <c r="W9" i="2"/>
  <c r="W7" i="2"/>
  <c r="W6" i="2"/>
  <c r="W5" i="2"/>
  <c r="W4" i="2"/>
  <c r="W3" i="2"/>
  <c r="T34" i="2"/>
  <c r="J20" i="2"/>
  <c r="K20" i="2" s="1"/>
  <c r="L20" i="2" s="1"/>
  <c r="M20" i="2" s="1"/>
  <c r="N20" i="2" s="1"/>
  <c r="L36" i="2"/>
  <c r="M36" i="2" s="1"/>
  <c r="N36" i="2" s="1"/>
  <c r="K36" i="2"/>
  <c r="K4" i="2"/>
  <c r="L4" i="2"/>
  <c r="M4" i="2"/>
  <c r="K5" i="2"/>
  <c r="L5" i="2"/>
  <c r="M5" i="2"/>
  <c r="K6" i="2"/>
  <c r="L6" i="2"/>
  <c r="M6" i="2"/>
  <c r="K7" i="2"/>
  <c r="L7" i="2"/>
  <c r="M7" i="2"/>
  <c r="K3" i="2"/>
  <c r="L3" i="2"/>
  <c r="M3" i="2"/>
  <c r="S39" i="2"/>
  <c r="T39" i="2"/>
  <c r="U39" i="2"/>
  <c r="V39" i="2"/>
  <c r="R39" i="2"/>
  <c r="Q38" i="2"/>
  <c r="Q36" i="2"/>
  <c r="Y33" i="2"/>
  <c r="Z33" i="2"/>
  <c r="AA33" i="2"/>
  <c r="AB33" i="2"/>
  <c r="AC33" i="2"/>
  <c r="AD33" i="2"/>
  <c r="AE33" i="2"/>
  <c r="AF33" i="2"/>
  <c r="AG33" i="2"/>
  <c r="AH33" i="2"/>
  <c r="AC34" i="2"/>
  <c r="AD34" i="2"/>
  <c r="AE34" i="2"/>
  <c r="AF34" i="2"/>
  <c r="AG34" i="2"/>
  <c r="AH34" i="2"/>
  <c r="Y2" i="2"/>
  <c r="Z2" i="2" s="1"/>
  <c r="AA2" i="2" s="1"/>
  <c r="AB2" i="2" s="1"/>
  <c r="AC2" i="2" s="1"/>
  <c r="AD2" i="2" s="1"/>
  <c r="AE2" i="2" s="1"/>
  <c r="AF2" i="2" s="1"/>
  <c r="AG2" i="2" s="1"/>
  <c r="AH2" i="2" s="1"/>
  <c r="S31" i="2"/>
  <c r="T31" i="2"/>
  <c r="S22" i="2"/>
  <c r="T22" i="2"/>
  <c r="U22" i="2"/>
  <c r="X22" i="2"/>
  <c r="Y22" i="2"/>
  <c r="Z22" i="2"/>
  <c r="AA22" i="2"/>
  <c r="AB22" i="2"/>
  <c r="AC22" i="2"/>
  <c r="AD22" i="2"/>
  <c r="AE22" i="2"/>
  <c r="AF22" i="2"/>
  <c r="AG22" i="2"/>
  <c r="AH22" i="2"/>
  <c r="S23" i="2"/>
  <c r="T23" i="2"/>
  <c r="U23" i="2"/>
  <c r="Y23" i="2"/>
  <c r="Z23" i="2"/>
  <c r="AA23" i="2"/>
  <c r="AB23" i="2"/>
  <c r="AC23" i="2"/>
  <c r="AD23" i="2"/>
  <c r="AE23" i="2"/>
  <c r="AF23" i="2"/>
  <c r="AG23" i="2"/>
  <c r="AH23" i="2"/>
  <c r="S24" i="2"/>
  <c r="T24" i="2"/>
  <c r="U24" i="2"/>
  <c r="X24" i="2"/>
  <c r="Y24" i="2"/>
  <c r="Z24" i="2"/>
  <c r="AA24" i="2"/>
  <c r="AB24" i="2"/>
  <c r="AC24" i="2"/>
  <c r="AD24" i="2"/>
  <c r="AE24" i="2"/>
  <c r="AF24" i="2"/>
  <c r="AG24" i="2"/>
  <c r="AH24" i="2"/>
  <c r="S25" i="2"/>
  <c r="T25" i="2"/>
  <c r="U25" i="2"/>
  <c r="X25" i="2"/>
  <c r="Y25" i="2"/>
  <c r="Z25" i="2"/>
  <c r="AA25" i="2"/>
  <c r="AB25" i="2"/>
  <c r="AC25" i="2"/>
  <c r="AD25" i="2"/>
  <c r="AE25" i="2"/>
  <c r="AF25" i="2"/>
  <c r="AG25" i="2"/>
  <c r="AH25" i="2"/>
  <c r="S26" i="2"/>
  <c r="T26" i="2"/>
  <c r="U26" i="2"/>
  <c r="X26" i="2"/>
  <c r="Y26" i="2"/>
  <c r="Z26" i="2"/>
  <c r="AA26" i="2"/>
  <c r="AB26" i="2"/>
  <c r="AC26" i="2"/>
  <c r="AD26" i="2"/>
  <c r="AE26" i="2"/>
  <c r="AF26" i="2"/>
  <c r="AG26" i="2"/>
  <c r="AH26" i="2"/>
  <c r="T27" i="2"/>
  <c r="Z27" i="2"/>
  <c r="AA27" i="2"/>
  <c r="AB27" i="2"/>
  <c r="AC27" i="2"/>
  <c r="AD27" i="2"/>
  <c r="AE27" i="2"/>
  <c r="AF27" i="2"/>
  <c r="AG27" i="2"/>
  <c r="AH27" i="2"/>
  <c r="R23" i="2"/>
  <c r="R24" i="2"/>
  <c r="R25" i="2"/>
  <c r="R26" i="2"/>
  <c r="R22" i="2"/>
  <c r="Q14" i="2"/>
  <c r="R14" i="2"/>
  <c r="S14" i="2"/>
  <c r="T14" i="2"/>
  <c r="U14" i="2"/>
  <c r="E39" i="2"/>
  <c r="F39" i="2"/>
  <c r="G39" i="2"/>
  <c r="H39" i="2"/>
  <c r="I39" i="2"/>
  <c r="D39" i="2"/>
  <c r="G38" i="2"/>
  <c r="H36" i="2"/>
  <c r="G33" i="2"/>
  <c r="H33" i="2"/>
  <c r="D30" i="2"/>
  <c r="E31" i="2"/>
  <c r="H22" i="2"/>
  <c r="I22" i="2"/>
  <c r="H23" i="2"/>
  <c r="I23" i="2"/>
  <c r="H24" i="2"/>
  <c r="I24" i="2"/>
  <c r="H25" i="2"/>
  <c r="I25" i="2"/>
  <c r="H26" i="2"/>
  <c r="I26" i="2"/>
  <c r="G23" i="2"/>
  <c r="G24" i="2"/>
  <c r="G25" i="2"/>
  <c r="G26" i="2"/>
  <c r="G22" i="2"/>
  <c r="Y19" i="2"/>
  <c r="Z19" i="2"/>
  <c r="AA19" i="2"/>
  <c r="AB19" i="2"/>
  <c r="AC19" i="2"/>
  <c r="AD19" i="2"/>
  <c r="AE19" i="2"/>
  <c r="AF19" i="2"/>
  <c r="AG19" i="2"/>
  <c r="AH19" i="2"/>
  <c r="V10" i="2"/>
  <c r="V4" i="2"/>
  <c r="V23" i="2" s="1"/>
  <c r="V3" i="2"/>
  <c r="V22" i="2" s="1"/>
  <c r="L146" i="1"/>
  <c r="M146" i="1" s="1"/>
  <c r="N146" i="1" s="1"/>
  <c r="O146" i="1" s="1"/>
  <c r="P146" i="1" s="1"/>
  <c r="Q146" i="1" s="1"/>
  <c r="R146" i="1" s="1"/>
  <c r="S146" i="1" s="1"/>
  <c r="T146" i="1" s="1"/>
  <c r="U146" i="1" s="1"/>
  <c r="J146" i="1"/>
  <c r="I146" i="1" s="1"/>
  <c r="H146" i="1" s="1"/>
  <c r="G146" i="1" s="1"/>
  <c r="F146" i="1" s="1"/>
  <c r="E146" i="1" s="1"/>
  <c r="L145" i="1"/>
  <c r="M145" i="1" s="1"/>
  <c r="N145" i="1" s="1"/>
  <c r="O145" i="1" s="1"/>
  <c r="P145" i="1" s="1"/>
  <c r="Q145" i="1" s="1"/>
  <c r="R145" i="1" s="1"/>
  <c r="S145" i="1" s="1"/>
  <c r="T145" i="1" s="1"/>
  <c r="U145" i="1" s="1"/>
  <c r="F145" i="1"/>
  <c r="G145" i="1" s="1"/>
  <c r="H145" i="1" s="1"/>
  <c r="I145" i="1" s="1"/>
  <c r="J145" i="1" s="1"/>
  <c r="L76" i="1"/>
  <c r="M76" i="1" s="1"/>
  <c r="N76" i="1" s="1"/>
  <c r="O76" i="1" s="1"/>
  <c r="P76" i="1" s="1"/>
  <c r="Q76" i="1" s="1"/>
  <c r="R76" i="1" s="1"/>
  <c r="S76" i="1" s="1"/>
  <c r="T76" i="1" s="1"/>
  <c r="U76" i="1" s="1"/>
  <c r="J76" i="1"/>
  <c r="I76" i="1" s="1"/>
  <c r="H76" i="1" s="1"/>
  <c r="G76" i="1" s="1"/>
  <c r="F76" i="1" s="1"/>
  <c r="E76" i="1" s="1"/>
  <c r="L75" i="1"/>
  <c r="M75" i="1" s="1"/>
  <c r="N75" i="1" s="1"/>
  <c r="O75" i="1" s="1"/>
  <c r="P75" i="1" s="1"/>
  <c r="Q75" i="1" s="1"/>
  <c r="R75" i="1" s="1"/>
  <c r="S75" i="1" s="1"/>
  <c r="T75" i="1" s="1"/>
  <c r="U75" i="1" s="1"/>
  <c r="M88" i="1" s="1"/>
  <c r="N88" i="1" s="1"/>
  <c r="O88" i="1" s="1"/>
  <c r="P88" i="1" s="1"/>
  <c r="Q88" i="1" s="1"/>
  <c r="R88" i="1" s="1"/>
  <c r="S88" i="1" s="1"/>
  <c r="T88" i="1" s="1"/>
  <c r="F75" i="1"/>
  <c r="G75" i="1" s="1"/>
  <c r="H75" i="1" s="1"/>
  <c r="I75" i="1" s="1"/>
  <c r="J75" i="1" s="1"/>
  <c r="F7" i="2"/>
  <c r="V7" i="2" s="1"/>
  <c r="F6" i="2"/>
  <c r="V6" i="2" s="1"/>
  <c r="F5" i="2"/>
  <c r="J5" i="2" s="1"/>
  <c r="N5" i="2" s="1"/>
  <c r="F4" i="2"/>
  <c r="J4" i="2" s="1"/>
  <c r="N4" i="2" s="1"/>
  <c r="F3" i="2"/>
  <c r="J3" i="2" s="1"/>
  <c r="F17" i="2"/>
  <c r="V17" i="2" s="1"/>
  <c r="F15" i="2"/>
  <c r="V15" i="2" s="1"/>
  <c r="F12" i="2"/>
  <c r="V12" i="2" s="1"/>
  <c r="F11" i="2"/>
  <c r="V11" i="2" s="1"/>
  <c r="F10" i="2"/>
  <c r="F9" i="2"/>
  <c r="V9" i="2" s="1"/>
  <c r="C19" i="2"/>
  <c r="C14" i="2"/>
  <c r="G14" i="2"/>
  <c r="H16" i="2"/>
  <c r="D14" i="2"/>
  <c r="D16" i="2" s="1"/>
  <c r="H14" i="2"/>
  <c r="E14" i="2"/>
  <c r="I14" i="2"/>
  <c r="E13" i="2"/>
  <c r="E36" i="2" s="1"/>
  <c r="R8" i="2"/>
  <c r="R13" i="2" s="1"/>
  <c r="R16" i="2" s="1"/>
  <c r="R18" i="2" s="1"/>
  <c r="R19" i="2" s="1"/>
  <c r="S8" i="2"/>
  <c r="S13" i="2" s="1"/>
  <c r="S33" i="2" s="1"/>
  <c r="T8" i="2"/>
  <c r="T13" i="2" s="1"/>
  <c r="T33" i="2" s="1"/>
  <c r="Q8" i="2"/>
  <c r="Q13" i="2" s="1"/>
  <c r="Q16" i="2" s="1"/>
  <c r="Q18" i="2" s="1"/>
  <c r="Q19" i="2" s="1"/>
  <c r="H8" i="2"/>
  <c r="H13" i="2" s="1"/>
  <c r="I8" i="2"/>
  <c r="I27" i="2" s="1"/>
  <c r="U8" i="2"/>
  <c r="U13" i="2" s="1"/>
  <c r="U33" i="2" s="1"/>
  <c r="C8" i="2"/>
  <c r="C13" i="2" s="1"/>
  <c r="C16" i="2" s="1"/>
  <c r="C18" i="2" s="1"/>
  <c r="C38" i="2" s="1"/>
  <c r="D8" i="2"/>
  <c r="D13" i="2" s="1"/>
  <c r="D36" i="2" s="1"/>
  <c r="E8" i="2"/>
  <c r="E30" i="2" s="1"/>
  <c r="G8" i="2"/>
  <c r="G13" i="2" s="1"/>
  <c r="G16" i="2" s="1"/>
  <c r="G18" i="2" s="1"/>
  <c r="G19" i="2" s="1"/>
  <c r="F18" i="3"/>
  <c r="F17" i="3"/>
  <c r="F11" i="3"/>
  <c r="F10" i="3"/>
  <c r="U2" i="2"/>
  <c r="V2" i="2" s="1"/>
  <c r="F138" i="1"/>
  <c r="D128" i="1"/>
  <c r="D125" i="1"/>
  <c r="D124" i="1"/>
  <c r="D123" i="1"/>
  <c r="D122" i="1"/>
  <c r="L108" i="1"/>
  <c r="M108" i="1" s="1"/>
  <c r="N108" i="1" s="1"/>
  <c r="O108" i="1" s="1"/>
  <c r="P108" i="1" s="1"/>
  <c r="Q108" i="1" s="1"/>
  <c r="R108" i="1" s="1"/>
  <c r="S108" i="1" s="1"/>
  <c r="T108" i="1" s="1"/>
  <c r="L107" i="1"/>
  <c r="M107" i="1" s="1"/>
  <c r="N107" i="1" s="1"/>
  <c r="O107" i="1" s="1"/>
  <c r="P107" i="1" s="1"/>
  <c r="Q107" i="1" s="1"/>
  <c r="R107" i="1" s="1"/>
  <c r="S107" i="1" s="1"/>
  <c r="T107" i="1" s="1"/>
  <c r="J160" i="1"/>
  <c r="I160" i="1"/>
  <c r="H160" i="1"/>
  <c r="F160" i="1"/>
  <c r="E160" i="1"/>
  <c r="J159" i="1"/>
  <c r="H159" i="1"/>
  <c r="G159" i="1"/>
  <c r="F159" i="1"/>
  <c r="E159" i="1"/>
  <c r="U88" i="1"/>
  <c r="U156" i="1" s="1"/>
  <c r="J155" i="1"/>
  <c r="H155" i="1"/>
  <c r="F155" i="1"/>
  <c r="E155" i="1"/>
  <c r="U84" i="1"/>
  <c r="U83" i="1"/>
  <c r="U81" i="1" s="1"/>
  <c r="U154" i="1" s="1"/>
  <c r="U82" i="1"/>
  <c r="U55" i="1"/>
  <c r="U54" i="1"/>
  <c r="U52" i="1" s="1"/>
  <c r="L52" i="1"/>
  <c r="L45" i="1"/>
  <c r="L38" i="1"/>
  <c r="L36" i="1"/>
  <c r="M36" i="1" s="1"/>
  <c r="N36" i="1" s="1"/>
  <c r="O36" i="1" s="1"/>
  <c r="P36" i="1" s="1"/>
  <c r="Q36" i="1" s="1"/>
  <c r="R36" i="1" s="1"/>
  <c r="S36" i="1" s="1"/>
  <c r="T36" i="1" s="1"/>
  <c r="U36" i="1" s="1"/>
  <c r="J36" i="1"/>
  <c r="I36" i="1" s="1"/>
  <c r="H36" i="1" s="1"/>
  <c r="G36" i="1" s="1"/>
  <c r="F36" i="1" s="1"/>
  <c r="E36" i="1" s="1"/>
  <c r="L35" i="1"/>
  <c r="M35" i="1" s="1"/>
  <c r="N35" i="1" s="1"/>
  <c r="O35" i="1" s="1"/>
  <c r="P35" i="1" s="1"/>
  <c r="Q35" i="1" s="1"/>
  <c r="R35" i="1" s="1"/>
  <c r="S35" i="1" s="1"/>
  <c r="T35" i="1" s="1"/>
  <c r="U35" i="1" s="1"/>
  <c r="F35" i="1"/>
  <c r="G35" i="1" s="1"/>
  <c r="H35" i="1" s="1"/>
  <c r="I35" i="1" s="1"/>
  <c r="J35" i="1" s="1"/>
  <c r="P28" i="1"/>
  <c r="H28" i="1"/>
  <c r="N138" i="1" s="1"/>
  <c r="P27" i="1"/>
  <c r="H27" i="1"/>
  <c r="G5" i="1" a="1"/>
  <c r="G5" i="1" s="1"/>
  <c r="F9" i="3" s="1"/>
  <c r="M61" i="1" l="1"/>
  <c r="N61" i="1" s="1"/>
  <c r="O61" i="1" s="1"/>
  <c r="P61" i="1" s="1"/>
  <c r="Q61" i="1" s="1"/>
  <c r="R61" i="1" s="1"/>
  <c r="S61" i="1" s="1"/>
  <c r="T61" i="1" s="1"/>
  <c r="N46" i="1"/>
  <c r="O46" i="1" s="1"/>
  <c r="P46" i="1" s="1"/>
  <c r="Q46" i="1" s="1"/>
  <c r="R46" i="1" s="1"/>
  <c r="S46" i="1" s="1"/>
  <c r="T46" i="1" s="1"/>
  <c r="M60" i="1"/>
  <c r="N60" i="1" s="1"/>
  <c r="O60" i="1" s="1"/>
  <c r="P60" i="1" s="1"/>
  <c r="Q60" i="1" s="1"/>
  <c r="R60" i="1" s="1"/>
  <c r="S60" i="1" s="1"/>
  <c r="T60" i="1" s="1"/>
  <c r="M62" i="1"/>
  <c r="N62" i="1" s="1"/>
  <c r="O62" i="1" s="1"/>
  <c r="P62" i="1" s="1"/>
  <c r="Q62" i="1" s="1"/>
  <c r="R62" i="1" s="1"/>
  <c r="S62" i="1" s="1"/>
  <c r="T62" i="1" s="1"/>
  <c r="N48" i="1"/>
  <c r="O48" i="1" s="1"/>
  <c r="P48" i="1" s="1"/>
  <c r="Q48" i="1" s="1"/>
  <c r="R48" i="1" s="1"/>
  <c r="S48" i="1" s="1"/>
  <c r="T48" i="1" s="1"/>
  <c r="N47" i="1"/>
  <c r="O47" i="1" s="1"/>
  <c r="P47" i="1" s="1"/>
  <c r="Q47" i="1" s="1"/>
  <c r="R47" i="1" s="1"/>
  <c r="S47" i="1" s="1"/>
  <c r="T47" i="1" s="1"/>
  <c r="N39" i="1"/>
  <c r="O39" i="1" s="1"/>
  <c r="P39" i="1" s="1"/>
  <c r="Q39" i="1" s="1"/>
  <c r="R39" i="1" s="1"/>
  <c r="S39" i="1" s="1"/>
  <c r="T39" i="1" s="1"/>
  <c r="N41" i="1"/>
  <c r="O41" i="1" s="1"/>
  <c r="P41" i="1" s="1"/>
  <c r="Q41" i="1" s="1"/>
  <c r="R41" i="1" s="1"/>
  <c r="S41" i="1" s="1"/>
  <c r="T41" i="1" s="1"/>
  <c r="N40" i="1"/>
  <c r="O40" i="1" s="1"/>
  <c r="P40" i="1" s="1"/>
  <c r="Q40" i="1" s="1"/>
  <c r="R40" i="1" s="1"/>
  <c r="S40" i="1" s="1"/>
  <c r="T40" i="1" s="1"/>
  <c r="E72" i="1"/>
  <c r="E77" i="1" s="1"/>
  <c r="E147" i="1" s="1"/>
  <c r="F59" i="1"/>
  <c r="L133" i="1"/>
  <c r="J72" i="1"/>
  <c r="H72" i="1"/>
  <c r="K58" i="1"/>
  <c r="L58" i="1" s="1"/>
  <c r="J59" i="1"/>
  <c r="M59" i="1"/>
  <c r="G59" i="1"/>
  <c r="F20" i="3"/>
  <c r="X39" i="2"/>
  <c r="V25" i="2"/>
  <c r="W25" i="2"/>
  <c r="I45" i="1"/>
  <c r="V8" i="2"/>
  <c r="V27" i="2" s="1"/>
  <c r="V26" i="2"/>
  <c r="W26" i="2"/>
  <c r="I66" i="1"/>
  <c r="N3" i="2"/>
  <c r="I155" i="1"/>
  <c r="V30" i="2"/>
  <c r="U34" i="2"/>
  <c r="H18" i="2"/>
  <c r="X13" i="2"/>
  <c r="E16" i="2"/>
  <c r="E18" i="2" s="1"/>
  <c r="F14" i="2"/>
  <c r="V14" i="2" s="1"/>
  <c r="V16" i="2" s="1"/>
  <c r="V18" i="2" s="1"/>
  <c r="C29" i="2"/>
  <c r="D31" i="2"/>
  <c r="H29" i="2"/>
  <c r="G36" i="2"/>
  <c r="R27" i="2"/>
  <c r="R31" i="2"/>
  <c r="T29" i="2"/>
  <c r="R38" i="2"/>
  <c r="M8" i="2"/>
  <c r="J6" i="2"/>
  <c r="N6" i="2" s="1"/>
  <c r="S34" i="2"/>
  <c r="R33" i="2"/>
  <c r="U29" i="2"/>
  <c r="I13" i="2"/>
  <c r="G27" i="2"/>
  <c r="C31" i="2"/>
  <c r="I30" i="2"/>
  <c r="G29" i="2"/>
  <c r="E33" i="2"/>
  <c r="Q29" i="2"/>
  <c r="S29" i="2"/>
  <c r="R34" i="2"/>
  <c r="Y34" i="2"/>
  <c r="I29" i="2"/>
  <c r="F8" i="2"/>
  <c r="F31" i="2" s="1"/>
  <c r="J31" i="2" s="1"/>
  <c r="V5" i="2"/>
  <c r="C30" i="2"/>
  <c r="H30" i="2"/>
  <c r="D33" i="2"/>
  <c r="Q30" i="2"/>
  <c r="U30" i="2"/>
  <c r="R29" i="2"/>
  <c r="U36" i="2"/>
  <c r="S27" i="2"/>
  <c r="I31" i="2"/>
  <c r="G30" i="2"/>
  <c r="E29" i="2"/>
  <c r="G34" i="2"/>
  <c r="W22" i="2"/>
  <c r="Q31" i="2"/>
  <c r="T30" i="2"/>
  <c r="T36" i="2"/>
  <c r="J7" i="2"/>
  <c r="H31" i="2"/>
  <c r="D29" i="2"/>
  <c r="H34" i="2"/>
  <c r="S30" i="2"/>
  <c r="S36" i="2"/>
  <c r="H27" i="2"/>
  <c r="G31" i="2"/>
  <c r="C33" i="2"/>
  <c r="C36" i="2"/>
  <c r="U27" i="2"/>
  <c r="U31" i="2"/>
  <c r="R30" i="2"/>
  <c r="Q33" i="2"/>
  <c r="R36" i="2"/>
  <c r="M27" i="2"/>
  <c r="L8" i="2"/>
  <c r="K8" i="2"/>
  <c r="N7" i="2"/>
  <c r="N8" i="2" s="1"/>
  <c r="S16" i="2"/>
  <c r="S18" i="2" s="1"/>
  <c r="F88" i="1"/>
  <c r="F156" i="1" s="1"/>
  <c r="T16" i="2"/>
  <c r="T18" i="2" s="1"/>
  <c r="G153" i="1"/>
  <c r="H153" i="1"/>
  <c r="U16" i="2"/>
  <c r="U18" i="2" s="1"/>
  <c r="V13" i="2"/>
  <c r="V36" i="2" s="1"/>
  <c r="M55" i="1"/>
  <c r="N55" i="1" s="1"/>
  <c r="O55" i="1" s="1"/>
  <c r="P55" i="1" s="1"/>
  <c r="Q55" i="1" s="1"/>
  <c r="R55" i="1" s="1"/>
  <c r="S55" i="1" s="1"/>
  <c r="T55" i="1" s="1"/>
  <c r="D18" i="2"/>
  <c r="J66" i="1"/>
  <c r="G66" i="1"/>
  <c r="H45" i="1"/>
  <c r="G38" i="1"/>
  <c r="J94" i="1"/>
  <c r="J152" i="1" s="1"/>
  <c r="H38" i="1"/>
  <c r="G52" i="1"/>
  <c r="J38" i="1"/>
  <c r="H66" i="1"/>
  <c r="I38" i="1"/>
  <c r="F45" i="1"/>
  <c r="G45" i="1"/>
  <c r="O138" i="1"/>
  <c r="P138" i="1" s="1"/>
  <c r="M138" i="1"/>
  <c r="L138" i="1" s="1"/>
  <c r="M53" i="1"/>
  <c r="N53" i="1" s="1"/>
  <c r="O53" i="1" s="1"/>
  <c r="P53" i="1" s="1"/>
  <c r="Q53" i="1" s="1"/>
  <c r="R53" i="1" s="1"/>
  <c r="S53" i="1" s="1"/>
  <c r="T53" i="1" s="1"/>
  <c r="H151" i="1"/>
  <c r="H158" i="1" s="1"/>
  <c r="F52" i="1"/>
  <c r="G155" i="1"/>
  <c r="I151" i="1"/>
  <c r="I158" i="1" s="1"/>
  <c r="F38" i="1"/>
  <c r="J151" i="1"/>
  <c r="J158" i="1" s="1"/>
  <c r="E138" i="1"/>
  <c r="D138" i="1" s="1"/>
  <c r="G138" i="1"/>
  <c r="H138" i="1" s="1"/>
  <c r="M54" i="1"/>
  <c r="E94" i="1"/>
  <c r="E152" i="1" s="1"/>
  <c r="G160" i="1"/>
  <c r="H52" i="1"/>
  <c r="F94" i="1"/>
  <c r="F152" i="1" s="1"/>
  <c r="G94" i="1"/>
  <c r="G152" i="1" s="1"/>
  <c r="F66" i="1"/>
  <c r="F151" i="1"/>
  <c r="F158" i="1" s="1"/>
  <c r="H94" i="1"/>
  <c r="H152" i="1" s="1"/>
  <c r="I159" i="1"/>
  <c r="G151" i="1"/>
  <c r="G158" i="1" s="1"/>
  <c r="I94" i="1"/>
  <c r="I152" i="1" s="1"/>
  <c r="F13" i="3"/>
  <c r="F19" i="3" s="1"/>
  <c r="E151" i="1"/>
  <c r="E158" i="1" s="1"/>
  <c r="H88" i="1" l="1"/>
  <c r="H156" i="1" s="1"/>
  <c r="M58" i="1"/>
  <c r="N59" i="1"/>
  <c r="H149" i="1"/>
  <c r="E19" i="2"/>
  <c r="E38" i="2"/>
  <c r="V38" i="2"/>
  <c r="V19" i="2"/>
  <c r="D19" i="2"/>
  <c r="D38" i="2"/>
  <c r="J8" i="2"/>
  <c r="F13" i="2"/>
  <c r="L31" i="2"/>
  <c r="L11" i="2" s="1"/>
  <c r="F29" i="2"/>
  <c r="J29" i="2" s="1"/>
  <c r="J9" i="2" s="1"/>
  <c r="F30" i="2"/>
  <c r="J30" i="2" s="1"/>
  <c r="T19" i="2"/>
  <c r="T38" i="2"/>
  <c r="K31" i="2"/>
  <c r="H38" i="2"/>
  <c r="H19" i="2"/>
  <c r="W23" i="2"/>
  <c r="X23" i="2"/>
  <c r="K38" i="1" s="1"/>
  <c r="K37" i="1" s="1"/>
  <c r="L37" i="1" s="1"/>
  <c r="W8" i="2"/>
  <c r="V29" i="2"/>
  <c r="V34" i="2"/>
  <c r="Z34" i="2"/>
  <c r="V33" i="2"/>
  <c r="U19" i="2"/>
  <c r="U38" i="2"/>
  <c r="V31" i="2"/>
  <c r="I33" i="2"/>
  <c r="I34" i="2"/>
  <c r="I16" i="2"/>
  <c r="I18" i="2" s="1"/>
  <c r="I36" i="2"/>
  <c r="AB34" i="2"/>
  <c r="X16" i="2"/>
  <c r="X18" i="2" s="1"/>
  <c r="X33" i="2"/>
  <c r="X36" i="2"/>
  <c r="I88" i="1"/>
  <c r="I156" i="1" s="1"/>
  <c r="S19" i="2"/>
  <c r="S38" i="2"/>
  <c r="V24" i="2"/>
  <c r="W24" i="2"/>
  <c r="L27" i="2"/>
  <c r="K27" i="2"/>
  <c r="K11" i="2"/>
  <c r="N27" i="2"/>
  <c r="J27" i="2"/>
  <c r="F90" i="1"/>
  <c r="F157" i="1" s="1"/>
  <c r="F162" i="1" s="1"/>
  <c r="F153" i="1"/>
  <c r="F149" i="1"/>
  <c r="H90" i="1"/>
  <c r="H157" i="1" s="1"/>
  <c r="H162" i="1" s="1"/>
  <c r="G88" i="1"/>
  <c r="G156" i="1" s="1"/>
  <c r="G149" i="1"/>
  <c r="G90" i="1"/>
  <c r="G157" i="1" s="1"/>
  <c r="G162" i="1" s="1"/>
  <c r="K51" i="1"/>
  <c r="L51" i="1" s="1"/>
  <c r="G73" i="1"/>
  <c r="G78" i="1" s="1"/>
  <c r="G148" i="1" s="1"/>
  <c r="G77" i="1"/>
  <c r="G147" i="1" s="1"/>
  <c r="E97" i="1"/>
  <c r="E100" i="1"/>
  <c r="E93" i="1"/>
  <c r="H77" i="1"/>
  <c r="H73" i="1"/>
  <c r="H78" i="1" s="1"/>
  <c r="H148" i="1" s="1"/>
  <c r="F73" i="1"/>
  <c r="F78" i="1" s="1"/>
  <c r="F148" i="1" s="1"/>
  <c r="F77" i="1"/>
  <c r="M38" i="1"/>
  <c r="M45" i="1"/>
  <c r="K45" i="1"/>
  <c r="M52" i="1"/>
  <c r="N54" i="1"/>
  <c r="N58" i="1" l="1"/>
  <c r="O59" i="1"/>
  <c r="I90" i="1"/>
  <c r="I103" i="1" s="1"/>
  <c r="G103" i="1"/>
  <c r="G104" i="1" s="1"/>
  <c r="J52" i="1"/>
  <c r="I52" i="1"/>
  <c r="G100" i="1"/>
  <c r="J45" i="1"/>
  <c r="X19" i="2"/>
  <c r="X38" i="2"/>
  <c r="W31" i="2"/>
  <c r="X27" i="2"/>
  <c r="W30" i="2"/>
  <c r="W29" i="2"/>
  <c r="W27" i="2"/>
  <c r="K44" i="1"/>
  <c r="K29" i="2"/>
  <c r="F16" i="2"/>
  <c r="F18" i="2" s="1"/>
  <c r="F33" i="2"/>
  <c r="F36" i="2"/>
  <c r="J10" i="2"/>
  <c r="J13" i="2" s="1"/>
  <c r="J11" i="2"/>
  <c r="I19" i="2"/>
  <c r="I38" i="2"/>
  <c r="I153" i="1"/>
  <c r="I149" i="1"/>
  <c r="K30" i="2"/>
  <c r="M31" i="2"/>
  <c r="H103" i="1"/>
  <c r="H104" i="1" s="1"/>
  <c r="F103" i="1"/>
  <c r="F104" i="1" s="1"/>
  <c r="G97" i="1"/>
  <c r="G150" i="1"/>
  <c r="M51" i="1"/>
  <c r="G93" i="1"/>
  <c r="G81" i="1"/>
  <c r="G154" i="1" s="1"/>
  <c r="M37" i="1"/>
  <c r="N45" i="1"/>
  <c r="O54" i="1"/>
  <c r="N52" i="1"/>
  <c r="E153" i="1"/>
  <c r="E90" i="1"/>
  <c r="E81" i="1"/>
  <c r="E154" i="1" s="1"/>
  <c r="E88" i="1"/>
  <c r="E156" i="1" s="1"/>
  <c r="E149" i="1"/>
  <c r="E150" i="1" s="1"/>
  <c r="H147" i="1"/>
  <c r="H150" i="1" s="1"/>
  <c r="H100" i="1"/>
  <c r="H101" i="1"/>
  <c r="H97" i="1"/>
  <c r="H81" i="1"/>
  <c r="H154" i="1" s="1"/>
  <c r="H93" i="1"/>
  <c r="N38" i="1"/>
  <c r="F147" i="1"/>
  <c r="F150" i="1" s="1"/>
  <c r="F81" i="1"/>
  <c r="F154" i="1" s="1"/>
  <c r="F101" i="1"/>
  <c r="F93" i="1"/>
  <c r="G101" i="1"/>
  <c r="F100" i="1"/>
  <c r="F97" i="1"/>
  <c r="I157" i="1" l="1"/>
  <c r="I162" i="1" s="1"/>
  <c r="L44" i="1"/>
  <c r="P59" i="1"/>
  <c r="O58" i="1"/>
  <c r="J34" i="2"/>
  <c r="J33" i="2"/>
  <c r="J16" i="2"/>
  <c r="J17" i="2" s="1"/>
  <c r="J18" i="2" s="1"/>
  <c r="J73" i="1"/>
  <c r="J78" i="1" s="1"/>
  <c r="J148" i="1" s="1"/>
  <c r="J77" i="1"/>
  <c r="X34" i="2"/>
  <c r="W36" i="2"/>
  <c r="W33" i="2"/>
  <c r="W16" i="2"/>
  <c r="W18" i="2" s="1"/>
  <c r="AA34" i="2"/>
  <c r="W34" i="2"/>
  <c r="N31" i="2"/>
  <c r="N11" i="2" s="1"/>
  <c r="M11" i="2"/>
  <c r="I77" i="1"/>
  <c r="I73" i="1"/>
  <c r="I78" i="1" s="1"/>
  <c r="I148" i="1" s="1"/>
  <c r="L30" i="2"/>
  <c r="K10" i="2"/>
  <c r="M30" i="2"/>
  <c r="M10" i="2" s="1"/>
  <c r="F19" i="2"/>
  <c r="F38" i="2"/>
  <c r="L29" i="2"/>
  <c r="M29" i="2" s="1"/>
  <c r="M9" i="2" s="1"/>
  <c r="M13" i="2" s="1"/>
  <c r="K9" i="2"/>
  <c r="J19" i="2"/>
  <c r="J38" i="2"/>
  <c r="N51" i="1"/>
  <c r="N37" i="1"/>
  <c r="E157" i="1"/>
  <c r="E162" i="1" s="1"/>
  <c r="E103" i="1"/>
  <c r="E104" i="1" s="1"/>
  <c r="P54" i="1"/>
  <c r="O52" i="1"/>
  <c r="O45" i="1"/>
  <c r="O38" i="1"/>
  <c r="M44" i="1" l="1"/>
  <c r="M69" i="1" s="1"/>
  <c r="Q59" i="1"/>
  <c r="P58" i="1"/>
  <c r="M16" i="2"/>
  <c r="M17" i="2" s="1"/>
  <c r="M18" i="2" s="1"/>
  <c r="M33" i="2"/>
  <c r="M34" i="2"/>
  <c r="J88" i="1"/>
  <c r="J156" i="1" s="1"/>
  <c r="J153" i="1"/>
  <c r="J81" i="1"/>
  <c r="J154" i="1" s="1"/>
  <c r="J149" i="1"/>
  <c r="I147" i="1"/>
  <c r="I150" i="1" s="1"/>
  <c r="I93" i="1"/>
  <c r="I104" i="1"/>
  <c r="I97" i="1"/>
  <c r="I101" i="1"/>
  <c r="I81" i="1"/>
  <c r="I154" i="1" s="1"/>
  <c r="I100" i="1"/>
  <c r="K66" i="1"/>
  <c r="K65" i="1" s="1"/>
  <c r="K72" i="1" s="1"/>
  <c r="L10" i="2"/>
  <c r="N30" i="2"/>
  <c r="N10" i="2" s="1"/>
  <c r="J101" i="1"/>
  <c r="J93" i="1"/>
  <c r="J97" i="1"/>
  <c r="J100" i="1"/>
  <c r="J147" i="1"/>
  <c r="K13" i="2"/>
  <c r="W19" i="2"/>
  <c r="W38" i="2"/>
  <c r="L9" i="2"/>
  <c r="L13" i="2" s="1"/>
  <c r="N29" i="2"/>
  <c r="N9" i="2" s="1"/>
  <c r="N13" i="2" s="1"/>
  <c r="O51" i="1"/>
  <c r="O37" i="1"/>
  <c r="P52" i="1"/>
  <c r="Q54" i="1"/>
  <c r="P38" i="1"/>
  <c r="P45" i="1"/>
  <c r="K100" i="1" l="1"/>
  <c r="L100" i="1" s="1"/>
  <c r="M100" i="1" s="1"/>
  <c r="N100" i="1" s="1"/>
  <c r="M67" i="1"/>
  <c r="M68" i="1"/>
  <c r="N44" i="1"/>
  <c r="N69" i="1" s="1"/>
  <c r="Q58" i="1"/>
  <c r="R59" i="1"/>
  <c r="K77" i="1"/>
  <c r="K73" i="1"/>
  <c r="K78" i="1" s="1"/>
  <c r="K148" i="1" s="1"/>
  <c r="N34" i="2"/>
  <c r="N33" i="2"/>
  <c r="N16" i="2"/>
  <c r="N17" i="2" s="1"/>
  <c r="N18" i="2" s="1"/>
  <c r="K93" i="1"/>
  <c r="L93" i="1" s="1"/>
  <c r="M93" i="1" s="1"/>
  <c r="J150" i="1"/>
  <c r="J103" i="1"/>
  <c r="J104" i="1" s="1"/>
  <c r="J157" i="1"/>
  <c r="J162" i="1" s="1"/>
  <c r="L34" i="2"/>
  <c r="L16" i="2"/>
  <c r="L17" i="2" s="1"/>
  <c r="L18" i="2" s="1"/>
  <c r="L33" i="2"/>
  <c r="K97" i="1"/>
  <c r="L97" i="1" s="1"/>
  <c r="K33" i="2"/>
  <c r="K16" i="2"/>
  <c r="K17" i="2" s="1"/>
  <c r="K18" i="2" s="1"/>
  <c r="K34" i="2"/>
  <c r="L66" i="1"/>
  <c r="L65" i="1" s="1"/>
  <c r="L72" i="1" s="1"/>
  <c r="M19" i="2"/>
  <c r="M38" i="2"/>
  <c r="L19" i="2"/>
  <c r="L38" i="2"/>
  <c r="P51" i="1"/>
  <c r="P37" i="1"/>
  <c r="R54" i="1"/>
  <c r="Q52" i="1"/>
  <c r="Q45" i="1"/>
  <c r="Q38" i="1"/>
  <c r="M66" i="1" l="1"/>
  <c r="M65" i="1" s="1"/>
  <c r="M72" i="1" s="1"/>
  <c r="N68" i="1"/>
  <c r="N67" i="1"/>
  <c r="O44" i="1"/>
  <c r="R58" i="1"/>
  <c r="S59" i="1"/>
  <c r="N19" i="2"/>
  <c r="N38" i="2"/>
  <c r="N93" i="1"/>
  <c r="O93" i="1" s="1"/>
  <c r="L77" i="1"/>
  <c r="L73" i="1"/>
  <c r="L78" i="1" s="1"/>
  <c r="L148" i="1" s="1"/>
  <c r="K147" i="1"/>
  <c r="K99" i="1"/>
  <c r="K92" i="1"/>
  <c r="K96" i="1"/>
  <c r="K159" i="1" s="1"/>
  <c r="K38" i="2"/>
  <c r="K19" i="2"/>
  <c r="M97" i="1"/>
  <c r="N97" i="1" s="1"/>
  <c r="O97" i="1" s="1"/>
  <c r="Q51" i="1"/>
  <c r="Q37" i="1"/>
  <c r="O100" i="1"/>
  <c r="P100" i="1" s="1"/>
  <c r="M84" i="1"/>
  <c r="N84" i="1" s="1"/>
  <c r="O84" i="1" s="1"/>
  <c r="P84" i="1" s="1"/>
  <c r="Q84" i="1" s="1"/>
  <c r="R84" i="1" s="1"/>
  <c r="S84" i="1" s="1"/>
  <c r="T84" i="1" s="1"/>
  <c r="M82" i="1"/>
  <c r="N82" i="1" s="1"/>
  <c r="O82" i="1" s="1"/>
  <c r="P82" i="1" s="1"/>
  <c r="Q82" i="1" s="1"/>
  <c r="R82" i="1" s="1"/>
  <c r="S82" i="1" s="1"/>
  <c r="T82" i="1" s="1"/>
  <c r="R52" i="1"/>
  <c r="S54" i="1"/>
  <c r="R45" i="1"/>
  <c r="R38" i="1"/>
  <c r="O67" i="1" l="1"/>
  <c r="O69" i="1"/>
  <c r="O68" i="1"/>
  <c r="P44" i="1"/>
  <c r="P69" i="1" s="1"/>
  <c r="S58" i="1"/>
  <c r="T59" i="1"/>
  <c r="L92" i="1"/>
  <c r="L96" i="1"/>
  <c r="L159" i="1" s="1"/>
  <c r="L147" i="1"/>
  <c r="L99" i="1"/>
  <c r="N66" i="1"/>
  <c r="N65" i="1" s="1"/>
  <c r="N72" i="1" s="1"/>
  <c r="M77" i="1"/>
  <c r="M73" i="1"/>
  <c r="M78" i="1" s="1"/>
  <c r="M148" i="1" s="1"/>
  <c r="K151" i="1"/>
  <c r="K158" i="1" s="1"/>
  <c r="K94" i="1"/>
  <c r="K152" i="1" s="1"/>
  <c r="P93" i="1"/>
  <c r="Q93" i="1" s="1"/>
  <c r="K160" i="1"/>
  <c r="K101" i="1"/>
  <c r="R51" i="1"/>
  <c r="R37" i="1"/>
  <c r="T45" i="1"/>
  <c r="S45" i="1"/>
  <c r="K154" i="1"/>
  <c r="K80" i="1"/>
  <c r="S52" i="1"/>
  <c r="T54" i="1"/>
  <c r="T52" i="1" s="1"/>
  <c r="P97" i="1"/>
  <c r="S38" i="1"/>
  <c r="T38" i="1"/>
  <c r="M83" i="1"/>
  <c r="L81" i="1"/>
  <c r="Q100" i="1"/>
  <c r="Q44" i="1" l="1"/>
  <c r="P67" i="1"/>
  <c r="P68" i="1"/>
  <c r="R93" i="1"/>
  <c r="S93" i="1" s="1"/>
  <c r="T58" i="1"/>
  <c r="O66" i="1"/>
  <c r="O65" i="1" s="1"/>
  <c r="O72" i="1" s="1"/>
  <c r="M147" i="1"/>
  <c r="M92" i="1"/>
  <c r="M96" i="1"/>
  <c r="M159" i="1" s="1"/>
  <c r="M99" i="1"/>
  <c r="N77" i="1"/>
  <c r="N73" i="1"/>
  <c r="N78" i="1" s="1"/>
  <c r="N148" i="1" s="1"/>
  <c r="L160" i="1"/>
  <c r="L101" i="1"/>
  <c r="L151" i="1"/>
  <c r="L158" i="1" s="1"/>
  <c r="L94" i="1"/>
  <c r="L152" i="1" s="1"/>
  <c r="S51" i="1"/>
  <c r="T51" i="1" s="1"/>
  <c r="S37" i="1"/>
  <c r="T37" i="1" s="1"/>
  <c r="U37" i="1" s="1"/>
  <c r="K153" i="1"/>
  <c r="K87" i="1"/>
  <c r="K155" i="1" s="1"/>
  <c r="K149" i="1"/>
  <c r="K150" i="1" s="1"/>
  <c r="Q97" i="1"/>
  <c r="F12" i="3"/>
  <c r="F14" i="3" s="1"/>
  <c r="F22" i="3" s="1"/>
  <c r="L26" i="1" s="1"/>
  <c r="K156" i="1"/>
  <c r="L154" i="1"/>
  <c r="L80" i="1"/>
  <c r="N83" i="1"/>
  <c r="M81" i="1"/>
  <c r="R100" i="1"/>
  <c r="U59" i="1" l="1"/>
  <c r="U58" i="1" s="1"/>
  <c r="T93" i="1"/>
  <c r="U93" i="1" s="1"/>
  <c r="R44" i="1"/>
  <c r="R67" i="1" s="1"/>
  <c r="Q69" i="1"/>
  <c r="Q68" i="1"/>
  <c r="Q67" i="1"/>
  <c r="N147" i="1"/>
  <c r="N92" i="1"/>
  <c r="N96" i="1"/>
  <c r="N159" i="1" s="1"/>
  <c r="N99" i="1"/>
  <c r="M160" i="1"/>
  <c r="M101" i="1"/>
  <c r="M151" i="1"/>
  <c r="M158" i="1" s="1"/>
  <c r="M94" i="1"/>
  <c r="M152" i="1" s="1"/>
  <c r="O73" i="1"/>
  <c r="O78" i="1" s="1"/>
  <c r="O148" i="1" s="1"/>
  <c r="O77" i="1"/>
  <c r="P66" i="1"/>
  <c r="P65" i="1" s="1"/>
  <c r="P72" i="1" s="1"/>
  <c r="R97" i="1"/>
  <c r="S97" i="1" s="1"/>
  <c r="K90" i="1"/>
  <c r="O83" i="1"/>
  <c r="N81" i="1"/>
  <c r="P26" i="1"/>
  <c r="H26" i="1"/>
  <c r="L153" i="1"/>
  <c r="L87" i="1"/>
  <c r="L155" i="1" s="1"/>
  <c r="L149" i="1"/>
  <c r="L150" i="1" s="1"/>
  <c r="S100" i="1"/>
  <c r="T100" i="1" s="1"/>
  <c r="U100" i="1" s="1"/>
  <c r="M154" i="1"/>
  <c r="M80" i="1"/>
  <c r="U51" i="1"/>
  <c r="L156" i="1"/>
  <c r="R68" i="1" l="1"/>
  <c r="R69" i="1"/>
  <c r="S44" i="1"/>
  <c r="S67" i="1" s="1"/>
  <c r="Q66" i="1"/>
  <c r="Q65" i="1" s="1"/>
  <c r="Q72" i="1" s="1"/>
  <c r="N160" i="1"/>
  <c r="N101" i="1"/>
  <c r="O147" i="1"/>
  <c r="O92" i="1"/>
  <c r="O96" i="1"/>
  <c r="O159" i="1" s="1"/>
  <c r="O99" i="1"/>
  <c r="N94" i="1"/>
  <c r="N152" i="1" s="1"/>
  <c r="N151" i="1"/>
  <c r="N158" i="1" s="1"/>
  <c r="P73" i="1"/>
  <c r="P78" i="1" s="1"/>
  <c r="P148" i="1" s="1"/>
  <c r="P77" i="1"/>
  <c r="L90" i="1"/>
  <c r="L157" i="1" s="1"/>
  <c r="L162" i="1" s="1"/>
  <c r="T97" i="1"/>
  <c r="U97" i="1" s="1"/>
  <c r="O81" i="1"/>
  <c r="P83" i="1"/>
  <c r="K157" i="1"/>
  <c r="K162" i="1" s="1"/>
  <c r="K103" i="1"/>
  <c r="M156" i="1"/>
  <c r="K141" i="1"/>
  <c r="C141" i="1"/>
  <c r="M153" i="1"/>
  <c r="M87" i="1"/>
  <c r="M155" i="1" s="1"/>
  <c r="M149" i="1"/>
  <c r="M150" i="1" s="1"/>
  <c r="N154" i="1"/>
  <c r="N80" i="1"/>
  <c r="T44" i="1" l="1"/>
  <c r="T69" i="1" s="1"/>
  <c r="S68" i="1"/>
  <c r="S69" i="1"/>
  <c r="O160" i="1"/>
  <c r="O101" i="1"/>
  <c r="O151" i="1"/>
  <c r="O158" i="1" s="1"/>
  <c r="O94" i="1"/>
  <c r="O152" i="1" s="1"/>
  <c r="P147" i="1"/>
  <c r="P99" i="1"/>
  <c r="P92" i="1"/>
  <c r="P96" i="1"/>
  <c r="P159" i="1" s="1"/>
  <c r="Q77" i="1"/>
  <c r="Q73" i="1"/>
  <c r="Q78" i="1" s="1"/>
  <c r="Q148" i="1" s="1"/>
  <c r="R66" i="1"/>
  <c r="R65" i="1" s="1"/>
  <c r="R72" i="1" s="1"/>
  <c r="L103" i="1"/>
  <c r="L104" i="1" s="1"/>
  <c r="M90" i="1"/>
  <c r="M157" i="1" s="1"/>
  <c r="M162" i="1" s="1"/>
  <c r="K104" i="1"/>
  <c r="P81" i="1"/>
  <c r="Q83" i="1"/>
  <c r="N156" i="1"/>
  <c r="O154" i="1"/>
  <c r="O80" i="1"/>
  <c r="C142" i="1"/>
  <c r="C143" i="1" s="1"/>
  <c r="C140" i="1"/>
  <c r="C139" i="1" s="1"/>
  <c r="D134" i="1"/>
  <c r="K114" i="1"/>
  <c r="L134" i="1"/>
  <c r="N153" i="1"/>
  <c r="N87" i="1"/>
  <c r="N155" i="1" s="1"/>
  <c r="N149" i="1"/>
  <c r="N150" i="1" s="1"/>
  <c r="K140" i="1"/>
  <c r="K139" i="1" s="1"/>
  <c r="K142" i="1"/>
  <c r="K143" i="1" s="1"/>
  <c r="T67" i="1" l="1"/>
  <c r="U44" i="1"/>
  <c r="U69" i="1" s="1"/>
  <c r="T68" i="1"/>
  <c r="P151" i="1"/>
  <c r="P158" i="1" s="1"/>
  <c r="P94" i="1"/>
  <c r="P152" i="1" s="1"/>
  <c r="P160" i="1"/>
  <c r="P101" i="1"/>
  <c r="R73" i="1"/>
  <c r="R78" i="1" s="1"/>
  <c r="R148" i="1" s="1"/>
  <c r="R77" i="1"/>
  <c r="S66" i="1"/>
  <c r="S65" i="1" s="1"/>
  <c r="S72" i="1" s="1"/>
  <c r="Q92" i="1"/>
  <c r="Q147" i="1"/>
  <c r="Q96" i="1"/>
  <c r="Q159" i="1" s="1"/>
  <c r="Q99" i="1"/>
  <c r="K109" i="1"/>
  <c r="M103" i="1"/>
  <c r="L109" i="1" s="1"/>
  <c r="N90" i="1"/>
  <c r="N157" i="1" s="1"/>
  <c r="N162" i="1" s="1"/>
  <c r="O153" i="1"/>
  <c r="O87" i="1"/>
  <c r="O155" i="1" s="1"/>
  <c r="O149" i="1"/>
  <c r="O150" i="1" s="1"/>
  <c r="Q81" i="1"/>
  <c r="R83" i="1"/>
  <c r="O156" i="1"/>
  <c r="P154" i="1"/>
  <c r="P80" i="1"/>
  <c r="T22" i="1"/>
  <c r="T114" i="1" s="1"/>
  <c r="L114" i="1" s="1"/>
  <c r="M114" i="1" s="1"/>
  <c r="N114" i="1" s="1"/>
  <c r="O114" i="1" s="1"/>
  <c r="P114" i="1" s="1"/>
  <c r="Q114" i="1" s="1"/>
  <c r="R114" i="1" s="1"/>
  <c r="S114" i="1" s="1"/>
  <c r="K115" i="1"/>
  <c r="T66" i="1" l="1"/>
  <c r="T65" i="1" s="1"/>
  <c r="T72" i="1" s="1"/>
  <c r="U67" i="1"/>
  <c r="U68" i="1"/>
  <c r="R99" i="1"/>
  <c r="R92" i="1"/>
  <c r="R147" i="1"/>
  <c r="R96" i="1"/>
  <c r="R159" i="1" s="1"/>
  <c r="Q160" i="1"/>
  <c r="Q101" i="1"/>
  <c r="Q151" i="1"/>
  <c r="Q158" i="1" s="1"/>
  <c r="Q94" i="1"/>
  <c r="Q152" i="1" s="1"/>
  <c r="L110" i="1"/>
  <c r="M104" i="1"/>
  <c r="N103" i="1"/>
  <c r="M109" i="1" s="1"/>
  <c r="M110" i="1" s="1"/>
  <c r="Q154" i="1"/>
  <c r="Q80" i="1"/>
  <c r="L115" i="1"/>
  <c r="K117" i="1"/>
  <c r="P153" i="1"/>
  <c r="P87" i="1"/>
  <c r="P155" i="1" s="1"/>
  <c r="P149" i="1"/>
  <c r="P150" i="1" s="1"/>
  <c r="P156" i="1"/>
  <c r="O90" i="1"/>
  <c r="R81" i="1"/>
  <c r="S83" i="1"/>
  <c r="U66" i="1" l="1"/>
  <c r="U65" i="1" s="1"/>
  <c r="U72" i="1" s="1"/>
  <c r="S77" i="1"/>
  <c r="S73" i="1"/>
  <c r="S78" i="1" s="1"/>
  <c r="S148" i="1" s="1"/>
  <c r="R94" i="1"/>
  <c r="R152" i="1" s="1"/>
  <c r="R151" i="1"/>
  <c r="R158" i="1" s="1"/>
  <c r="R160" i="1"/>
  <c r="R101" i="1"/>
  <c r="P90" i="1"/>
  <c r="P157" i="1" s="1"/>
  <c r="P162" i="1" s="1"/>
  <c r="N104" i="1"/>
  <c r="R154" i="1"/>
  <c r="R80" i="1"/>
  <c r="L117" i="1"/>
  <c r="M115" i="1"/>
  <c r="O157" i="1"/>
  <c r="O162" i="1" s="1"/>
  <c r="O103" i="1"/>
  <c r="Q153" i="1"/>
  <c r="Q87" i="1"/>
  <c r="Q155" i="1" s="1"/>
  <c r="Q149" i="1"/>
  <c r="Q150" i="1" s="1"/>
  <c r="Q156" i="1"/>
  <c r="T83" i="1"/>
  <c r="T81" i="1" s="1"/>
  <c r="S81" i="1"/>
  <c r="T77" i="1" l="1"/>
  <c r="T80" i="1" s="1"/>
  <c r="T73" i="1"/>
  <c r="T78" i="1" s="1"/>
  <c r="T148" i="1" s="1"/>
  <c r="U77" i="1"/>
  <c r="U73" i="1"/>
  <c r="U78" i="1" s="1"/>
  <c r="U148" i="1" s="1"/>
  <c r="S92" i="1"/>
  <c r="S147" i="1"/>
  <c r="S99" i="1"/>
  <c r="S96" i="1"/>
  <c r="S159" i="1" s="1"/>
  <c r="P103" i="1"/>
  <c r="P104" i="1" s="1"/>
  <c r="Q90" i="1"/>
  <c r="Q103" i="1" s="1"/>
  <c r="N115" i="1"/>
  <c r="M117" i="1"/>
  <c r="R156" i="1"/>
  <c r="S154" i="1"/>
  <c r="S80" i="1"/>
  <c r="R153" i="1"/>
  <c r="R87" i="1"/>
  <c r="R155" i="1" s="1"/>
  <c r="R149" i="1"/>
  <c r="R150" i="1" s="1"/>
  <c r="T154" i="1"/>
  <c r="O104" i="1"/>
  <c r="N109" i="1"/>
  <c r="N110" i="1" s="1"/>
  <c r="S151" i="1" l="1"/>
  <c r="S158" i="1" s="1"/>
  <c r="S94" i="1"/>
  <c r="S152" i="1" s="1"/>
  <c r="S160" i="1"/>
  <c r="S101" i="1"/>
  <c r="U92" i="1"/>
  <c r="U147" i="1"/>
  <c r="U80" i="1"/>
  <c r="U96" i="1"/>
  <c r="U159" i="1" s="1"/>
  <c r="U99" i="1"/>
  <c r="T147" i="1"/>
  <c r="T99" i="1"/>
  <c r="T92" i="1"/>
  <c r="T149" i="1" s="1"/>
  <c r="T96" i="1"/>
  <c r="T159" i="1" s="1"/>
  <c r="Q157" i="1"/>
  <c r="Q162" i="1" s="1"/>
  <c r="O109" i="1"/>
  <c r="O110" i="1" s="1"/>
  <c r="P109" i="1"/>
  <c r="R90" i="1"/>
  <c r="R157" i="1" s="1"/>
  <c r="R162" i="1" s="1"/>
  <c r="S153" i="1"/>
  <c r="S87" i="1"/>
  <c r="S155" i="1" s="1"/>
  <c r="S149" i="1"/>
  <c r="S150" i="1" s="1"/>
  <c r="T153" i="1"/>
  <c r="O115" i="1"/>
  <c r="N117" i="1"/>
  <c r="Q104" i="1"/>
  <c r="S156" i="1"/>
  <c r="T156" i="1"/>
  <c r="T112" i="1" l="1"/>
  <c r="T150" i="1"/>
  <c r="U149" i="1"/>
  <c r="U150" i="1" s="1"/>
  <c r="U151" i="1"/>
  <c r="U158" i="1" s="1"/>
  <c r="U94" i="1"/>
  <c r="U152" i="1" s="1"/>
  <c r="T94" i="1"/>
  <c r="T152" i="1" s="1"/>
  <c r="T151" i="1"/>
  <c r="T158" i="1" s="1"/>
  <c r="U153" i="1"/>
  <c r="U87" i="1"/>
  <c r="U155" i="1" s="1"/>
  <c r="T160" i="1"/>
  <c r="T101" i="1"/>
  <c r="U160" i="1"/>
  <c r="U101" i="1"/>
  <c r="T87" i="1"/>
  <c r="T155" i="1" s="1"/>
  <c r="P110" i="1"/>
  <c r="R103" i="1"/>
  <c r="R104" i="1" s="1"/>
  <c r="S90" i="1"/>
  <c r="S157" i="1" s="1"/>
  <c r="S162" i="1" s="1"/>
  <c r="O117" i="1"/>
  <c r="P115" i="1"/>
  <c r="U90" i="1" l="1"/>
  <c r="T90" i="1"/>
  <c r="T103" i="1" s="1"/>
  <c r="Q109" i="1"/>
  <c r="Q110" i="1" s="1"/>
  <c r="S103" i="1"/>
  <c r="R109" i="1" s="1"/>
  <c r="Q115" i="1"/>
  <c r="P117" i="1"/>
  <c r="U103" i="1" l="1"/>
  <c r="U104" i="1" s="1"/>
  <c r="U157" i="1"/>
  <c r="U162" i="1" s="1"/>
  <c r="T157" i="1"/>
  <c r="T162" i="1" s="1"/>
  <c r="T104" i="1"/>
  <c r="R110" i="1"/>
  <c r="S109" i="1"/>
  <c r="S110" i="1" s="1"/>
  <c r="S104" i="1"/>
  <c r="R115" i="1"/>
  <c r="Q117" i="1"/>
  <c r="T109" i="1" l="1"/>
  <c r="T111" i="1" s="1"/>
  <c r="T113" i="1" s="1"/>
  <c r="R117" i="1"/>
  <c r="S115" i="1"/>
  <c r="T110" i="1" l="1"/>
  <c r="S117" i="1"/>
  <c r="T115" i="1"/>
  <c r="T117" i="1" l="1"/>
  <c r="T118" i="1"/>
  <c r="D120" i="1" l="1"/>
  <c r="D126" i="1" s="1"/>
  <c r="D129" i="1" s="1"/>
  <c r="K138" i="1" s="1"/>
  <c r="G4" i="1" l="1"/>
  <c r="S4" i="1" s="1"/>
  <c r="S5" i="1" s="1"/>
  <c r="C138" i="1"/>
  <c r="O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<sst xmlns="http://schemas.openxmlformats.org/spreadsheetml/2006/main" count="295" uniqueCount="170">
  <si>
    <t>Recommendation: BUY</t>
  </si>
  <si>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</si>
  <si>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</si>
  <si>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</si>
  <si>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</si>
  <si>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</si>
  <si>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</si>
  <si>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</si>
  <si>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</si>
  <si>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</si>
  <si>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</si>
  <si>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</si>
  <si>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</si>
  <si>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</si>
  <si>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</si>
  <si>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</si>
  <si>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</si>
  <si>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</si>
  <si>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</si>
  <si>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Book Value of Debt</t>
  </si>
  <si>
    <t>Minority Interest</t>
  </si>
  <si>
    <t>Market Value of Debt</t>
  </si>
  <si>
    <t>Operating Leases</t>
  </si>
  <si>
    <t>Pre-tax Cost of Debt</t>
  </si>
  <si>
    <t>Outstanding Diluted Shares</t>
  </si>
  <si>
    <t>Client Incentives</t>
  </si>
  <si>
    <t>Client - 2023</t>
  </si>
  <si>
    <t>Market Numbers</t>
  </si>
  <si>
    <t>Riskfree Rate</t>
  </si>
  <si>
    <t>EBIT</t>
  </si>
  <si>
    <t>EBIT - 2023</t>
  </si>
  <si>
    <t>EBIT - 2033</t>
  </si>
  <si>
    <t>Beta</t>
  </si>
  <si>
    <t>Taxes</t>
  </si>
  <si>
    <t>Taxes - 2033</t>
  </si>
  <si>
    <t>Terminal Cost of Capital</t>
  </si>
  <si>
    <t>WACC</t>
  </si>
  <si>
    <t>TGR</t>
  </si>
  <si>
    <t>EV/EBITDA</t>
  </si>
  <si>
    <t>Valuation Assumptions</t>
  </si>
  <si>
    <t>Manual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</si>
  <si>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</si>
  <si>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</si>
  <si>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</si>
  <si>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</si>
  <si>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</si>
  <si>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</si>
  <si>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</si>
  <si>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</si>
  <si>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</si>
  <si>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</si>
  <si>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</si>
  <si>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</si>
  <si>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</si>
  <si>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</si>
  <si>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 xml:space="preserve">Unlevered FCF </t>
  </si>
  <si>
    <t>Projection Period (9/30 YE)</t>
  </si>
  <si>
    <t>Adjusted Unlevered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</si>
  <si>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</si>
  <si>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</si>
  <si>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</si>
  <si>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</si>
  <si>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</si>
  <si>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</si>
  <si>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</si>
  <si>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</si>
  <si>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</si>
  <si>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</si>
  <si>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</si>
  <si>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</si>
  <si>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</si>
  <si>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</si>
  <si>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</si>
  <si>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</si>
  <si>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</si>
  <si>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</si>
  <si>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</si>
  <si>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</si>
  <si>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</si>
  <si>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</si>
  <si>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</si>
  <si>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</si>
  <si>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</si>
  <si>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</si>
  <si>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</si>
  <si>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</si>
  <si>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</si>
  <si>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</si>
  <si>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</si>
  <si>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</si>
  <si>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</si>
  <si>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</si>
  <si>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Q123E</t>
  </si>
  <si>
    <t>Q223E</t>
  </si>
  <si>
    <t>Q323E</t>
  </si>
  <si>
    <t>Q423E</t>
  </si>
  <si>
    <t>2017A</t>
  </si>
  <si>
    <t>2018A</t>
  </si>
  <si>
    <t>Other</t>
  </si>
  <si>
    <t>Marketing</t>
  </si>
  <si>
    <t>G&amp;A</t>
  </si>
  <si>
    <t>EPS</t>
  </si>
  <si>
    <t>Revenue y/y</t>
  </si>
  <si>
    <t>Litigation provision</t>
  </si>
  <si>
    <t>Operating margin</t>
  </si>
  <si>
    <t>Operating income y/y</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</si>
  <si>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</si>
  <si>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</si>
  <si>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</si>
  <si>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</si>
  <si>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</si>
  <si>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</si>
  <si>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</si>
  <si>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</si>
  <si>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</si>
  <si>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</si>
  <si>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</si>
  <si>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Q422E</t>
  </si>
  <si>
    <t>Domestic assessments</t>
  </si>
  <si>
    <t>Cross-border volume fees</t>
  </si>
  <si>
    <t>Transaction processing</t>
  </si>
  <si>
    <t>Other revenue</t>
  </si>
  <si>
    <t>Investment income</t>
  </si>
  <si>
    <t>Pre-tax income</t>
  </si>
  <si>
    <t>Net Income</t>
  </si>
  <si>
    <t>2016A</t>
  </si>
  <si>
    <t>2022E</t>
  </si>
  <si>
    <t>Basic avg. shares outstanding</t>
  </si>
  <si>
    <t>Revenue Build (12/31 FYE)</t>
  </si>
  <si>
    <t>Domestic assessments y/y</t>
  </si>
  <si>
    <t>Cross-border volume fees y/y</t>
  </si>
  <si>
    <t>Transaction processing y/y</t>
  </si>
  <si>
    <t>Other revenue y/y</t>
  </si>
  <si>
    <t>Rebates and incentives y/y</t>
  </si>
  <si>
    <t>G&amp;A % of sales</t>
  </si>
  <si>
    <t>Marketing % of sales</t>
  </si>
  <si>
    <t>D&amp;A % of sales</t>
  </si>
  <si>
    <t>Taxes % of sales</t>
  </si>
  <si>
    <t>Net margin</t>
  </si>
  <si>
    <t>Rebates &amp; incentives</t>
  </si>
  <si>
    <t>EPS consensus</t>
  </si>
  <si>
    <t>Revenue consensus ($ in B)</t>
  </si>
  <si>
    <t>Operating income (excl. litigation)</t>
  </si>
  <si>
    <t>Interest income (expense)</t>
  </si>
  <si>
    <t>Shares q/q</t>
  </si>
  <si>
    <t># of analysts</t>
  </si>
  <si>
    <t>MA</t>
  </si>
  <si>
    <t>Mastercard DCF</t>
  </si>
  <si>
    <t>Domestic Assessments</t>
  </si>
  <si>
    <t>Cross-border Volume</t>
  </si>
  <si>
    <t>Transaction</t>
  </si>
  <si>
    <t>Cross-border</t>
  </si>
  <si>
    <t>Domestic</t>
  </si>
  <si>
    <t>Domestic - 2023</t>
  </si>
  <si>
    <t>Domestic - 2024</t>
  </si>
  <si>
    <t>Domestic - 2033</t>
  </si>
  <si>
    <t>Cross-border - 2023</t>
  </si>
  <si>
    <t>Cross-border - 2033</t>
  </si>
  <si>
    <t>Cross-border - 2024</t>
  </si>
  <si>
    <t>Transaction - 2023</t>
  </si>
  <si>
    <t>Transaction - 2024</t>
  </si>
  <si>
    <t>Transaction - 2033</t>
  </si>
  <si>
    <t>Other - 2023</t>
  </si>
  <si>
    <t>Other - 2033</t>
  </si>
  <si>
    <t>Client - % of sales growth</t>
  </si>
  <si>
    <t>DCF (12/31 FYE)</t>
  </si>
  <si>
    <t>Summary Financials (12/31 FYE)</t>
  </si>
  <si>
    <t>Price Target: $458.73</t>
  </si>
  <si>
    <t>10yr CAGR: 9.95%</t>
  </si>
  <si>
    <t>Implied Upside: 21.91%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</si>
</sst>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sz val="12"/>
      <color theme="9"/>
      <name val="Calibri"/>
      <family val="2"/>
      <scheme val="minor"/>
    </font>
    <font>
      <i/>
      <sz val="12"/>
      <name val="Calibri"/>
      <family val="2"/>
      <scheme val="minor"/>
    </font>
    <font>
      <sz val="12"/>
      <color rgb="FF7030A0"/>
      <name val="Calibri"/>
      <family val="2"/>
      <scheme val="minor"/>
    </font>
    <font>
      <i/>
      <sz val="12"/>
      <color theme="1"/>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8" fillId="0" borderId="0"/>
    <xf numFmtId="9" fontId="8" fillId="0" borderId="0" applyFont="0" applyFill="0" applyBorder="0" applyAlignment="0" applyProtection="0"/>
    <xf numFmtId="0" fontId="1" fillId="0" borderId="0"/>
    <xf numFmtId="9" fontId="1" fillId="0" borderId="0" applyFont="0" applyFill="0" applyBorder="0" applyAlignment="0" applyProtection="0"/>
  </cellStyleXfs>
  <cellXfs count="175">
    <xf numFmtId="0" fontId="0" fillId="0" borderId="0" xfId="0"/>
    <xf numFmtId="0" fontId="9" fillId="0" borderId="2" xfId="4" applyFont="1" applyBorder="1"/>
    <xf numFmtId="0" fontId="10" fillId="0" borderId="2" xfId="4" applyFont="1" applyBorder="1"/>
    <xf numFmtId="0" fontId="11" fillId="0" borderId="2" xfId="4" applyFont="1" applyBorder="1"/>
    <xf numFmtId="0" fontId="12" fillId="0" borderId="2" xfId="4" applyFont="1" applyBorder="1"/>
    <xf numFmtId="0" fontId="9" fillId="0" borderId="0" xfId="4"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5" applyNumberFormat="1" applyFont="1" applyFill="1" applyBorder="1" applyAlignment="1" applyProtection="1">
      <alignment horizontal="center"/>
    </xf>
    <xf numFmtId="0" fontId="4" fillId="4" borderId="0" xfId="4" applyFont="1" applyFill="1"/>
    <xf numFmtId="0" fontId="13" fillId="4" borderId="0" xfId="4" applyFont="1" applyFill="1"/>
    <xf numFmtId="0" fontId="14" fillId="4" borderId="0" xfId="4" applyFont="1" applyFill="1"/>
    <xf numFmtId="0" fontId="9" fillId="4" borderId="0" xfId="4" applyFont="1" applyFill="1"/>
    <xf numFmtId="0" fontId="15" fillId="0" borderId="0" xfId="4" applyFont="1"/>
    <xf numFmtId="0" fontId="8" fillId="0" borderId="0" xfId="4"/>
    <xf numFmtId="0" fontId="3" fillId="3" borderId="1" xfId="3" applyAlignment="1" applyProtection="1">
      <alignment horizontal="center"/>
      <protection locked="0"/>
    </xf>
    <xf numFmtId="9" fontId="3" fillId="3" borderId="1" xfId="5" applyFont="1" applyFill="1" applyBorder="1" applyAlignment="1" applyProtection="1">
      <alignment horizontal="center"/>
    </xf>
    <xf numFmtId="0" fontId="8" fillId="0" borderId="0" xfId="4" applyAlignment="1">
      <alignment horizontal="center"/>
    </xf>
    <xf numFmtId="37" fontId="3" fillId="3" borderId="1" xfId="5" applyNumberFormat="1" applyFont="1" applyFill="1" applyBorder="1" applyAlignment="1" applyProtection="1">
      <alignment horizontal="center"/>
      <protection locked="0"/>
    </xf>
    <xf numFmtId="0" fontId="9" fillId="0" borderId="0" xfId="4" applyFont="1" applyAlignment="1">
      <alignment horizontal="center"/>
    </xf>
    <xf numFmtId="165" fontId="3" fillId="3" borderId="1" xfId="5" applyNumberFormat="1" applyFont="1" applyFill="1" applyBorder="1" applyAlignment="1" applyProtection="1">
      <alignment horizontal="center"/>
      <protection locked="0"/>
    </xf>
    <xf numFmtId="165" fontId="3" fillId="3" borderId="1" xfId="5" applyNumberFormat="1" applyFont="1" applyFill="1" applyBorder="1" applyAlignment="1" applyProtection="1">
      <alignment horizontal="center"/>
    </xf>
    <xf numFmtId="0" fontId="3" fillId="3" borderId="1" xfId="5" applyNumberFormat="1" applyFont="1" applyFill="1" applyBorder="1" applyAlignment="1" applyProtection="1">
      <alignment horizontal="center"/>
      <protection locked="0"/>
    </xf>
    <xf numFmtId="9" fontId="3" fillId="3" borderId="1" xfId="5" applyFont="1" applyFill="1" applyBorder="1" applyAlignment="1" applyProtection="1">
      <alignment horizontal="center"/>
      <protection locked="0"/>
    </xf>
    <xf numFmtId="165" fontId="16" fillId="3" borderId="1" xfId="3" applyNumberFormat="1" applyFont="1" applyAlignment="1" applyProtection="1">
      <alignment horizontal="center"/>
    </xf>
    <xf numFmtId="165" fontId="3" fillId="3" borderId="1" xfId="3" applyNumberFormat="1" applyAlignment="1" applyProtection="1">
      <alignment horizontal="center"/>
    </xf>
    <xf numFmtId="166" fontId="3" fillId="3" borderId="1" xfId="3" applyNumberFormat="1" applyAlignment="1" applyProtection="1">
      <alignment horizontal="center"/>
    </xf>
    <xf numFmtId="166" fontId="9" fillId="0" borderId="0" xfId="4" applyNumberFormat="1" applyFont="1"/>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167" fontId="4" fillId="4" borderId="0" xfId="4" applyNumberFormat="1" applyFont="1" applyFill="1"/>
    <xf numFmtId="168" fontId="4" fillId="4" borderId="0" xfId="4" applyNumberFormat="1" applyFont="1" applyFill="1"/>
    <xf numFmtId="17" fontId="4" fillId="4" borderId="0" xfId="4" applyNumberFormat="1" applyFont="1" applyFill="1"/>
    <xf numFmtId="37" fontId="16" fillId="0" borderId="0" xfId="4" applyNumberFormat="1" applyFont="1"/>
    <xf numFmtId="37" fontId="16" fillId="0" borderId="3" xfId="4" applyNumberFormat="1" applyFont="1" applyBorder="1"/>
    <xf numFmtId="37" fontId="9" fillId="0" borderId="0" xfId="4" applyNumberFormat="1" applyFont="1"/>
    <xf numFmtId="0" fontId="17" fillId="0" borderId="0" xfId="4" applyFont="1"/>
    <xf numFmtId="9" fontId="17" fillId="0" borderId="0" xfId="5" applyFont="1" applyProtection="1"/>
    <xf numFmtId="9" fontId="17" fillId="0" borderId="3" xfId="5" applyFont="1" applyBorder="1" applyProtection="1"/>
    <xf numFmtId="0" fontId="9" fillId="0" borderId="3" xfId="4" applyFont="1" applyBorder="1"/>
    <xf numFmtId="9" fontId="18" fillId="3" borderId="4" xfId="3" applyNumberFormat="1" applyFont="1" applyBorder="1" applyProtection="1"/>
    <xf numFmtId="9" fontId="18" fillId="3" borderId="1" xfId="3" applyNumberFormat="1" applyFont="1" applyProtection="1"/>
    <xf numFmtId="9" fontId="3" fillId="3" borderId="1" xfId="3" applyNumberFormat="1" applyProtection="1"/>
    <xf numFmtId="9" fontId="16" fillId="3" borderId="4" xfId="3" applyNumberFormat="1" applyFont="1" applyBorder="1" applyProtection="1"/>
    <xf numFmtId="9" fontId="3" fillId="3" borderId="4" xfId="3" applyNumberFormat="1" applyBorder="1" applyProtection="1">
      <protection locked="0"/>
    </xf>
    <xf numFmtId="9" fontId="3" fillId="3" borderId="1" xfId="3" applyNumberFormat="1" applyProtection="1">
      <protection locked="0"/>
    </xf>
    <xf numFmtId="37" fontId="1" fillId="0" borderId="0" xfId="4" applyNumberFormat="1" applyFont="1"/>
    <xf numFmtId="9" fontId="5" fillId="3" borderId="1" xfId="3" applyNumberFormat="1" applyFont="1" applyProtection="1"/>
    <xf numFmtId="0" fontId="0" fillId="0" borderId="3" xfId="0" applyBorder="1"/>
    <xf numFmtId="0" fontId="15" fillId="0" borderId="5" xfId="4" applyFont="1" applyBorder="1"/>
    <xf numFmtId="0" fontId="9" fillId="0" borderId="5" xfId="4" applyFont="1" applyBorder="1"/>
    <xf numFmtId="37" fontId="9" fillId="0" borderId="5" xfId="4" applyNumberFormat="1" applyFont="1" applyBorder="1"/>
    <xf numFmtId="37" fontId="9" fillId="0" borderId="6" xfId="4" applyNumberFormat="1" applyFont="1" applyBorder="1"/>
    <xf numFmtId="37" fontId="18" fillId="0" borderId="0" xfId="4" applyNumberFormat="1" applyFont="1"/>
    <xf numFmtId="37" fontId="18" fillId="0" borderId="3" xfId="4" applyNumberFormat="1" applyFont="1" applyBorder="1"/>
    <xf numFmtId="0" fontId="19" fillId="0" borderId="0" xfId="4" applyFont="1"/>
    <xf numFmtId="9" fontId="19" fillId="0" borderId="0" xfId="4" applyNumberFormat="1" applyFont="1"/>
    <xf numFmtId="9" fontId="19" fillId="0" borderId="3" xfId="4" applyNumberFormat="1" applyFont="1" applyBorder="1"/>
    <xf numFmtId="0" fontId="1" fillId="0" borderId="0" xfId="4" applyFont="1"/>
    <xf numFmtId="0" fontId="1" fillId="0" borderId="3" xfId="4" applyFont="1" applyBorder="1"/>
    <xf numFmtId="9" fontId="19" fillId="0" borderId="0" xfId="5" applyFont="1" applyProtection="1"/>
    <xf numFmtId="9" fontId="19" fillId="0" borderId="3" xfId="5" applyFont="1" applyBorder="1" applyProtection="1"/>
    <xf numFmtId="9" fontId="20" fillId="0" borderId="0" xfId="5" applyFont="1" applyProtection="1"/>
    <xf numFmtId="9" fontId="21" fillId="0" borderId="0" xfId="4" applyNumberFormat="1" applyFont="1"/>
    <xf numFmtId="0" fontId="9" fillId="0" borderId="7" xfId="4" applyFont="1" applyBorder="1"/>
    <xf numFmtId="37" fontId="1" fillId="0" borderId="7" xfId="4" applyNumberFormat="1" applyFont="1" applyBorder="1"/>
    <xf numFmtId="37" fontId="1" fillId="0" borderId="8" xfId="4" applyNumberFormat="1" applyFont="1" applyBorder="1"/>
    <xf numFmtId="0" fontId="1" fillId="0" borderId="6" xfId="4" applyFont="1" applyBorder="1"/>
    <xf numFmtId="9" fontId="22" fillId="0" borderId="0" xfId="5" applyFont="1" applyProtection="1"/>
    <xf numFmtId="37" fontId="1" fillId="0" borderId="3" xfId="4" applyNumberFormat="1" applyFont="1" applyBorder="1"/>
    <xf numFmtId="37" fontId="19" fillId="0" borderId="0" xfId="4" applyNumberFormat="1" applyFont="1"/>
    <xf numFmtId="9" fontId="1" fillId="0" borderId="0" xfId="5" applyFont="1" applyProtection="1"/>
    <xf numFmtId="9" fontId="1" fillId="0" borderId="3" xfId="5" applyFont="1" applyBorder="1" applyProtection="1"/>
    <xf numFmtId="37" fontId="1" fillId="0" borderId="5" xfId="5" applyNumberFormat="1" applyFont="1" applyBorder="1" applyProtection="1"/>
    <xf numFmtId="37" fontId="1" fillId="0" borderId="6" xfId="5" applyNumberFormat="1" applyFont="1" applyBorder="1" applyProtection="1"/>
    <xf numFmtId="9" fontId="19" fillId="0" borderId="0" xfId="5" applyFont="1" applyBorder="1" applyProtection="1"/>
    <xf numFmtId="9" fontId="9" fillId="0" borderId="0" xfId="5" applyFont="1" applyBorder="1" applyProtection="1"/>
    <xf numFmtId="9" fontId="9" fillId="0" borderId="3" xfId="5" applyFont="1" applyBorder="1" applyProtection="1"/>
    <xf numFmtId="37" fontId="9" fillId="0" borderId="0" xfId="5" applyNumberFormat="1" applyFont="1" applyBorder="1" applyProtection="1"/>
    <xf numFmtId="9" fontId="2" fillId="2" borderId="0" xfId="5" applyFont="1" applyFill="1" applyProtection="1"/>
    <xf numFmtId="37" fontId="4" fillId="4" borderId="0" xfId="4" applyNumberFormat="1" applyFont="1" applyFill="1"/>
    <xf numFmtId="0" fontId="6" fillId="0" borderId="0" xfId="4" applyFont="1"/>
    <xf numFmtId="9" fontId="9" fillId="0" borderId="0" xfId="5" applyFont="1" applyProtection="1"/>
    <xf numFmtId="37" fontId="9" fillId="0" borderId="0" xfId="5" applyNumberFormat="1" applyFont="1" applyProtection="1"/>
    <xf numFmtId="0" fontId="17" fillId="0" borderId="3" xfId="4" applyFont="1" applyBorder="1"/>
    <xf numFmtId="37" fontId="9" fillId="0" borderId="9" xfId="4" applyNumberFormat="1" applyFont="1" applyBorder="1"/>
    <xf numFmtId="0" fontId="9" fillId="0" borderId="9" xfId="4" applyFont="1" applyBorder="1"/>
    <xf numFmtId="0" fontId="9" fillId="0" borderId="10" xfId="4" applyFont="1" applyBorder="1"/>
    <xf numFmtId="165" fontId="18" fillId="0" borderId="0" xfId="5" applyNumberFormat="1" applyFont="1" applyProtection="1"/>
    <xf numFmtId="165" fontId="1" fillId="0" borderId="0" xfId="5" applyNumberFormat="1" applyFont="1" applyProtection="1"/>
    <xf numFmtId="2" fontId="9" fillId="0" borderId="0" xfId="4" applyNumberFormat="1" applyFont="1"/>
    <xf numFmtId="0" fontId="9" fillId="0" borderId="8" xfId="4" applyFont="1" applyBorder="1"/>
    <xf numFmtId="37" fontId="9" fillId="0" borderId="7" xfId="4" applyNumberFormat="1" applyFont="1" applyBorder="1"/>
    <xf numFmtId="0" fontId="13" fillId="0" borderId="5" xfId="4" applyFont="1" applyBorder="1"/>
    <xf numFmtId="3" fontId="18" fillId="0" borderId="0" xfId="4" applyNumberFormat="1" applyFont="1"/>
    <xf numFmtId="3" fontId="1" fillId="0" borderId="5" xfId="4" applyNumberFormat="1" applyFont="1" applyBorder="1"/>
    <xf numFmtId="3" fontId="18" fillId="0" borderId="9" xfId="4" applyNumberFormat="1" applyFont="1" applyBorder="1"/>
    <xf numFmtId="0" fontId="13" fillId="0" borderId="0" xfId="4" applyFont="1"/>
    <xf numFmtId="4" fontId="9" fillId="0" borderId="0" xfId="4" applyNumberFormat="1" applyFont="1"/>
    <xf numFmtId="0" fontId="7" fillId="4" borderId="0" xfId="4" applyFont="1" applyFill="1"/>
    <xf numFmtId="37" fontId="7" fillId="4" borderId="0" xfId="4" applyNumberFormat="1" applyFont="1" applyFill="1"/>
    <xf numFmtId="165" fontId="18" fillId="3" borderId="1" xfId="3" applyNumberFormat="1" applyFont="1" applyAlignment="1" applyProtection="1">
      <alignment horizontal="center"/>
    </xf>
    <xf numFmtId="166" fontId="18" fillId="3" borderId="1" xfId="3" applyNumberFormat="1" applyFont="1" applyAlignment="1" applyProtection="1">
      <alignment horizontal="center"/>
    </xf>
    <xf numFmtId="166" fontId="3" fillId="3" borderId="1" xfId="5" applyNumberFormat="1" applyFont="1" applyFill="1" applyBorder="1" applyAlignment="1" applyProtection="1">
      <alignment horizontal="center"/>
      <protection locked="0"/>
    </xf>
    <xf numFmtId="0" fontId="23" fillId="4" borderId="0" xfId="4" applyFont="1" applyFill="1" applyAlignment="1">
      <alignment horizontal="center" vertical="center"/>
    </xf>
    <xf numFmtId="165" fontId="9" fillId="5" borderId="0" xfId="4" applyNumberFormat="1" applyFont="1" applyFill="1"/>
    <xf numFmtId="165" fontId="9" fillId="5" borderId="0" xfId="5" applyNumberFormat="1" applyFont="1" applyFill="1" applyProtection="1"/>
    <xf numFmtId="166" fontId="9" fillId="5" borderId="0" xfId="4" applyNumberFormat="1" applyFont="1" applyFill="1"/>
    <xf numFmtId="165" fontId="9" fillId="5" borderId="0" xfId="5" applyNumberFormat="1" applyFont="1" applyFill="1" applyAlignment="1" applyProtection="1"/>
    <xf numFmtId="2" fontId="9" fillId="5" borderId="0" xfId="4" applyNumberFormat="1" applyFont="1" applyFill="1"/>
    <xf numFmtId="2" fontId="7" fillId="4" borderId="0" xfId="4" applyNumberFormat="1" applyFont="1" applyFill="1"/>
    <xf numFmtId="37" fontId="9" fillId="0" borderId="3" xfId="4" applyNumberFormat="1" applyFont="1" applyBorder="1"/>
    <xf numFmtId="9" fontId="17" fillId="0" borderId="0" xfId="4" applyNumberFormat="1" applyFont="1"/>
    <xf numFmtId="9" fontId="17" fillId="0" borderId="3" xfId="4" applyNumberFormat="1" applyFont="1" applyBorder="1"/>
    <xf numFmtId="37" fontId="9" fillId="0" borderId="10" xfId="4" applyNumberFormat="1" applyFont="1" applyBorder="1"/>
    <xf numFmtId="0" fontId="0" fillId="0" borderId="0" xfId="0" applyAlignment="1">
      <alignment horizontal="right"/>
    </xf>
    <xf numFmtId="14" fontId="0" fillId="0" borderId="0" xfId="0" applyNumberFormat="1" applyAlignment="1">
      <alignment horizontal="right"/>
    </xf>
    <xf numFmtId="0" fontId="1" fillId="0" borderId="0" xfId="4" applyFont="1" applyAlignment="1">
      <alignment horizontal="left"/>
    </xf>
    <xf numFmtId="0" fontId="1" fillId="0" borderId="0" xfId="4" applyFont="1" applyAlignment="1">
      <alignment horizontal="right"/>
    </xf>
    <xf numFmtId="167" fontId="0" fillId="0" borderId="0" xfId="0" applyNumberFormat="1"/>
    <xf numFmtId="168" fontId="0" fillId="0" borderId="0" xfId="0" applyNumberFormat="1"/>
    <xf numFmtId="37" fontId="0" fillId="0" borderId="0" xfId="0" applyNumberFormat="1"/>
    <xf numFmtId="37" fontId="0" fillId="0" borderId="0" xfId="0" applyNumberFormat="1" applyAlignment="1">
      <alignment horizontal="right"/>
    </xf>
    <xf numFmtId="165" fontId="0" fillId="0" borderId="0" xfId="2" applyNumberFormat="1" applyFont="1"/>
    <xf numFmtId="37" fontId="6" fillId="0" borderId="0" xfId="0" applyNumberFormat="1" applyFont="1"/>
    <xf numFmtId="37" fontId="6" fillId="0" borderId="0" xfId="0" applyNumberFormat="1" applyFont="1" applyAlignment="1">
      <alignment horizontal="right"/>
    </xf>
    <xf numFmtId="0" fontId="6" fillId="0" borderId="0" xfId="0" applyFont="1"/>
    <xf numFmtId="165" fontId="6" fillId="0" borderId="0" xfId="2" applyNumberFormat="1" applyFont="1"/>
    <xf numFmtId="165" fontId="1" fillId="0" borderId="0" xfId="2" applyNumberFormat="1" applyFont="1"/>
    <xf numFmtId="165" fontId="0" fillId="0" borderId="0" xfId="2" applyNumberFormat="1" applyFont="1" applyBorder="1"/>
    <xf numFmtId="165" fontId="1" fillId="0" borderId="0" xfId="2" applyNumberFormat="1" applyFont="1" applyBorder="1"/>
    <xf numFmtId="165" fontId="6" fillId="0" borderId="0" xfId="2" applyNumberFormat="1" applyFont="1" applyBorder="1"/>
    <xf numFmtId="37" fontId="5" fillId="0" borderId="0" xfId="0" applyNumberFormat="1" applyFont="1"/>
    <xf numFmtId="39" fontId="0" fillId="0" borderId="0" xfId="0" applyNumberFormat="1"/>
    <xf numFmtId="9" fontId="6" fillId="0" borderId="0" xfId="2" applyFont="1"/>
    <xf numFmtId="9" fontId="0" fillId="0" borderId="0" xfId="2" applyFont="1"/>
    <xf numFmtId="3" fontId="0" fillId="0" borderId="0" xfId="0" applyNumberFormat="1"/>
    <xf numFmtId="9" fontId="1" fillId="0" borderId="0" xfId="2" applyFont="1"/>
    <xf numFmtId="9" fontId="5" fillId="0" borderId="0" xfId="2" applyFont="1"/>
    <xf numFmtId="9" fontId="5" fillId="0" borderId="0" xfId="0" applyNumberFormat="1" applyFont="1"/>
    <xf numFmtId="2" fontId="0" fillId="0" borderId="0" xfId="0" applyNumberFormat="1"/>
    <xf numFmtId="9" fontId="19" fillId="0" borderId="0" xfId="2" applyFont="1"/>
    <xf numFmtId="0" fontId="19" fillId="0" borderId="0" xfId="0" applyFont="1"/>
    <xf numFmtId="0" fontId="1" fillId="0" borderId="2" xfId="6" applyBorder="1"/>
    <xf numFmtId="0" fontId="24" fillId="0" borderId="2" xfId="6" applyFont="1" applyBorder="1"/>
    <xf numFmtId="0" fontId="1" fillId="0" borderId="0" xfId="6"/>
    <xf numFmtId="0" fontId="4" fillId="4" borderId="0" xfId="6" applyFont="1" applyFill="1" applyAlignment="1">
      <alignment horizontal="center" vertical="center"/>
    </xf>
    <xf numFmtId="0" fontId="7" fillId="4" borderId="0" xfId="6" applyFont="1" applyFill="1" applyAlignment="1">
      <alignment horizontal="center" vertical="center"/>
    </xf>
    <xf numFmtId="3" fontId="1" fillId="0" borderId="0" xfId="6" applyNumberFormat="1"/>
    <xf numFmtId="38" fontId="1" fillId="0" borderId="0" xfId="6" applyNumberFormat="1"/>
    <xf numFmtId="10" fontId="1" fillId="0" borderId="0" xfId="7" applyNumberFormat="1" applyFont="1"/>
    <xf numFmtId="0" fontId="1" fillId="0" borderId="9" xfId="6" applyBorder="1"/>
    <xf numFmtId="10" fontId="1" fillId="0" borderId="9" xfId="7" applyNumberFormat="1" applyFont="1" applyBorder="1"/>
    <xf numFmtId="0" fontId="6" fillId="0" borderId="7" xfId="6" applyFont="1" applyBorder="1"/>
    <xf numFmtId="0" fontId="1" fillId="0" borderId="7" xfId="6" applyBorder="1"/>
    <xf numFmtId="10" fontId="1" fillId="0" borderId="7" xfId="6" applyNumberFormat="1" applyBorder="1"/>
    <xf numFmtId="10" fontId="1" fillId="0" borderId="0" xfId="6" applyNumberFormat="1"/>
    <xf numFmtId="0" fontId="6" fillId="0" borderId="0" xfId="6" applyFont="1"/>
    <xf numFmtId="0" fontId="6" fillId="0" borderId="7" xfId="6" applyFont="1" applyBorder="1" applyAlignment="1">
      <alignment vertical="center"/>
    </xf>
    <xf numFmtId="0" fontId="1" fillId="0" borderId="7" xfId="6" applyBorder="1" applyAlignment="1">
      <alignment vertical="center"/>
    </xf>
    <xf numFmtId="10" fontId="6" fillId="0" borderId="7" xfId="6" applyNumberFormat="1" applyFont="1" applyBorder="1" applyAlignment="1">
      <alignment vertical="center"/>
    </xf>
    <xf numFmtId="167" fontId="0" fillId="0" borderId="0" xfId="0" applyNumberFormat="1" applyAlignment="1">
      <alignment horizontal="right"/>
    </xf>
    <xf numFmtId="37" fontId="0" fillId="0" borderId="0" xfId="0" applyNumberFormat="1" applyFont="1"/>
    <xf numFmtId="0" fontId="0" fillId="0" borderId="0" xfId="0" applyFont="1"/>
    <xf numFmtId="4" fontId="0" fillId="0" borderId="0" xfId="0" applyNumberFormat="1"/>
    <xf numFmtId="1" fontId="0" fillId="0" borderId="0" xfId="0" applyNumberFormat="1"/>
    <xf numFmtId="37" fontId="0" fillId="0" borderId="0" xfId="2" applyNumberFormat="1" applyFont="1"/>
    <xf numFmtId="9" fontId="16" fillId="3" borderId="1" xfId="3" applyNumberFormat="1" applyFont="1" applyProtection="1"/>
    <xf numFmtId="2" fontId="9" fillId="0" borderId="3" xfId="4" applyNumberFormat="1" applyFont="1" applyBorder="1"/>
    <xf numFmtId="9" fontId="3" fillId="3" borderId="1" xfId="5" applyNumberFormat="1" applyFont="1" applyFill="1" applyBorder="1" applyAlignment="1" applyProtection="1">
      <alignment horizontal="center"/>
    </xf>
    <xf numFmtId="9" fontId="20" fillId="0" borderId="0" xfId="4" applyNumberFormat="1" applyFont="1"/>
    <xf numFmtId="9" fontId="17" fillId="0" borderId="0" xfId="5" applyNumberFormat="1" applyFont="1" applyProtection="1"/>
  </cellXfs>
  <cellStyles count="8">
    <cellStyle name="Currency" xfId="1" builtinId="4"/>
    <cellStyle name="Input" xfId="3" builtinId="20"/>
    <cellStyle name="Normal" xfId="0" builtinId="0"/>
    <cellStyle name="Normal 2" xfId="4" xr:uid="{E12B2E80-4FBF-BE45-AD7F-345CF2F63C32}"/>
    <cellStyle name="Normal 2 2" xfId="6" xr:uid="{E82B9D30-99A2-7042-BB57-3FBCD3B1284D}"/>
    <cellStyle name="Percent" xfId="2" builtinId="5"/>
    <cellStyle name="Percent 2" xfId="5" xr:uid="{18D816EA-0C0D-234D-A59F-7EA065BC2C33}"/>
    <cellStyle name="Percent 2 2" xfId="7" xr:uid="{5D89A848-F37B-714A-A44D-6B1AEB38C5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7055</xdr:colOff>
      <xdr:row>1</xdr:row>
      <xdr:rowOff>21166</xdr:rowOff>
    </xdr:from>
    <xdr:to>
      <xdr:col>9</xdr:col>
      <xdr:colOff>25400</xdr:colOff>
      <xdr:row>54</xdr:row>
      <xdr:rowOff>129822</xdr:rowOff>
    </xdr:to>
    <xdr:cxnSp macro="">
      <xdr:nvCxnSpPr>
        <xdr:cNvPr id="2" name="Straight Connector 1">
          <a:extLst>
            <a:ext uri="{FF2B5EF4-FFF2-40B4-BE49-F238E27FC236}">
              <a16:creationId xmlns:a16="http://schemas.microsoft.com/office/drawing/2014/main" id="{573C2B9D-ADF5-5B45-B97A-58116A4F978D}"/>
            </a:ext>
          </a:extLst>
        </xdr:cNvPr>
        <xdr:cNvCxnSpPr/>
      </xdr:nvCxnSpPr>
      <xdr:spPr>
        <a:xfrm>
          <a:off x="9362722" y="218722"/>
          <a:ext cx="18345" cy="11764433"/>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811645</xdr:colOff>
      <xdr:row>1</xdr:row>
      <xdr:rowOff>5773</xdr:rowOff>
    </xdr:from>
    <xdr:to>
      <xdr:col>21</xdr:col>
      <xdr:colOff>823191</xdr:colOff>
      <xdr:row>53</xdr:row>
      <xdr:rowOff>132773</xdr:rowOff>
    </xdr:to>
    <xdr:cxnSp macro="">
      <xdr:nvCxnSpPr>
        <xdr:cNvPr id="3" name="Straight Connector 2">
          <a:extLst>
            <a:ext uri="{FF2B5EF4-FFF2-40B4-BE49-F238E27FC236}">
              <a16:creationId xmlns:a16="http://schemas.microsoft.com/office/drawing/2014/main" id="{0B5CDF66-023D-5541-9E29-E533688A538F}"/>
            </a:ext>
          </a:extLst>
        </xdr:cNvPr>
        <xdr:cNvCxnSpPr/>
      </xdr:nvCxnSpPr>
      <xdr:spPr>
        <a:xfrm>
          <a:off x="19366345" y="208973"/>
          <a:ext cx="11546" cy="106934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399.92</v>
    <v>276.87</v>
    <v>1.0887</v>
    <v>8.34</v>
    <v>2.2667000000000003E-2</v>
    <v>-1.71</v>
    <v>-4.5440000000000003E-3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376.62</v>
    <v>Software &amp; IT Services</v>
    <v>Stock</v>
    <v>44947.035733483594</v>
    <v>0</v>
    <v>369.4</v>
    <v>361778100000</v>
    <v>MASTERCARD INCORPORATED.</v>
    <v>MASTERCARD INCORPORATED.</v>
    <v>370.23</v>
    <v>37.590000000000003</v>
    <v>367.94</v>
    <v>376.28</v>
    <v>374.57</v>
    <v>961459800</v>
    <v>MA</v>
    <v>MASTERCARD INCORPORATED. (XNYS:MA)</v>
    <v>3863414</v>
    <v>2848545</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B674E-616A-4A43-92BC-B92BA9639A68}">
  <dimension ref="A2:AA163"/>
  <sheetViews>
    <sheetView showGridLines="0" tabSelected="1" topLeftCell="A94" zoomScale="110" zoomScaleNormal="110" workbookViewId="0">
      <selection activeCell="H133" sqref="H133"/>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147</v>
      </c>
      <c r="E2" s="3" t="s">
        <v>167</v>
      </c>
      <c r="F2" s="4"/>
      <c r="G2" s="4"/>
      <c r="H2" s="3" t="s">
        <v>168</v>
      </c>
      <c r="K2" s="3" t="s">
        <v>0</v>
      </c>
      <c r="N2" s="3" t="s">
        <v>169</v>
      </c>
    </row>
    <row r="4" spans="1:27" ht="16" customHeight="1" x14ac:dyDescent="0.2">
      <c r="B4" s="5" t="s">
        <v>1</v>
      </c>
      <c r="C4" s="6" t="s">
        <v>146</v>
      </c>
      <c r="E4" s="5" t="s">
        <v>2</v>
      </c>
      <c r="G4" s="7">
        <f ca="1">D129</f>
        <v>458.72864428124012</v>
      </c>
      <c r="I4" s="5" t="s">
        <v>3</v>
      </c>
      <c r="K4" s="7">
        <v>422.4736675697705</v>
      </c>
      <c r="M4" s="5" t="s">
        <v>4</v>
      </c>
      <c r="O4" s="8">
        <v>304.66768316898634</v>
      </c>
      <c r="Q4" s="5" t="s">
        <v>5</v>
      </c>
      <c r="S4" s="8">
        <f ca="1">G4*(1+((1/T115)^(1/10)-1))^10</f>
        <v>971.7350313695772</v>
      </c>
    </row>
    <row r="5" spans="1:27" ht="16" customHeight="1" x14ac:dyDescent="0.2">
      <c r="B5" s="5" t="s">
        <v>6</v>
      </c>
      <c r="C5" s="9">
        <v>44948</v>
      </c>
      <c r="E5" s="5" t="s">
        <v>7</v>
      </c>
      <c r="G5" s="10" cm="1">
        <f t="array" ref="G5">_FV('Financials + KPIs'!B1,"Price")</f>
        <v>376.28</v>
      </c>
      <c r="I5" s="5" t="s">
        <v>8</v>
      </c>
      <c r="K5" s="7">
        <v>582.9124146171315</v>
      </c>
      <c r="M5" s="5" t="s">
        <v>9</v>
      </c>
      <c r="O5" s="11">
        <f ca="1">G4/G5-1</f>
        <v>0.21911513841086472</v>
      </c>
      <c r="Q5" s="5" t="s">
        <v>10</v>
      </c>
      <c r="S5" s="11">
        <f ca="1">(S4/G5)^(1/10)-1</f>
        <v>9.9521364437665349E-2</v>
      </c>
    </row>
    <row r="7" spans="1:27" ht="16" customHeight="1" x14ac:dyDescent="0.2">
      <c r="A7" s="5" t="s">
        <v>11</v>
      </c>
      <c r="B7" s="12" t="s">
        <v>12</v>
      </c>
      <c r="C7" s="13"/>
      <c r="D7" s="13"/>
      <c r="E7" s="14" t="s">
        <v>13</v>
      </c>
      <c r="F7" s="13"/>
      <c r="G7" s="13"/>
      <c r="H7" s="13"/>
      <c r="I7" s="13"/>
      <c r="J7" s="15"/>
      <c r="K7" s="15"/>
      <c r="L7" s="15"/>
      <c r="M7" s="15"/>
      <c r="N7" s="15"/>
      <c r="O7" s="15"/>
      <c r="P7" s="15"/>
      <c r="Q7" s="15"/>
      <c r="R7" s="15"/>
      <c r="S7" s="15"/>
      <c r="T7" s="15"/>
      <c r="U7" s="15"/>
      <c r="V7"/>
      <c r="W7"/>
      <c r="X7"/>
      <c r="Y7"/>
      <c r="Z7"/>
      <c r="AA7"/>
    </row>
    <row r="8" spans="1:27" ht="16" customHeight="1" x14ac:dyDescent="0.2">
      <c r="B8" s="16" t="s">
        <v>14</v>
      </c>
      <c r="F8" s="16" t="s">
        <v>4</v>
      </c>
      <c r="J8" s="16" t="s">
        <v>15</v>
      </c>
      <c r="N8" s="16" t="s">
        <v>8</v>
      </c>
      <c r="R8" s="16" t="s">
        <v>16</v>
      </c>
      <c r="S8" s="17"/>
      <c r="T8" s="17"/>
    </row>
    <row r="9" spans="1:27" ht="16" customHeight="1" x14ac:dyDescent="0.2">
      <c r="B9" s="5" t="s">
        <v>152</v>
      </c>
      <c r="D9" s="18">
        <v>2</v>
      </c>
      <c r="F9" s="5" t="s">
        <v>153</v>
      </c>
      <c r="H9" s="19">
        <v>0.8</v>
      </c>
      <c r="J9" s="5" t="s">
        <v>153</v>
      </c>
      <c r="L9" s="20"/>
      <c r="N9" s="5" t="s">
        <v>153</v>
      </c>
      <c r="P9" s="19">
        <v>1.2</v>
      </c>
      <c r="R9" s="5" t="s">
        <v>17</v>
      </c>
      <c r="S9" s="17"/>
      <c r="T9" s="21">
        <v>8045</v>
      </c>
    </row>
    <row r="10" spans="1:27" ht="16" customHeight="1" x14ac:dyDescent="0.2">
      <c r="F10" s="5" t="s">
        <v>154</v>
      </c>
      <c r="H10" s="19">
        <v>0.13</v>
      </c>
      <c r="J10" s="5" t="s">
        <v>154</v>
      </c>
      <c r="L10" s="19">
        <v>0.15</v>
      </c>
      <c r="N10" s="5" t="s">
        <v>154</v>
      </c>
      <c r="P10" s="19">
        <v>0.17</v>
      </c>
      <c r="R10" s="5" t="s">
        <v>18</v>
      </c>
      <c r="S10" s="17"/>
      <c r="T10" s="21">
        <v>1019</v>
      </c>
    </row>
    <row r="11" spans="1:27" ht="16" customHeight="1" x14ac:dyDescent="0.2">
      <c r="B11" s="17"/>
      <c r="C11" s="17"/>
      <c r="D11" s="17"/>
      <c r="F11" s="5" t="s">
        <v>155</v>
      </c>
      <c r="H11" s="19">
        <v>0.03</v>
      </c>
      <c r="J11" s="5" t="s">
        <v>155</v>
      </c>
      <c r="L11" s="19">
        <v>0.04</v>
      </c>
      <c r="N11" s="5" t="s">
        <v>155</v>
      </c>
      <c r="P11" s="19">
        <v>0.05</v>
      </c>
      <c r="R11" s="5" t="s">
        <v>19</v>
      </c>
      <c r="S11" s="17"/>
      <c r="T11" s="21">
        <v>14534</v>
      </c>
    </row>
    <row r="12" spans="1:27" ht="16" customHeight="1" x14ac:dyDescent="0.2">
      <c r="B12" s="5" t="s">
        <v>151</v>
      </c>
      <c r="D12" s="18">
        <v>2</v>
      </c>
      <c r="F12" s="5" t="s">
        <v>156</v>
      </c>
      <c r="H12" s="19">
        <v>0.7</v>
      </c>
      <c r="J12" s="5" t="s">
        <v>156</v>
      </c>
      <c r="L12" s="22"/>
      <c r="N12" s="5" t="s">
        <v>156</v>
      </c>
      <c r="P12" s="19">
        <v>1.3</v>
      </c>
      <c r="R12" s="5" t="s">
        <v>20</v>
      </c>
      <c r="S12" s="17"/>
      <c r="T12" s="21">
        <v>0</v>
      </c>
    </row>
    <row r="13" spans="1:27" ht="16" customHeight="1" x14ac:dyDescent="0.2">
      <c r="F13" s="5" t="s">
        <v>158</v>
      </c>
      <c r="H13" s="19">
        <v>0.17</v>
      </c>
      <c r="J13" s="5" t="s">
        <v>158</v>
      </c>
      <c r="L13" s="19">
        <v>0.2</v>
      </c>
      <c r="N13" s="5" t="s">
        <v>158</v>
      </c>
      <c r="P13" s="19">
        <v>0.23</v>
      </c>
      <c r="R13" s="5" t="s">
        <v>21</v>
      </c>
      <c r="S13" s="17"/>
      <c r="T13" s="21">
        <f>11033+986</f>
        <v>12019</v>
      </c>
    </row>
    <row r="14" spans="1:27" ht="16" customHeight="1" x14ac:dyDescent="0.2">
      <c r="F14" s="5" t="s">
        <v>157</v>
      </c>
      <c r="H14" s="19">
        <v>0.02</v>
      </c>
      <c r="J14" s="5" t="s">
        <v>157</v>
      </c>
      <c r="L14" s="19">
        <v>0.03</v>
      </c>
      <c r="N14" s="5" t="s">
        <v>157</v>
      </c>
      <c r="P14" s="19">
        <v>0.04</v>
      </c>
      <c r="R14" s="5" t="s">
        <v>22</v>
      </c>
      <c r="T14" s="21">
        <v>0</v>
      </c>
    </row>
    <row r="15" spans="1:27" ht="16" customHeight="1" x14ac:dyDescent="0.2">
      <c r="B15" s="5" t="s">
        <v>150</v>
      </c>
      <c r="D15" s="18">
        <v>2</v>
      </c>
      <c r="F15" s="5" t="s">
        <v>159</v>
      </c>
      <c r="H15" s="19">
        <v>0.8</v>
      </c>
      <c r="J15" s="5" t="s">
        <v>159</v>
      </c>
      <c r="L15"/>
      <c r="N15" s="5" t="s">
        <v>159</v>
      </c>
      <c r="P15" s="19">
        <v>1.2</v>
      </c>
      <c r="R15" s="5" t="s">
        <v>23</v>
      </c>
      <c r="S15" s="17"/>
      <c r="T15" s="23">
        <v>4.2299999999999997E-2</v>
      </c>
    </row>
    <row r="16" spans="1:27" ht="16" customHeight="1" x14ac:dyDescent="0.2">
      <c r="F16" s="5" t="s">
        <v>160</v>
      </c>
      <c r="H16" s="19">
        <v>0.1</v>
      </c>
      <c r="J16" s="5" t="s">
        <v>160</v>
      </c>
      <c r="L16" s="19">
        <v>0.12</v>
      </c>
      <c r="N16" s="5" t="s">
        <v>160</v>
      </c>
      <c r="P16" s="19">
        <v>0.14000000000000001</v>
      </c>
      <c r="R16" s="5" t="s">
        <v>24</v>
      </c>
      <c r="T16" s="21">
        <v>977</v>
      </c>
    </row>
    <row r="17" spans="2:24" ht="16" customHeight="1" x14ac:dyDescent="0.2">
      <c r="F17" s="5" t="s">
        <v>161</v>
      </c>
      <c r="H17" s="172">
        <v>0.03</v>
      </c>
      <c r="J17" s="5" t="s">
        <v>161</v>
      </c>
      <c r="L17" s="172">
        <v>0.04</v>
      </c>
      <c r="N17" s="5" t="s">
        <v>161</v>
      </c>
      <c r="P17" s="19">
        <v>0.05</v>
      </c>
      <c r="R17"/>
      <c r="S17"/>
      <c r="T17"/>
    </row>
    <row r="18" spans="2:24" ht="16" customHeight="1" x14ac:dyDescent="0.2">
      <c r="B18" s="5" t="s">
        <v>98</v>
      </c>
      <c r="D18" s="18">
        <v>2</v>
      </c>
      <c r="F18" s="5" t="s">
        <v>162</v>
      </c>
      <c r="H18" s="172">
        <v>0.9</v>
      </c>
      <c r="J18" s="5" t="s">
        <v>162</v>
      </c>
      <c r="N18" s="5" t="s">
        <v>162</v>
      </c>
      <c r="P18" s="172">
        <v>1.1000000000000001</v>
      </c>
      <c r="R18" s="16" t="s">
        <v>27</v>
      </c>
      <c r="S18" s="17"/>
      <c r="T18" s="17"/>
    </row>
    <row r="19" spans="2:24" ht="16" customHeight="1" x14ac:dyDescent="0.2">
      <c r="F19" s="5" t="s">
        <v>163</v>
      </c>
      <c r="H19" s="172">
        <v>0.04</v>
      </c>
      <c r="J19" s="5" t="s">
        <v>163</v>
      </c>
      <c r="L19" s="172">
        <v>0.05</v>
      </c>
      <c r="N19" s="5" t="s">
        <v>163</v>
      </c>
      <c r="P19" s="172">
        <v>0.06</v>
      </c>
      <c r="R19" s="5" t="s">
        <v>28</v>
      </c>
      <c r="S19" s="17"/>
      <c r="T19" s="23">
        <v>3.39E-2</v>
      </c>
    </row>
    <row r="20" spans="2:24" ht="16" customHeight="1" x14ac:dyDescent="0.2">
      <c r="B20" s="5" t="s">
        <v>25</v>
      </c>
      <c r="D20" s="18">
        <v>2</v>
      </c>
      <c r="F20" s="5" t="s">
        <v>26</v>
      </c>
      <c r="H20" s="19">
        <v>1.1000000000000001</v>
      </c>
      <c r="J20" s="5" t="s">
        <v>26</v>
      </c>
      <c r="N20" s="5" t="s">
        <v>26</v>
      </c>
      <c r="P20" s="19">
        <v>0.9</v>
      </c>
      <c r="R20" s="5" t="s">
        <v>114</v>
      </c>
      <c r="S20" s="17"/>
      <c r="T20" s="23">
        <v>5.11E-2</v>
      </c>
    </row>
    <row r="21" spans="2:24" ht="16" customHeight="1" x14ac:dyDescent="0.2">
      <c r="F21" s="5" t="s">
        <v>164</v>
      </c>
      <c r="H21" s="19">
        <v>1.3</v>
      </c>
      <c r="J21" s="5" t="s">
        <v>164</v>
      </c>
      <c r="L21" s="19">
        <v>1.1499999999999999</v>
      </c>
      <c r="N21" s="5" t="s">
        <v>164</v>
      </c>
      <c r="P21" s="19">
        <v>1</v>
      </c>
      <c r="R21" s="5" t="s">
        <v>32</v>
      </c>
      <c r="T21" s="25">
        <v>0.99</v>
      </c>
    </row>
    <row r="22" spans="2:24" ht="16" customHeight="1" x14ac:dyDescent="0.2">
      <c r="B22" s="5" t="s">
        <v>29</v>
      </c>
      <c r="D22" s="18">
        <v>3</v>
      </c>
      <c r="F22" s="5" t="s">
        <v>30</v>
      </c>
      <c r="H22" s="19">
        <v>0.97</v>
      </c>
      <c r="J22" s="5" t="s">
        <v>30</v>
      </c>
      <c r="N22" s="5" t="s">
        <v>30</v>
      </c>
      <c r="P22" s="19">
        <v>1.03</v>
      </c>
      <c r="R22" s="5" t="s">
        <v>35</v>
      </c>
      <c r="S22" s="17"/>
      <c r="T22" s="23">
        <f>K114-1%</f>
        <v>7.295617172689374E-2</v>
      </c>
    </row>
    <row r="23" spans="2:24" ht="16" customHeight="1" x14ac:dyDescent="0.2">
      <c r="F23" s="5" t="s">
        <v>31</v>
      </c>
      <c r="H23" s="19">
        <v>0.5</v>
      </c>
      <c r="J23" s="5" t="s">
        <v>31</v>
      </c>
      <c r="L23" s="19">
        <v>0.55000000000000004</v>
      </c>
      <c r="N23" s="5" t="s">
        <v>31</v>
      </c>
      <c r="P23" s="19">
        <v>0.6</v>
      </c>
    </row>
    <row r="24" spans="2:24" ht="16" customHeight="1" x14ac:dyDescent="0.2">
      <c r="B24" s="5" t="s">
        <v>33</v>
      </c>
      <c r="F24" s="5" t="s">
        <v>33</v>
      </c>
      <c r="J24" s="5" t="s">
        <v>34</v>
      </c>
      <c r="L24" s="26">
        <v>0.21</v>
      </c>
      <c r="N24" s="5" t="s">
        <v>33</v>
      </c>
    </row>
    <row r="26" spans="2:24" ht="16" customHeight="1" x14ac:dyDescent="0.2">
      <c r="B26" s="5" t="s">
        <v>36</v>
      </c>
      <c r="D26" s="18">
        <v>2</v>
      </c>
      <c r="F26" s="5" t="s">
        <v>36</v>
      </c>
      <c r="H26" s="24">
        <f>L26-0.5%</f>
        <v>7.795617172689373E-2</v>
      </c>
      <c r="J26" s="5" t="s">
        <v>36</v>
      </c>
      <c r="L26" s="27">
        <f>WACC!F22</f>
        <v>8.2956171726893735E-2</v>
      </c>
      <c r="N26" s="5" t="s">
        <v>36</v>
      </c>
      <c r="P26" s="24">
        <f>L26+0.5%</f>
        <v>8.7956171726893739E-2</v>
      </c>
    </row>
    <row r="27" spans="2:24" ht="16" customHeight="1" x14ac:dyDescent="0.2">
      <c r="B27" s="5" t="s">
        <v>37</v>
      </c>
      <c r="D27" s="18">
        <v>2</v>
      </c>
      <c r="F27" s="5" t="s">
        <v>37</v>
      </c>
      <c r="H27" s="28">
        <f>L27-0.5%</f>
        <v>3.0000000000000002E-2</v>
      </c>
      <c r="J27" s="5" t="s">
        <v>37</v>
      </c>
      <c r="L27" s="28">
        <v>3.5000000000000003E-2</v>
      </c>
      <c r="N27" s="5" t="s">
        <v>37</v>
      </c>
      <c r="P27" s="28">
        <f>L27+0.5%</f>
        <v>0.04</v>
      </c>
    </row>
    <row r="28" spans="2:24" ht="16" customHeight="1" x14ac:dyDescent="0.2">
      <c r="B28" s="5" t="s">
        <v>38</v>
      </c>
      <c r="D28" s="18">
        <v>2</v>
      </c>
      <c r="F28" s="5" t="s">
        <v>38</v>
      </c>
      <c r="H28" s="29">
        <f>L28-2</f>
        <v>19</v>
      </c>
      <c r="I28" s="30"/>
      <c r="J28" s="30" t="s">
        <v>38</v>
      </c>
      <c r="K28" s="30"/>
      <c r="L28" s="29">
        <v>21</v>
      </c>
      <c r="M28" s="30"/>
      <c r="N28" s="30" t="s">
        <v>38</v>
      </c>
      <c r="O28" s="30"/>
      <c r="P28" s="29">
        <f>L28+2</f>
        <v>23</v>
      </c>
    </row>
    <row r="29" spans="2:24" ht="16" customHeight="1" x14ac:dyDescent="0.2">
      <c r="B29" s="17"/>
      <c r="C29" s="17"/>
      <c r="D29" s="17"/>
      <c r="E29" s="17"/>
      <c r="F29" s="17"/>
      <c r="G29" s="17"/>
      <c r="H29" s="17"/>
      <c r="I29" s="17"/>
      <c r="J29" s="17"/>
      <c r="K29" s="17"/>
      <c r="L29" s="17"/>
      <c r="M29" s="17"/>
      <c r="N29" s="17"/>
      <c r="O29" s="17"/>
      <c r="P29" s="17"/>
    </row>
    <row r="30" spans="2:24" s="17" customFormat="1" ht="16" customHeight="1" x14ac:dyDescent="0.2">
      <c r="B30" s="16" t="s">
        <v>39</v>
      </c>
      <c r="F30" s="16" t="s">
        <v>40</v>
      </c>
      <c r="V30" s="5"/>
      <c r="W30" s="5"/>
      <c r="X30" s="5"/>
    </row>
    <row r="31" spans="2:24" s="17" customFormat="1" ht="16" customHeight="1" x14ac:dyDescent="0.2">
      <c r="B31" s="5" t="s">
        <v>36</v>
      </c>
      <c r="D31" s="24">
        <f>CHOOSE(D26,H26,L26,P26,H31)</f>
        <v>8.2956171726893735E-2</v>
      </c>
      <c r="F31" s="5" t="s">
        <v>36</v>
      </c>
      <c r="G31" s="5"/>
      <c r="H31" s="23"/>
      <c r="V31" s="5"/>
      <c r="W31" s="5"/>
      <c r="X31" s="5"/>
    </row>
    <row r="32" spans="2:24" s="17" customFormat="1" ht="16" customHeight="1" x14ac:dyDescent="0.2">
      <c r="B32" s="5" t="s">
        <v>37</v>
      </c>
      <c r="D32" s="24">
        <f>CHOOSE(D27,H27,L27,P27,H32)</f>
        <v>3.5000000000000003E-2</v>
      </c>
      <c r="F32" s="5" t="s">
        <v>37</v>
      </c>
      <c r="G32" s="5"/>
      <c r="H32" s="31"/>
      <c r="V32" s="5"/>
      <c r="W32" s="5"/>
      <c r="X32" s="5"/>
    </row>
    <row r="33" spans="1:22" s="17" customFormat="1" ht="16" customHeight="1" x14ac:dyDescent="0.2">
      <c r="B33" s="5" t="s">
        <v>38</v>
      </c>
      <c r="D33" s="29">
        <f>CHOOSE(D28,H28,L28,P28,H33)</f>
        <v>21</v>
      </c>
      <c r="F33" s="30" t="s">
        <v>38</v>
      </c>
      <c r="G33" s="30"/>
      <c r="H33" s="32"/>
      <c r="V33" s="5"/>
    </row>
    <row r="35" spans="1:22" ht="16" customHeight="1" x14ac:dyDescent="0.2">
      <c r="A35" s="5" t="s">
        <v>11</v>
      </c>
      <c r="B35" s="12" t="s">
        <v>128</v>
      </c>
      <c r="C35" s="12"/>
      <c r="D35" s="12"/>
      <c r="E35" s="33">
        <v>2016</v>
      </c>
      <c r="F35" s="33">
        <f>E35+1</f>
        <v>2017</v>
      </c>
      <c r="G35" s="33">
        <f t="shared" ref="G35:J35" si="0">F35+1</f>
        <v>2018</v>
      </c>
      <c r="H35" s="33">
        <f t="shared" si="0"/>
        <v>2019</v>
      </c>
      <c r="I35" s="33">
        <f t="shared" si="0"/>
        <v>2020</v>
      </c>
      <c r="J35" s="33">
        <f t="shared" si="0"/>
        <v>2021</v>
      </c>
      <c r="K35" s="34">
        <v>2022</v>
      </c>
      <c r="L35" s="34">
        <f>K35+1</f>
        <v>2023</v>
      </c>
      <c r="M35" s="34">
        <f t="shared" ref="M35:U35" si="1">L35+1</f>
        <v>2024</v>
      </c>
      <c r="N35" s="34">
        <f t="shared" si="1"/>
        <v>2025</v>
      </c>
      <c r="O35" s="34">
        <f t="shared" si="1"/>
        <v>2026</v>
      </c>
      <c r="P35" s="34">
        <f t="shared" si="1"/>
        <v>2027</v>
      </c>
      <c r="Q35" s="34">
        <f t="shared" si="1"/>
        <v>2028</v>
      </c>
      <c r="R35" s="34">
        <f t="shared" si="1"/>
        <v>2029</v>
      </c>
      <c r="S35" s="34">
        <f t="shared" si="1"/>
        <v>2030</v>
      </c>
      <c r="T35" s="34">
        <f t="shared" si="1"/>
        <v>2031</v>
      </c>
      <c r="U35" s="34">
        <f t="shared" si="1"/>
        <v>2032</v>
      </c>
    </row>
    <row r="36" spans="1:22" ht="16" customHeight="1" x14ac:dyDescent="0.2">
      <c r="B36" s="12" t="s">
        <v>41</v>
      </c>
      <c r="C36" s="12"/>
      <c r="D36" s="12"/>
      <c r="E36" s="35">
        <f>EDATE(F36,-12)</f>
        <v>42735</v>
      </c>
      <c r="F36" s="35">
        <f t="shared" ref="F36:I36" si="2">EDATE(G36,-12)</f>
        <v>43100</v>
      </c>
      <c r="G36" s="35">
        <f t="shared" si="2"/>
        <v>43465</v>
      </c>
      <c r="H36" s="35">
        <f t="shared" si="2"/>
        <v>43830</v>
      </c>
      <c r="I36" s="35">
        <f t="shared" si="2"/>
        <v>44196</v>
      </c>
      <c r="J36" s="35">
        <f>EDATE(K36,-12)</f>
        <v>44561</v>
      </c>
      <c r="K36" s="35">
        <v>44926</v>
      </c>
      <c r="L36" s="35">
        <f>EDATE(K36,12)</f>
        <v>45291</v>
      </c>
      <c r="M36" s="35">
        <f t="shared" ref="M36:U36" si="3">EDATE(L36,12)</f>
        <v>45657</v>
      </c>
      <c r="N36" s="35">
        <f t="shared" si="3"/>
        <v>46022</v>
      </c>
      <c r="O36" s="35">
        <f t="shared" si="3"/>
        <v>46387</v>
      </c>
      <c r="P36" s="35">
        <f t="shared" si="3"/>
        <v>46752</v>
      </c>
      <c r="Q36" s="35">
        <f t="shared" si="3"/>
        <v>47118</v>
      </c>
      <c r="R36" s="35">
        <f t="shared" si="3"/>
        <v>47483</v>
      </c>
      <c r="S36" s="35">
        <f t="shared" si="3"/>
        <v>47848</v>
      </c>
      <c r="T36" s="35">
        <f t="shared" si="3"/>
        <v>48213</v>
      </c>
      <c r="U36" s="35">
        <f t="shared" si="3"/>
        <v>48579</v>
      </c>
    </row>
    <row r="37" spans="1:22" ht="16" customHeight="1" x14ac:dyDescent="0.2">
      <c r="B37" s="16" t="s">
        <v>148</v>
      </c>
      <c r="E37" s="36">
        <f>'Financials + KPIs'!Q3</f>
        <v>4411</v>
      </c>
      <c r="F37" s="36">
        <f>'Financials + KPIs'!R3</f>
        <v>5130</v>
      </c>
      <c r="G37" s="36">
        <f>'Financials + KPIs'!S3</f>
        <v>6138</v>
      </c>
      <c r="H37" s="36">
        <f>'Financials + KPIs'!T3</f>
        <v>6781</v>
      </c>
      <c r="I37" s="36">
        <f>'Financials + KPIs'!U3</f>
        <v>6656</v>
      </c>
      <c r="J37" s="37">
        <f>'Financials + KPIs'!V3</f>
        <v>8158</v>
      </c>
      <c r="K37" s="38">
        <f ca="1">J37*(1+K38)</f>
        <v>8898.9500000000007</v>
      </c>
      <c r="L37" s="38">
        <f t="shared" ref="L37:U37" ca="1" si="4">K37*(1+L38)</f>
        <v>9232.387999999999</v>
      </c>
      <c r="M37" s="38">
        <f t="shared" ca="1" si="4"/>
        <v>10617.246199999998</v>
      </c>
      <c r="N37" s="38">
        <f t="shared" ca="1" si="4"/>
        <v>12063.845994749998</v>
      </c>
      <c r="O37" s="38">
        <f t="shared" ca="1" si="4"/>
        <v>13541.667129106872</v>
      </c>
      <c r="P37" s="38">
        <f t="shared" ca="1" si="4"/>
        <v>15014.323429397244</v>
      </c>
      <c r="Q37" s="38">
        <f t="shared" ca="1" si="4"/>
        <v>16440.684155189982</v>
      </c>
      <c r="R37" s="38">
        <f t="shared" ca="1" si="4"/>
        <v>17776.489742799167</v>
      </c>
      <c r="S37" s="38">
        <f t="shared" ca="1" si="4"/>
        <v>18976.402800438111</v>
      </c>
      <c r="T37" s="38">
        <f t="shared" ca="1" si="4"/>
        <v>19996.384450961657</v>
      </c>
      <c r="U37" s="38">
        <f t="shared" ca="1" si="4"/>
        <v>20796.239829000126</v>
      </c>
    </row>
    <row r="38" spans="1:22" s="39" customFormat="1" ht="16" customHeight="1" x14ac:dyDescent="0.2">
      <c r="B38" s="39" t="s">
        <v>42</v>
      </c>
      <c r="F38" s="40">
        <f t="shared" ref="F38:H38" si="5">F37/E37-1</f>
        <v>0.1630015869417365</v>
      </c>
      <c r="G38" s="40">
        <f t="shared" si="5"/>
        <v>0.19649122807017538</v>
      </c>
      <c r="H38" s="40">
        <f t="shared" si="5"/>
        <v>0.1047572499185403</v>
      </c>
      <c r="I38" s="40">
        <f>I37/H37-1</f>
        <v>-1.8433859312785739E-2</v>
      </c>
      <c r="J38" s="41">
        <f>J37/I37-1</f>
        <v>0.22566105769230771</v>
      </c>
      <c r="K38" s="40">
        <f ca="1">OFFSET(K38,$D$9,0)</f>
        <v>9.0824957097327852E-2</v>
      </c>
      <c r="L38" s="40">
        <f t="shared" ref="L38:U38" ca="1" si="6">OFFSET(L38,$D$9,0)</f>
        <v>3.7469364363211133E-2</v>
      </c>
      <c r="M38" s="40">
        <f t="shared" ca="1" si="6"/>
        <v>0.15</v>
      </c>
      <c r="N38" s="40">
        <f t="shared" ca="1" si="6"/>
        <v>0.13624999999999998</v>
      </c>
      <c r="O38" s="40">
        <f t="shared" ca="1" si="6"/>
        <v>0.12249999999999998</v>
      </c>
      <c r="P38" s="40">
        <f t="shared" ca="1" si="6"/>
        <v>0.10874999999999999</v>
      </c>
      <c r="Q38" s="40">
        <f t="shared" ca="1" si="6"/>
        <v>9.4999999999999987E-2</v>
      </c>
      <c r="R38" s="40">
        <f t="shared" ca="1" si="6"/>
        <v>8.1249999999999989E-2</v>
      </c>
      <c r="S38" s="40">
        <f t="shared" ca="1" si="6"/>
        <v>6.7499999999999991E-2</v>
      </c>
      <c r="T38" s="40">
        <f t="shared" ca="1" si="6"/>
        <v>5.3749999999999992E-2</v>
      </c>
      <c r="U38" s="40">
        <f t="shared" ca="1" si="6"/>
        <v>0.04</v>
      </c>
    </row>
    <row r="39" spans="1:22" ht="16" customHeight="1" x14ac:dyDescent="0.2">
      <c r="B39" s="5" t="s">
        <v>4</v>
      </c>
      <c r="J39" s="171"/>
      <c r="K39" s="43">
        <f>K40</f>
        <v>9.0824957097327852E-2</v>
      </c>
      <c r="L39" s="44">
        <f>L40*H9</f>
        <v>2.9975491490568908E-2</v>
      </c>
      <c r="M39" s="44">
        <f>H10</f>
        <v>0.13</v>
      </c>
      <c r="N39" s="45">
        <f>M39-($M$39-$U$39)/($U$35-$M$35)</f>
        <v>0.11750000000000001</v>
      </c>
      <c r="O39" s="45">
        <f t="shared" ref="O39:T39" si="7">N39-($M$39-$U$39)/($U$35-$M$35)</f>
        <v>0.10500000000000001</v>
      </c>
      <c r="P39" s="45">
        <f t="shared" si="7"/>
        <v>9.2500000000000013E-2</v>
      </c>
      <c r="Q39" s="45">
        <f t="shared" si="7"/>
        <v>8.0000000000000016E-2</v>
      </c>
      <c r="R39" s="45">
        <f t="shared" si="7"/>
        <v>6.7500000000000018E-2</v>
      </c>
      <c r="S39" s="45">
        <f t="shared" si="7"/>
        <v>5.5000000000000021E-2</v>
      </c>
      <c r="T39" s="45">
        <f t="shared" si="7"/>
        <v>4.2500000000000024E-2</v>
      </c>
      <c r="U39" s="44">
        <f>H11</f>
        <v>0.03</v>
      </c>
    </row>
    <row r="40" spans="1:22" ht="16" customHeight="1" x14ac:dyDescent="0.2">
      <c r="B40" s="5" t="s">
        <v>15</v>
      </c>
      <c r="J40" s="42"/>
      <c r="K40" s="46">
        <f>'Financials + KPIs'!W22</f>
        <v>9.0824957097327852E-2</v>
      </c>
      <c r="L40" s="170">
        <f>'Financials + KPIs'!X22</f>
        <v>3.7469364363211133E-2</v>
      </c>
      <c r="M40" s="44">
        <f>L10</f>
        <v>0.15</v>
      </c>
      <c r="N40" s="45">
        <f>M40-($M$40-$U$40)/($U$35-$M$35)</f>
        <v>0.13624999999999998</v>
      </c>
      <c r="O40" s="45">
        <f t="shared" ref="O40:T40" si="8">N40-($M$40-$U$40)/($U$35-$M$35)</f>
        <v>0.12249999999999998</v>
      </c>
      <c r="P40" s="45">
        <f t="shared" si="8"/>
        <v>0.10874999999999999</v>
      </c>
      <c r="Q40" s="45">
        <f t="shared" si="8"/>
        <v>9.4999999999999987E-2</v>
      </c>
      <c r="R40" s="45">
        <f t="shared" si="8"/>
        <v>8.1249999999999989E-2</v>
      </c>
      <c r="S40" s="45">
        <f t="shared" si="8"/>
        <v>6.7499999999999991E-2</v>
      </c>
      <c r="T40" s="45">
        <f t="shared" si="8"/>
        <v>5.3749999999999992E-2</v>
      </c>
      <c r="U40" s="44">
        <f>L11</f>
        <v>0.04</v>
      </c>
    </row>
    <row r="41" spans="1:22" ht="16" customHeight="1" x14ac:dyDescent="0.2">
      <c r="B41" s="5" t="s">
        <v>43</v>
      </c>
      <c r="J41" s="42"/>
      <c r="K41" s="43">
        <f>K40</f>
        <v>9.0824957097327852E-2</v>
      </c>
      <c r="L41" s="44">
        <f>L40*P9</f>
        <v>4.4963237235853361E-2</v>
      </c>
      <c r="M41" s="44">
        <f>P10</f>
        <v>0.17</v>
      </c>
      <c r="N41" s="45">
        <f>M41-($M$41-$U$41)/($U$35-$M$35)</f>
        <v>0.155</v>
      </c>
      <c r="O41" s="45">
        <f t="shared" ref="O41:T41" si="9">N41-($M$41-$U$41)/($U$35-$M$35)</f>
        <v>0.13999999999999999</v>
      </c>
      <c r="P41" s="45">
        <f t="shared" si="9"/>
        <v>0.12499999999999999</v>
      </c>
      <c r="Q41" s="45">
        <f t="shared" si="9"/>
        <v>0.10999999999999999</v>
      </c>
      <c r="R41" s="45">
        <f t="shared" si="9"/>
        <v>9.4999999999999987E-2</v>
      </c>
      <c r="S41" s="45">
        <f t="shared" si="9"/>
        <v>7.9999999999999988E-2</v>
      </c>
      <c r="T41" s="45">
        <f t="shared" si="9"/>
        <v>6.4999999999999988E-2</v>
      </c>
      <c r="U41" s="44">
        <f>P11</f>
        <v>0.05</v>
      </c>
    </row>
    <row r="42" spans="1:22" ht="16" customHeight="1" x14ac:dyDescent="0.2">
      <c r="B42" s="5" t="s">
        <v>40</v>
      </c>
      <c r="J42" s="42"/>
      <c r="K42" s="47"/>
      <c r="L42" s="48"/>
      <c r="M42" s="48"/>
      <c r="N42" s="48"/>
      <c r="O42" s="48"/>
      <c r="P42" s="48"/>
      <c r="Q42" s="48"/>
      <c r="R42" s="48"/>
      <c r="S42" s="48"/>
      <c r="T42" s="48"/>
      <c r="U42" s="48"/>
    </row>
    <row r="43" spans="1:22" ht="16" customHeight="1" x14ac:dyDescent="0.2">
      <c r="J43" s="42"/>
    </row>
    <row r="44" spans="1:22" ht="16" customHeight="1" x14ac:dyDescent="0.2">
      <c r="B44" s="16" t="s">
        <v>149</v>
      </c>
      <c r="E44" s="36">
        <f>'Financials + KPIs'!Q4</f>
        <v>3568</v>
      </c>
      <c r="F44" s="36">
        <f>'Financials + KPIs'!R4</f>
        <v>4174</v>
      </c>
      <c r="G44" s="36">
        <f>'Financials + KPIs'!S4</f>
        <v>4954</v>
      </c>
      <c r="H44" s="36">
        <f>'Financials + KPIs'!T4</f>
        <v>5606</v>
      </c>
      <c r="I44" s="36">
        <f>'Financials + KPIs'!U4</f>
        <v>3512</v>
      </c>
      <c r="J44" s="37">
        <f>'Financials + KPIs'!V4</f>
        <v>4664</v>
      </c>
      <c r="K44" s="49">
        <f ca="1">J44*(1+K45)</f>
        <v>6662.2</v>
      </c>
      <c r="L44" s="38">
        <f t="shared" ref="L44:U44" ca="1" si="10">K44*(1+L45)</f>
        <v>9011.6759999999995</v>
      </c>
      <c r="M44" s="38">
        <f t="shared" ca="1" si="10"/>
        <v>10814.011199999999</v>
      </c>
      <c r="N44" s="38">
        <f t="shared" ca="1" si="10"/>
        <v>12747.015701999999</v>
      </c>
      <c r="O44" s="38">
        <f t="shared" ca="1" si="10"/>
        <v>14754.670675064999</v>
      </c>
      <c r="P44" s="38">
        <f t="shared" ca="1" si="10"/>
        <v>16764.994554542605</v>
      </c>
      <c r="Q44" s="38">
        <f t="shared" ca="1" si="10"/>
        <v>18692.968928315004</v>
      </c>
      <c r="R44" s="38">
        <f t="shared" ca="1" si="10"/>
        <v>20445.434765344537</v>
      </c>
      <c r="S44" s="38">
        <f t="shared" ca="1" si="10"/>
        <v>21927.728785832016</v>
      </c>
      <c r="T44" s="38">
        <f t="shared" ca="1" si="10"/>
        <v>23051.524886105908</v>
      </c>
      <c r="U44" s="38">
        <f t="shared" ca="1" si="10"/>
        <v>23743.070632689087</v>
      </c>
    </row>
    <row r="45" spans="1:22" s="39" customFormat="1" ht="16" customHeight="1" x14ac:dyDescent="0.2">
      <c r="B45" s="39" t="s">
        <v>42</v>
      </c>
      <c r="F45" s="40">
        <f>F44/E44-1</f>
        <v>0.16984304932735417</v>
      </c>
      <c r="G45" s="40">
        <f t="shared" ref="G45:H45" si="11">G44/F44-1</f>
        <v>0.18687110685194064</v>
      </c>
      <c r="H45" s="40">
        <f t="shared" si="11"/>
        <v>0.13161081953976583</v>
      </c>
      <c r="I45" s="40">
        <f>I44/H44-1</f>
        <v>-0.3735283624687834</v>
      </c>
      <c r="J45" s="41">
        <f>J44/I44-1</f>
        <v>0.32801822323462404</v>
      </c>
      <c r="K45" s="40">
        <f ca="1">OFFSET(K45,$D$12,0)</f>
        <v>0.42843053173241841</v>
      </c>
      <c r="L45" s="40">
        <f ca="1">OFFSET(L45,$D$12,0)</f>
        <v>0.35265768064603287</v>
      </c>
      <c r="M45" s="40">
        <f t="shared" ref="M45:U45" ca="1" si="12">OFFSET(M45,$D$12,0)</f>
        <v>0.2</v>
      </c>
      <c r="N45" s="40">
        <f t="shared" ca="1" si="12"/>
        <v>0.17875000000000002</v>
      </c>
      <c r="O45" s="40">
        <f t="shared" ca="1" si="12"/>
        <v>0.15750000000000003</v>
      </c>
      <c r="P45" s="40">
        <f t="shared" ca="1" si="12"/>
        <v>0.13625000000000004</v>
      </c>
      <c r="Q45" s="40">
        <f t="shared" ca="1" si="12"/>
        <v>0.11500000000000003</v>
      </c>
      <c r="R45" s="40">
        <f t="shared" ca="1" si="12"/>
        <v>9.3750000000000028E-2</v>
      </c>
      <c r="S45" s="40">
        <f t="shared" ca="1" si="12"/>
        <v>7.2500000000000023E-2</v>
      </c>
      <c r="T45" s="40">
        <f t="shared" ca="1" si="12"/>
        <v>5.1250000000000018E-2</v>
      </c>
      <c r="U45" s="40">
        <f t="shared" ca="1" si="12"/>
        <v>0.03</v>
      </c>
    </row>
    <row r="46" spans="1:22" ht="16" customHeight="1" x14ac:dyDescent="0.2">
      <c r="B46" s="5" t="s">
        <v>4</v>
      </c>
      <c r="J46" s="171"/>
      <c r="K46" s="43">
        <f>K47</f>
        <v>0.42843053173241841</v>
      </c>
      <c r="L46" s="44">
        <f>L47*H12</f>
        <v>0.246860376452223</v>
      </c>
      <c r="M46" s="44">
        <f>H13</f>
        <v>0.17</v>
      </c>
      <c r="N46" s="45">
        <f>M46-($M$46-$U$46)/($U$35-$M$35)</f>
        <v>0.15125</v>
      </c>
      <c r="O46" s="45">
        <f t="shared" ref="O46:T46" si="13">N46-($M$46-$U$46)/($U$35-$M$35)</f>
        <v>0.13250000000000001</v>
      </c>
      <c r="P46" s="45">
        <f t="shared" si="13"/>
        <v>0.11375</v>
      </c>
      <c r="Q46" s="45">
        <f t="shared" si="13"/>
        <v>9.5000000000000001E-2</v>
      </c>
      <c r="R46" s="45">
        <f t="shared" si="13"/>
        <v>7.6249999999999998E-2</v>
      </c>
      <c r="S46" s="45">
        <f t="shared" si="13"/>
        <v>5.7499999999999996E-2</v>
      </c>
      <c r="T46" s="45">
        <f t="shared" si="13"/>
        <v>3.8749999999999993E-2</v>
      </c>
      <c r="U46" s="44">
        <f>H14</f>
        <v>0.02</v>
      </c>
    </row>
    <row r="47" spans="1:22" ht="16" customHeight="1" x14ac:dyDescent="0.2">
      <c r="B47" s="5" t="s">
        <v>15</v>
      </c>
      <c r="J47" s="42"/>
      <c r="K47" s="46">
        <f>'Financials + KPIs'!W23</f>
        <v>0.42843053173241841</v>
      </c>
      <c r="L47" s="170">
        <f>'Financials + KPIs'!X23</f>
        <v>0.35265768064603287</v>
      </c>
      <c r="M47" s="44">
        <f>L13</f>
        <v>0.2</v>
      </c>
      <c r="N47" s="45">
        <f>M47-($M$47-$U$47)/($U$35-$M$35)</f>
        <v>0.17875000000000002</v>
      </c>
      <c r="O47" s="45">
        <f t="shared" ref="O47:T47" si="14">N47-($M$47-$U$47)/($U$35-$M$35)</f>
        <v>0.15750000000000003</v>
      </c>
      <c r="P47" s="45">
        <f t="shared" si="14"/>
        <v>0.13625000000000004</v>
      </c>
      <c r="Q47" s="45">
        <f t="shared" si="14"/>
        <v>0.11500000000000003</v>
      </c>
      <c r="R47" s="45">
        <f t="shared" si="14"/>
        <v>9.3750000000000028E-2</v>
      </c>
      <c r="S47" s="45">
        <f t="shared" si="14"/>
        <v>7.2500000000000023E-2</v>
      </c>
      <c r="T47" s="45">
        <f t="shared" si="14"/>
        <v>5.1250000000000018E-2</v>
      </c>
      <c r="U47" s="44">
        <f>L14</f>
        <v>0.03</v>
      </c>
    </row>
    <row r="48" spans="1:22" ht="16" customHeight="1" x14ac:dyDescent="0.2">
      <c r="B48" s="5" t="s">
        <v>43</v>
      </c>
      <c r="J48" s="42"/>
      <c r="K48" s="43">
        <f>K47</f>
        <v>0.42843053173241841</v>
      </c>
      <c r="L48" s="44">
        <f>L47*P12</f>
        <v>0.45845498483984276</v>
      </c>
      <c r="M48" s="44">
        <f>P13</f>
        <v>0.23</v>
      </c>
      <c r="N48" s="45">
        <f>M48-($M$48-$U$48)/($U$35-$M$35)</f>
        <v>0.20625000000000002</v>
      </c>
      <c r="O48" s="45">
        <f t="shared" ref="O48:T48" si="15">N48-($M$48-$U$48)/($U$35-$M$35)</f>
        <v>0.18250000000000002</v>
      </c>
      <c r="P48" s="45">
        <f t="shared" si="15"/>
        <v>0.15875000000000003</v>
      </c>
      <c r="Q48" s="45">
        <f t="shared" si="15"/>
        <v>0.13500000000000004</v>
      </c>
      <c r="R48" s="45">
        <f t="shared" si="15"/>
        <v>0.11125000000000004</v>
      </c>
      <c r="S48" s="45">
        <f t="shared" si="15"/>
        <v>8.750000000000005E-2</v>
      </c>
      <c r="T48" s="45">
        <f t="shared" si="15"/>
        <v>6.3750000000000057E-2</v>
      </c>
      <c r="U48" s="44">
        <f>P14</f>
        <v>0.04</v>
      </c>
    </row>
    <row r="49" spans="2:21" ht="16" customHeight="1" x14ac:dyDescent="0.2">
      <c r="B49" s="5" t="s">
        <v>40</v>
      </c>
      <c r="J49" s="42"/>
      <c r="K49" s="47"/>
      <c r="L49" s="48"/>
      <c r="M49" s="48"/>
      <c r="N49" s="48"/>
      <c r="O49" s="48"/>
      <c r="P49" s="48"/>
      <c r="Q49" s="48"/>
      <c r="R49" s="48"/>
      <c r="S49" s="48"/>
      <c r="T49" s="48"/>
      <c r="U49" s="48"/>
    </row>
    <row r="50" spans="2:21" ht="16" customHeight="1" x14ac:dyDescent="0.2">
      <c r="J50" s="42"/>
    </row>
    <row r="51" spans="2:21" ht="16" customHeight="1" x14ac:dyDescent="0.2">
      <c r="B51" s="16" t="s">
        <v>150</v>
      </c>
      <c r="E51" s="36">
        <f>'Financials + KPIs'!Q5</f>
        <v>5143</v>
      </c>
      <c r="F51" s="36">
        <f>'Financials + KPIs'!R5</f>
        <v>6188</v>
      </c>
      <c r="G51" s="36">
        <f>'Financials + KPIs'!S5</f>
        <v>7391</v>
      </c>
      <c r="H51" s="36">
        <f>'Financials + KPIs'!T5</f>
        <v>8469</v>
      </c>
      <c r="I51" s="36">
        <f>'Financials + KPIs'!U5</f>
        <v>8731</v>
      </c>
      <c r="J51" s="37">
        <f>'Financials + KPIs'!V5</f>
        <v>10799</v>
      </c>
      <c r="K51" s="49">
        <f ca="1">J51*(1+K52)</f>
        <v>12636.309999999998</v>
      </c>
      <c r="L51" s="38">
        <f t="shared" ref="L51:U51" ca="1" si="16">K51*(1+L52)</f>
        <v>14324.9365</v>
      </c>
      <c r="M51" s="38">
        <f t="shared" ca="1" si="16"/>
        <v>16090.187349087633</v>
      </c>
      <c r="N51" s="38">
        <f t="shared" ca="1" si="16"/>
        <v>17905.571963895902</v>
      </c>
      <c r="O51" s="38">
        <f t="shared" ca="1" si="16"/>
        <v>19739.495025145778</v>
      </c>
      <c r="P51" s="38">
        <f t="shared" ca="1" si="16"/>
        <v>21555.889144081066</v>
      </c>
      <c r="Q51" s="38">
        <f t="shared" ca="1" si="16"/>
        <v>23315.164703244205</v>
      </c>
      <c r="R51" s="38">
        <f t="shared" ca="1" si="16"/>
        <v>24975.459965628634</v>
      </c>
      <c r="S51" s="38">
        <f t="shared" ca="1" si="16"/>
        <v>26494.150419833975</v>
      </c>
      <c r="T51" s="38">
        <f t="shared" ca="1" si="16"/>
        <v>27829.552393452032</v>
      </c>
      <c r="U51" s="38">
        <f t="shared" ca="1" si="16"/>
        <v>28942.734489190112</v>
      </c>
    </row>
    <row r="52" spans="2:21" s="39" customFormat="1" ht="16" customHeight="1" x14ac:dyDescent="0.2">
      <c r="B52" s="39" t="s">
        <v>42</v>
      </c>
      <c r="F52" s="40">
        <f t="shared" ref="F52:H52" si="17">F51/E51-1</f>
        <v>0.20318880031110242</v>
      </c>
      <c r="G52" s="40">
        <f t="shared" si="17"/>
        <v>0.19440853264382674</v>
      </c>
      <c r="H52" s="40">
        <f t="shared" si="17"/>
        <v>0.14585306453795166</v>
      </c>
      <c r="I52" s="40">
        <f>I51/H51-1</f>
        <v>3.093635612232859E-2</v>
      </c>
      <c r="J52" s="41">
        <f>J51/I51-1</f>
        <v>0.23685717558126207</v>
      </c>
      <c r="K52" s="40">
        <f ca="1">OFFSET(K52,$D$15,0)</f>
        <v>0.17013704972682642</v>
      </c>
      <c r="L52" s="40">
        <f t="shared" ref="L52:U52" ca="1" si="18">OFFSET(L52,$D$15,0)</f>
        <v>0.13363288016834041</v>
      </c>
      <c r="M52" s="40">
        <f t="shared" ca="1" si="18"/>
        <v>0.12322922681630258</v>
      </c>
      <c r="N52" s="40">
        <f t="shared" ca="1" si="18"/>
        <v>0.11282557346426475</v>
      </c>
      <c r="O52" s="40">
        <f t="shared" ca="1" si="18"/>
        <v>0.10242192011222692</v>
      </c>
      <c r="P52" s="40">
        <f t="shared" ca="1" si="18"/>
        <v>9.2018266760189094E-2</v>
      </c>
      <c r="Q52" s="40">
        <f t="shared" ca="1" si="18"/>
        <v>8.1614613408151265E-2</v>
      </c>
      <c r="R52" s="40">
        <f t="shared" ca="1" si="18"/>
        <v>7.1210960056113437E-2</v>
      </c>
      <c r="S52" s="40">
        <f t="shared" ca="1" si="18"/>
        <v>6.0807306704075616E-2</v>
      </c>
      <c r="T52" s="40">
        <f t="shared" ca="1" si="18"/>
        <v>5.0403653352037794E-2</v>
      </c>
      <c r="U52" s="40">
        <f t="shared" ca="1" si="18"/>
        <v>0.04</v>
      </c>
    </row>
    <row r="53" spans="2:21" ht="16" customHeight="1" x14ac:dyDescent="0.2">
      <c r="B53" s="5" t="s">
        <v>4</v>
      </c>
      <c r="J53" s="171"/>
      <c r="K53" s="43">
        <f>K54</f>
        <v>0.17013704972682642</v>
      </c>
      <c r="L53" s="44">
        <f>L54*H15</f>
        <v>0.10690630413467234</v>
      </c>
      <c r="M53" s="44">
        <f>L53-($L$53-$U$53)/($U$35-$L$35)</f>
        <v>9.8361159230819853E-2</v>
      </c>
      <c r="N53" s="45">
        <f t="shared" ref="N53:T53" si="19">M53-($L$53-$U$53)/($U$35-$L$35)</f>
        <v>8.9816014326967369E-2</v>
      </c>
      <c r="O53" s="45">
        <f t="shared" si="19"/>
        <v>8.1270869423114886E-2</v>
      </c>
      <c r="P53" s="45">
        <f t="shared" si="19"/>
        <v>7.2725724519262402E-2</v>
      </c>
      <c r="Q53" s="45">
        <f t="shared" si="19"/>
        <v>6.4180579615409919E-2</v>
      </c>
      <c r="R53" s="45">
        <f t="shared" si="19"/>
        <v>5.5635434711557435E-2</v>
      </c>
      <c r="S53" s="45">
        <f t="shared" si="19"/>
        <v>4.7090289807704952E-2</v>
      </c>
      <c r="T53" s="45">
        <f t="shared" si="19"/>
        <v>3.8545144903852468E-2</v>
      </c>
      <c r="U53" s="44">
        <f>H17</f>
        <v>0.03</v>
      </c>
    </row>
    <row r="54" spans="2:21" ht="16" customHeight="1" x14ac:dyDescent="0.2">
      <c r="B54" s="5" t="s">
        <v>15</v>
      </c>
      <c r="J54" s="42"/>
      <c r="K54" s="46">
        <f>'Financials + KPIs'!W24</f>
        <v>0.17013704972682642</v>
      </c>
      <c r="L54" s="170">
        <f>'Financials + KPIs'!X24</f>
        <v>0.13363288016834041</v>
      </c>
      <c r="M54" s="44">
        <f>L54-($L$54-$U$54)/($U$35-$L$35)</f>
        <v>0.12322922681630258</v>
      </c>
      <c r="N54" s="45">
        <f t="shared" ref="N54:T54" si="20">M54-($L$54-$U$54)/($U$35-$L$35)</f>
        <v>0.11282557346426475</v>
      </c>
      <c r="O54" s="45">
        <f t="shared" si="20"/>
        <v>0.10242192011222692</v>
      </c>
      <c r="P54" s="45">
        <f t="shared" si="20"/>
        <v>9.2018266760189094E-2</v>
      </c>
      <c r="Q54" s="45">
        <f t="shared" si="20"/>
        <v>8.1614613408151265E-2</v>
      </c>
      <c r="R54" s="45">
        <f t="shared" si="20"/>
        <v>7.1210960056113437E-2</v>
      </c>
      <c r="S54" s="45">
        <f t="shared" si="20"/>
        <v>6.0807306704075616E-2</v>
      </c>
      <c r="T54" s="45">
        <f t="shared" si="20"/>
        <v>5.0403653352037794E-2</v>
      </c>
      <c r="U54" s="44">
        <f>L17</f>
        <v>0.04</v>
      </c>
    </row>
    <row r="55" spans="2:21" ht="16" customHeight="1" x14ac:dyDescent="0.2">
      <c r="B55" s="5" t="s">
        <v>43</v>
      </c>
      <c r="J55" s="42"/>
      <c r="K55" s="43">
        <f>K54</f>
        <v>0.17013704972682642</v>
      </c>
      <c r="L55" s="44">
        <f>L54*P15</f>
        <v>0.16035945620200848</v>
      </c>
      <c r="M55" s="44">
        <f>L55-($L$55-$U$55)/($U$35-$L$35)</f>
        <v>0.14809729440178532</v>
      </c>
      <c r="N55" s="45">
        <f t="shared" ref="N55:T55" si="21">M55-($L$55-$U$55)/($U$35-$L$35)</f>
        <v>0.13583513260156216</v>
      </c>
      <c r="O55" s="45">
        <f t="shared" si="21"/>
        <v>0.123572970801339</v>
      </c>
      <c r="P55" s="45">
        <f t="shared" si="21"/>
        <v>0.11131080900111584</v>
      </c>
      <c r="Q55" s="45">
        <f t="shared" si="21"/>
        <v>9.9048647200892681E-2</v>
      </c>
      <c r="R55" s="45">
        <f t="shared" si="21"/>
        <v>8.6786485400669522E-2</v>
      </c>
      <c r="S55" s="45">
        <f t="shared" si="21"/>
        <v>7.4524323600446363E-2</v>
      </c>
      <c r="T55" s="45">
        <f t="shared" si="21"/>
        <v>6.2262161800223197E-2</v>
      </c>
      <c r="U55" s="44">
        <f>P17</f>
        <v>0.05</v>
      </c>
    </row>
    <row r="56" spans="2:21" ht="16" customHeight="1" x14ac:dyDescent="0.2">
      <c r="B56" s="5" t="s">
        <v>40</v>
      </c>
      <c r="J56" s="42"/>
      <c r="K56" s="47"/>
      <c r="L56" s="48"/>
      <c r="M56" s="48"/>
      <c r="N56" s="48"/>
      <c r="O56" s="48"/>
      <c r="P56" s="48"/>
      <c r="Q56" s="48"/>
      <c r="R56" s="48"/>
      <c r="S56" s="48"/>
      <c r="T56" s="48"/>
      <c r="U56" s="48"/>
    </row>
    <row r="57" spans="2:21" customFormat="1" ht="16" customHeight="1" x14ac:dyDescent="0.2">
      <c r="J57" s="51"/>
    </row>
    <row r="58" spans="2:21" ht="16" customHeight="1" x14ac:dyDescent="0.2">
      <c r="B58" s="16" t="s">
        <v>98</v>
      </c>
      <c r="E58" s="36">
        <f>'Financials + KPIs'!Q6</f>
        <v>2431</v>
      </c>
      <c r="F58" s="36">
        <f>'Financials + KPIs'!R6</f>
        <v>2853</v>
      </c>
      <c r="G58" s="36">
        <f>'Financials + KPIs'!S6</f>
        <v>3348</v>
      </c>
      <c r="H58" s="36">
        <f>'Financials + KPIs'!T6</f>
        <v>4124</v>
      </c>
      <c r="I58" s="36">
        <f>'Financials + KPIs'!U6</f>
        <v>4717</v>
      </c>
      <c r="J58" s="37">
        <f>'Financials + KPIs'!V6</f>
        <v>6224</v>
      </c>
      <c r="K58" s="49">
        <f ca="1">J58*(1+K59)</f>
        <v>7287.4</v>
      </c>
      <c r="L58" s="38">
        <f t="shared" ref="L58" ca="1" si="22">K58*(1+L59)</f>
        <v>8447.8799999999992</v>
      </c>
      <c r="M58" s="38">
        <f t="shared" ref="M58" ca="1" si="23">L58*(1+M59)</f>
        <v>9690.6173929247725</v>
      </c>
      <c r="N58" s="38">
        <f t="shared" ref="N58" ca="1" si="24">M58*(1+N59)</f>
        <v>10998.541789431214</v>
      </c>
      <c r="O58" s="38">
        <f t="shared" ref="O58" ca="1" si="25">N58*(1+O59)</f>
        <v>12349.490652007411</v>
      </c>
      <c r="P58" s="38">
        <f t="shared" ref="P58" ca="1" si="26">O58*(1+P59)</f>
        <v>13716.474459594563</v>
      </c>
      <c r="Q58" s="38">
        <f t="shared" ref="Q58" ca="1" si="27">P58*(1+Q59)</f>
        <v>15068.277055211556</v>
      </c>
      <c r="R58" s="38">
        <f t="shared" ref="R58" ca="1" si="28">Q58*(1+R59)</f>
        <v>16370.400829499906</v>
      </c>
      <c r="S58" s="38">
        <f t="shared" ref="S58" ca="1" si="29">R58*(1+S59)</f>
        <v>17586.338630223687</v>
      </c>
      <c r="T58" s="38">
        <f t="shared" ref="T58" ca="1" si="30">S58*(1+T59)</f>
        <v>18679.123862377186</v>
      </c>
      <c r="U58" s="38">
        <f t="shared" ref="U58" ca="1" si="31">T58*(1+U59)</f>
        <v>19613.080055496048</v>
      </c>
    </row>
    <row r="59" spans="2:21" s="39" customFormat="1" ht="16" customHeight="1" x14ac:dyDescent="0.2">
      <c r="B59" s="39" t="s">
        <v>42</v>
      </c>
      <c r="F59" s="40">
        <f>F58/E58-1</f>
        <v>0.17359111476758526</v>
      </c>
      <c r="G59" s="40">
        <f t="shared" ref="G59" si="32">G58/F58-1</f>
        <v>0.17350157728706628</v>
      </c>
      <c r="H59" s="40">
        <f t="shared" ref="H59" si="33">H58/G58-1</f>
        <v>0.23178016726403827</v>
      </c>
      <c r="I59" s="40">
        <f>I58/H58-1</f>
        <v>0.1437924345295829</v>
      </c>
      <c r="J59" s="41">
        <f>J58/I58-1</f>
        <v>0.31948272206911166</v>
      </c>
      <c r="K59" s="40">
        <f ca="1">OFFSET(K59,$D$18,0)</f>
        <v>0.17085475578406162</v>
      </c>
      <c r="L59" s="40">
        <f t="shared" ref="L59:U59" ca="1" si="34">OFFSET(L59,$D$18,0)</f>
        <v>0.15924472376979448</v>
      </c>
      <c r="M59" s="40">
        <f t="shared" ca="1" si="34"/>
        <v>0.1471064211287062</v>
      </c>
      <c r="N59" s="40">
        <f t="shared" ca="1" si="34"/>
        <v>0.13496811848761792</v>
      </c>
      <c r="O59" s="40">
        <f t="shared" ca="1" si="34"/>
        <v>0.12282981584652963</v>
      </c>
      <c r="P59" s="40">
        <f t="shared" ca="1" si="34"/>
        <v>0.11069151320544135</v>
      </c>
      <c r="Q59" s="40">
        <f t="shared" ca="1" si="34"/>
        <v>9.8553210564353066E-2</v>
      </c>
      <c r="R59" s="40">
        <f t="shared" ca="1" si="34"/>
        <v>8.6414907923264783E-2</v>
      </c>
      <c r="S59" s="40">
        <f t="shared" ca="1" si="34"/>
        <v>7.42766052821765E-2</v>
      </c>
      <c r="T59" s="40">
        <f t="shared" ca="1" si="34"/>
        <v>6.2138302641088224E-2</v>
      </c>
      <c r="U59" s="40">
        <f t="shared" ca="1" si="34"/>
        <v>0.05</v>
      </c>
    </row>
    <row r="60" spans="2:21" ht="16" customHeight="1" x14ac:dyDescent="0.2">
      <c r="B60" s="5" t="s">
        <v>4</v>
      </c>
      <c r="J60" s="171"/>
      <c r="K60" s="43">
        <f>K61</f>
        <v>0.17085475578406162</v>
      </c>
      <c r="L60" s="44">
        <f>L61*H18</f>
        <v>0.14332025139281504</v>
      </c>
      <c r="M60" s="45">
        <f>L60-($L$60-$U$60)/($U$35-$L$35)</f>
        <v>0.13184022346028004</v>
      </c>
      <c r="N60" s="45">
        <f t="shared" ref="N60:T60" si="35">M60-($L$60-$U$60)/($U$35-$L$35)</f>
        <v>0.12036019552774505</v>
      </c>
      <c r="O60" s="45">
        <f t="shared" si="35"/>
        <v>0.10888016759521005</v>
      </c>
      <c r="P60" s="45">
        <f t="shared" si="35"/>
        <v>9.740013966267505E-2</v>
      </c>
      <c r="Q60" s="45">
        <f t="shared" si="35"/>
        <v>8.5920111730140053E-2</v>
      </c>
      <c r="R60" s="45">
        <f t="shared" si="35"/>
        <v>7.4440083797605056E-2</v>
      </c>
      <c r="S60" s="45">
        <f t="shared" si="35"/>
        <v>6.2960055865070058E-2</v>
      </c>
      <c r="T60" s="45">
        <f t="shared" si="35"/>
        <v>5.1480027932535054E-2</v>
      </c>
      <c r="U60" s="44">
        <f>H19</f>
        <v>0.04</v>
      </c>
    </row>
    <row r="61" spans="2:21" ht="16" customHeight="1" x14ac:dyDescent="0.2">
      <c r="B61" s="5" t="s">
        <v>15</v>
      </c>
      <c r="J61" s="42"/>
      <c r="K61" s="46">
        <f>'Financials + KPIs'!W25</f>
        <v>0.17085475578406162</v>
      </c>
      <c r="L61" s="170">
        <f>'Financials + KPIs'!X25</f>
        <v>0.15924472376979448</v>
      </c>
      <c r="M61" s="45">
        <f>L61-($L$61-$U$61)/($U$35-$L$35)</f>
        <v>0.1471064211287062</v>
      </c>
      <c r="N61" s="45">
        <f t="shared" ref="N61:T61" si="36">M61-($L$61-$U$61)/($U$35-$L$35)</f>
        <v>0.13496811848761792</v>
      </c>
      <c r="O61" s="45">
        <f t="shared" si="36"/>
        <v>0.12282981584652963</v>
      </c>
      <c r="P61" s="45">
        <f t="shared" si="36"/>
        <v>0.11069151320544135</v>
      </c>
      <c r="Q61" s="45">
        <f t="shared" si="36"/>
        <v>9.8553210564353066E-2</v>
      </c>
      <c r="R61" s="45">
        <f t="shared" si="36"/>
        <v>8.6414907923264783E-2</v>
      </c>
      <c r="S61" s="45">
        <f t="shared" si="36"/>
        <v>7.42766052821765E-2</v>
      </c>
      <c r="T61" s="45">
        <f t="shared" si="36"/>
        <v>6.2138302641088224E-2</v>
      </c>
      <c r="U61" s="44">
        <f>L19</f>
        <v>0.05</v>
      </c>
    </row>
    <row r="62" spans="2:21" ht="16" customHeight="1" x14ac:dyDescent="0.2">
      <c r="B62" s="5" t="s">
        <v>43</v>
      </c>
      <c r="J62" s="42"/>
      <c r="K62" s="43">
        <f>K61</f>
        <v>0.17085475578406162</v>
      </c>
      <c r="L62" s="44">
        <f>L61*P18</f>
        <v>0.17516919614677395</v>
      </c>
      <c r="M62" s="45">
        <f>L62-($L$62-$U$62)/($U$35-$L$35)</f>
        <v>0.16237261879713241</v>
      </c>
      <c r="N62" s="45">
        <f t="shared" ref="N62:T62" si="37">M62-($L$62-$U$62)/($U$35-$L$35)</f>
        <v>0.14957604144749087</v>
      </c>
      <c r="O62" s="45">
        <f t="shared" si="37"/>
        <v>0.13677946409784933</v>
      </c>
      <c r="P62" s="45">
        <f t="shared" si="37"/>
        <v>0.12398288674820777</v>
      </c>
      <c r="Q62" s="45">
        <f t="shared" si="37"/>
        <v>0.11118630939856622</v>
      </c>
      <c r="R62" s="45">
        <f t="shared" si="37"/>
        <v>9.8389732048924664E-2</v>
      </c>
      <c r="S62" s="45">
        <f t="shared" si="37"/>
        <v>8.5593154699283108E-2</v>
      </c>
      <c r="T62" s="45">
        <f t="shared" si="37"/>
        <v>7.2796577349641553E-2</v>
      </c>
      <c r="U62" s="44">
        <f>P19</f>
        <v>0.06</v>
      </c>
    </row>
    <row r="63" spans="2:21" ht="16" customHeight="1" x14ac:dyDescent="0.2">
      <c r="B63" s="5" t="s">
        <v>40</v>
      </c>
      <c r="J63" s="42"/>
      <c r="K63" s="47"/>
      <c r="L63" s="48"/>
      <c r="M63" s="48"/>
      <c r="N63" s="48"/>
      <c r="O63" s="48"/>
      <c r="P63" s="48"/>
      <c r="Q63" s="48"/>
      <c r="R63" s="48"/>
      <c r="S63" s="48"/>
      <c r="T63" s="48"/>
      <c r="U63" s="48"/>
    </row>
    <row r="64" spans="2:21" ht="16" customHeight="1" x14ac:dyDescent="0.2">
      <c r="J64" s="42"/>
    </row>
    <row r="65" spans="1:21" ht="16" customHeight="1" x14ac:dyDescent="0.2">
      <c r="B65" s="16" t="s">
        <v>25</v>
      </c>
      <c r="E65" s="36">
        <f>'Financials + KPIs'!Q7</f>
        <v>-4777</v>
      </c>
      <c r="F65" s="36">
        <f>'Financials + KPIs'!R7</f>
        <v>-5848</v>
      </c>
      <c r="G65" s="36">
        <f>'Financials + KPIs'!S7</f>
        <v>-6881</v>
      </c>
      <c r="H65" s="36">
        <f>'Financials + KPIs'!T7</f>
        <v>-8097</v>
      </c>
      <c r="I65" s="36">
        <f>'Financials + KPIs'!U7</f>
        <v>-8315</v>
      </c>
      <c r="J65" s="37">
        <f>'Financials + KPIs'!V7</f>
        <v>-10961</v>
      </c>
      <c r="K65" s="49">
        <f ca="1">J65*(1+K66)</f>
        <v>-13263.2</v>
      </c>
      <c r="L65" s="38">
        <f t="shared" ref="L65:U65" ca="1" si="38">K65*(1+L66)</f>
        <v>-15858.679999999998</v>
      </c>
      <c r="M65" s="38">
        <f t="shared" ca="1" si="38"/>
        <v>-18613.265729232426</v>
      </c>
      <c r="N65" s="38">
        <f t="shared" ca="1" si="38"/>
        <v>-21561.591117160766</v>
      </c>
      <c r="O65" s="38">
        <f t="shared" ca="1" si="38"/>
        <v>-24640.747590786745</v>
      </c>
      <c r="P65" s="38">
        <f t="shared" ca="1" si="38"/>
        <v>-27769.051683127207</v>
      </c>
      <c r="Q65" s="38">
        <f t="shared" ca="1" si="38"/>
        <v>-30848.305613020115</v>
      </c>
      <c r="R65" s="38">
        <f t="shared" ca="1" si="38"/>
        <v>-33768.056199734761</v>
      </c>
      <c r="S65" s="38">
        <f t="shared" ca="1" si="38"/>
        <v>-36411.756777076043</v>
      </c>
      <c r="T65" s="38">
        <f t="shared" ca="1" si="38"/>
        <v>-38664.449863863272</v>
      </c>
      <c r="U65" s="38">
        <f t="shared" ca="1" si="38"/>
        <v>-40421.305941656712</v>
      </c>
    </row>
    <row r="66" spans="1:21" s="39" customFormat="1" ht="16" customHeight="1" x14ac:dyDescent="0.2">
      <c r="B66" s="39" t="s">
        <v>42</v>
      </c>
      <c r="F66" s="40">
        <f t="shared" ref="F66:H66" si="39">F65/E65-1</f>
        <v>0.22419928825622781</v>
      </c>
      <c r="G66" s="40">
        <f t="shared" si="39"/>
        <v>0.17664158686730502</v>
      </c>
      <c r="H66" s="40">
        <f t="shared" si="39"/>
        <v>0.17671850021799163</v>
      </c>
      <c r="I66" s="40">
        <f>I65/H65-1</f>
        <v>2.6923551932814593E-2</v>
      </c>
      <c r="J66" s="41">
        <f>J65/I65-1</f>
        <v>0.31822008418520742</v>
      </c>
      <c r="K66" s="40">
        <f ca="1">OFFSET(K66,$D$20,0)</f>
        <v>0.21003558069519213</v>
      </c>
      <c r="L66" s="40">
        <f t="shared" ref="L66:U66" ca="1" si="40">OFFSET(L66,$D$20,0)</f>
        <v>0.19569033114180567</v>
      </c>
      <c r="M66" s="40">
        <f ca="1">OFFSET(M66,$D$20,0)</f>
        <v>0.17369577601871194</v>
      </c>
      <c r="N66" s="40">
        <f t="shared" ca="1" si="40"/>
        <v>0.1583991455780889</v>
      </c>
      <c r="O66" s="40">
        <f t="shared" ca="1" si="40"/>
        <v>0.14280747913707043</v>
      </c>
      <c r="P66" s="40">
        <f t="shared" ca="1" si="40"/>
        <v>0.12695654142856236</v>
      </c>
      <c r="Q66" s="40">
        <f t="shared" ca="1" si="40"/>
        <v>0.11088797575913958</v>
      </c>
      <c r="R66" s="40">
        <f t="shared" ca="1" si="40"/>
        <v>9.4648653424981286E-2</v>
      </c>
      <c r="S66" s="40">
        <f t="shared" ca="1" si="40"/>
        <v>7.8289983933456236E-2</v>
      </c>
      <c r="T66" s="40">
        <f t="shared" ca="1" si="40"/>
        <v>6.186719033028016E-2</v>
      </c>
      <c r="U66" s="40">
        <f t="shared" ca="1" si="40"/>
        <v>4.5438538088070475E-2</v>
      </c>
    </row>
    <row r="67" spans="1:21" ht="16" customHeight="1" x14ac:dyDescent="0.2">
      <c r="B67" s="5" t="s">
        <v>4</v>
      </c>
      <c r="J67" s="171"/>
      <c r="K67" s="43">
        <f>K68</f>
        <v>0.21003558069519213</v>
      </c>
      <c r="L67" s="45">
        <f>L68*H20</f>
        <v>0.21525936425598627</v>
      </c>
      <c r="M67" s="50">
        <f ca="1">(SUM(M58,M51,M44,M37)/SUM(L58,L51,L44,L37)-1)*$H$21</f>
        <v>0.19635174680376133</v>
      </c>
      <c r="N67" s="50">
        <f t="shared" ref="N67:U67" ca="1" si="41">(SUM(N58,N51,N44,N37)/SUM(M58,M51,M44,M37)-1)*$H$21</f>
        <v>0.17905990369697009</v>
      </c>
      <c r="O67" s="50">
        <f t="shared" ca="1" si="41"/>
        <v>0.16143454163321008</v>
      </c>
      <c r="P67" s="50">
        <f t="shared" ca="1" si="41"/>
        <v>0.14351609031054877</v>
      </c>
      <c r="Q67" s="50">
        <f t="shared" ca="1" si="41"/>
        <v>0.12535162477120129</v>
      </c>
      <c r="R67" s="50">
        <f t="shared" ca="1" si="41"/>
        <v>0.10699412995867451</v>
      </c>
      <c r="S67" s="50">
        <f t="shared" ca="1" si="41"/>
        <v>8.8501720968254885E-2</v>
      </c>
      <c r="T67" s="50">
        <f t="shared" ca="1" si="41"/>
        <v>6.9936823851621061E-2</v>
      </c>
      <c r="U67" s="50">
        <f t="shared" ca="1" si="41"/>
        <v>5.1365303925644888E-2</v>
      </c>
    </row>
    <row r="68" spans="1:21" ht="16" customHeight="1" x14ac:dyDescent="0.2">
      <c r="B68" s="5" t="s">
        <v>15</v>
      </c>
      <c r="J68" s="42"/>
      <c r="K68" s="46">
        <f>'Financials + KPIs'!W26</f>
        <v>0.21003558069519213</v>
      </c>
      <c r="L68" s="170">
        <f>'Financials + KPIs'!X26</f>
        <v>0.19569033114180567</v>
      </c>
      <c r="M68" s="50">
        <f ca="1">(SUM(M58,M51,M44,M37)/SUM(L58,L51,L44,L37)-1)*$L$21</f>
        <v>0.17369577601871194</v>
      </c>
      <c r="N68" s="50">
        <f t="shared" ref="N68:U68" ca="1" si="42">(SUM(N58,N51,N44,N37)/SUM(M58,M51,M44,M37)-1)*$L$21</f>
        <v>0.1583991455780889</v>
      </c>
      <c r="O68" s="50">
        <f t="shared" ca="1" si="42"/>
        <v>0.14280747913707043</v>
      </c>
      <c r="P68" s="50">
        <f t="shared" ca="1" si="42"/>
        <v>0.12695654142856236</v>
      </c>
      <c r="Q68" s="50">
        <f t="shared" ca="1" si="42"/>
        <v>0.11088797575913958</v>
      </c>
      <c r="R68" s="50">
        <f t="shared" ca="1" si="42"/>
        <v>9.4648653424981286E-2</v>
      </c>
      <c r="S68" s="50">
        <f t="shared" ca="1" si="42"/>
        <v>7.8289983933456236E-2</v>
      </c>
      <c r="T68" s="50">
        <f t="shared" ca="1" si="42"/>
        <v>6.186719033028016E-2</v>
      </c>
      <c r="U68" s="50">
        <f t="shared" ca="1" si="42"/>
        <v>4.5438538088070475E-2</v>
      </c>
    </row>
    <row r="69" spans="1:21" ht="16" customHeight="1" x14ac:dyDescent="0.2">
      <c r="B69" s="5" t="s">
        <v>43</v>
      </c>
      <c r="J69" s="42"/>
      <c r="K69" s="43">
        <f>K68</f>
        <v>0.21003558069519213</v>
      </c>
      <c r="L69" s="45">
        <f>L68*P20</f>
        <v>0.17612129802762511</v>
      </c>
      <c r="M69" s="50">
        <f ca="1">(SUM(M58,M51,M44,M37)/SUM(L58,L51,L44,L37)-1)*$P$21</f>
        <v>0.15103980523366256</v>
      </c>
      <c r="N69" s="50">
        <f t="shared" ref="N69:U69" ca="1" si="43">(SUM(N58,N51,N44,N37)/SUM(M58,M51,M44,M37)-1)*$P$21</f>
        <v>0.13773838745920775</v>
      </c>
      <c r="O69" s="50">
        <f t="shared" ca="1" si="43"/>
        <v>0.12418041664093082</v>
      </c>
      <c r="P69" s="50">
        <f t="shared" ca="1" si="43"/>
        <v>0.11039699254657598</v>
      </c>
      <c r="Q69" s="50">
        <f t="shared" ca="1" si="43"/>
        <v>9.6424326747077904E-2</v>
      </c>
      <c r="R69" s="50">
        <f t="shared" ca="1" si="43"/>
        <v>8.2303176891288077E-2</v>
      </c>
      <c r="S69" s="50">
        <f t="shared" ca="1" si="43"/>
        <v>6.8078246898657602E-2</v>
      </c>
      <c r="T69" s="50">
        <f t="shared" ca="1" si="43"/>
        <v>5.3797556808939273E-2</v>
      </c>
      <c r="U69" s="50">
        <f t="shared" ca="1" si="43"/>
        <v>3.9511772250496069E-2</v>
      </c>
    </row>
    <row r="70" spans="1:21" ht="16" customHeight="1" x14ac:dyDescent="0.2">
      <c r="B70" s="5" t="s">
        <v>40</v>
      </c>
      <c r="J70" s="42"/>
      <c r="K70" s="47"/>
      <c r="L70" s="48"/>
      <c r="M70" s="48"/>
      <c r="N70" s="48"/>
      <c r="O70" s="48"/>
      <c r="P70" s="48"/>
      <c r="Q70" s="48"/>
      <c r="R70" s="48"/>
      <c r="S70" s="48"/>
      <c r="T70" s="48"/>
      <c r="U70" s="48"/>
    </row>
    <row r="71" spans="1:21" customFormat="1" ht="16" customHeight="1" x14ac:dyDescent="0.2">
      <c r="J71" s="51"/>
    </row>
    <row r="72" spans="1:21" ht="16" customHeight="1" x14ac:dyDescent="0.2">
      <c r="B72" s="52" t="s">
        <v>44</v>
      </c>
      <c r="C72" s="53"/>
      <c r="D72" s="53"/>
      <c r="E72" s="54">
        <f>E44+E37+E65+E51+E58</f>
        <v>10776</v>
      </c>
      <c r="F72" s="54">
        <f t="shared" ref="F72:U72" si="44">F44+F37+F65+F51+F58</f>
        <v>12497</v>
      </c>
      <c r="G72" s="54">
        <f t="shared" si="44"/>
        <v>14950</v>
      </c>
      <c r="H72" s="54">
        <f t="shared" si="44"/>
        <v>16883</v>
      </c>
      <c r="I72" s="54">
        <f t="shared" si="44"/>
        <v>15301</v>
      </c>
      <c r="J72" s="55">
        <f t="shared" si="44"/>
        <v>18884</v>
      </c>
      <c r="K72" s="54">
        <f ca="1">K44+K37+K65+K51+K58</f>
        <v>22221.659999999996</v>
      </c>
      <c r="L72" s="54">
        <f t="shared" ca="1" si="44"/>
        <v>25158.200499999999</v>
      </c>
      <c r="M72" s="54">
        <f t="shared" ca="1" si="44"/>
        <v>28598.796412779979</v>
      </c>
      <c r="N72" s="54">
        <f t="shared" ca="1" si="44"/>
        <v>32153.38433291635</v>
      </c>
      <c r="O72" s="54">
        <f t="shared" ca="1" si="44"/>
        <v>35744.575890538312</v>
      </c>
      <c r="P72" s="54">
        <f t="shared" ca="1" si="44"/>
        <v>39282.629904488276</v>
      </c>
      <c r="Q72" s="54">
        <f t="shared" ca="1" si="44"/>
        <v>42668.78922894063</v>
      </c>
      <c r="R72" s="54">
        <f t="shared" ca="1" si="44"/>
        <v>45799.72910353748</v>
      </c>
      <c r="S72" s="54">
        <f t="shared" ca="1" si="44"/>
        <v>48572.863859251753</v>
      </c>
      <c r="T72" s="54">
        <f t="shared" ca="1" si="44"/>
        <v>50892.135729033515</v>
      </c>
      <c r="U72" s="54">
        <f t="shared" ca="1" si="44"/>
        <v>52673.819064718657</v>
      </c>
    </row>
    <row r="73" spans="1:21" s="39" customFormat="1" ht="16" customHeight="1" x14ac:dyDescent="0.2">
      <c r="B73" s="39" t="s">
        <v>42</v>
      </c>
      <c r="F73" s="40">
        <f>F72/E72-1</f>
        <v>0.15970675575352633</v>
      </c>
      <c r="G73" s="40">
        <f t="shared" ref="G73:U73" si="45">G72/F72-1</f>
        <v>0.19628710890613754</v>
      </c>
      <c r="H73" s="40">
        <f t="shared" si="45"/>
        <v>0.12929765886287625</v>
      </c>
      <c r="I73" s="40">
        <f t="shared" si="45"/>
        <v>-9.3703725641177571E-2</v>
      </c>
      <c r="J73" s="41">
        <f t="shared" si="45"/>
        <v>0.23416770145742105</v>
      </c>
      <c r="K73" s="40">
        <f t="shared" ca="1" si="45"/>
        <v>0.1767453929252274</v>
      </c>
      <c r="L73" s="40">
        <f t="shared" ca="1" si="45"/>
        <v>0.13214766583594573</v>
      </c>
      <c r="M73" s="40">
        <f t="shared" ca="1" si="45"/>
        <v>0.13675842645343339</v>
      </c>
      <c r="N73" s="40">
        <f t="shared" ca="1" si="45"/>
        <v>0.12429152153228129</v>
      </c>
      <c r="O73" s="40">
        <f t="shared" ca="1" si="45"/>
        <v>0.11168937989353589</v>
      </c>
      <c r="P73" s="40">
        <f t="shared" ca="1" si="45"/>
        <v>9.898156365834776E-2</v>
      </c>
      <c r="Q73" s="40">
        <f t="shared" ca="1" si="45"/>
        <v>8.6199914127069732E-2</v>
      </c>
      <c r="R73" s="40">
        <f t="shared" ca="1" si="45"/>
        <v>7.337775294718818E-2</v>
      </c>
      <c r="S73" s="40">
        <f t="shared" ca="1" si="45"/>
        <v>6.0549151927190792E-2</v>
      </c>
      <c r="T73" s="40">
        <f t="shared" ca="1" si="45"/>
        <v>4.7748304001638653E-2</v>
      </c>
      <c r="U73" s="40">
        <f t="shared" ca="1" si="45"/>
        <v>3.5009010924033745E-2</v>
      </c>
    </row>
    <row r="74" spans="1:21" ht="16" customHeight="1" x14ac:dyDescent="0.2">
      <c r="J74" s="42"/>
    </row>
    <row r="75" spans="1:21" ht="16" customHeight="1" x14ac:dyDescent="0.2">
      <c r="A75" s="5" t="s">
        <v>11</v>
      </c>
      <c r="B75" s="12" t="s">
        <v>165</v>
      </c>
      <c r="C75" s="12"/>
      <c r="D75" s="12"/>
      <c r="E75" s="33">
        <v>2016</v>
      </c>
      <c r="F75" s="33">
        <f>E75+1</f>
        <v>2017</v>
      </c>
      <c r="G75" s="33">
        <f t="shared" ref="G75" si="46">F75+1</f>
        <v>2018</v>
      </c>
      <c r="H75" s="33">
        <f t="shared" ref="H75" si="47">G75+1</f>
        <v>2019</v>
      </c>
      <c r="I75" s="33">
        <f t="shared" ref="I75" si="48">H75+1</f>
        <v>2020</v>
      </c>
      <c r="J75" s="33">
        <f t="shared" ref="J75" si="49">I75+1</f>
        <v>2021</v>
      </c>
      <c r="K75" s="34">
        <v>2022</v>
      </c>
      <c r="L75" s="34">
        <f>K75+1</f>
        <v>2023</v>
      </c>
      <c r="M75" s="34">
        <f t="shared" ref="M75" si="50">L75+1</f>
        <v>2024</v>
      </c>
      <c r="N75" s="34">
        <f t="shared" ref="N75" si="51">M75+1</f>
        <v>2025</v>
      </c>
      <c r="O75" s="34">
        <f t="shared" ref="O75" si="52">N75+1</f>
        <v>2026</v>
      </c>
      <c r="P75" s="34">
        <f t="shared" ref="P75" si="53">O75+1</f>
        <v>2027</v>
      </c>
      <c r="Q75" s="34">
        <f t="shared" ref="Q75" si="54">P75+1</f>
        <v>2028</v>
      </c>
      <c r="R75" s="34">
        <f t="shared" ref="R75" si="55">Q75+1</f>
        <v>2029</v>
      </c>
      <c r="S75" s="34">
        <f t="shared" ref="S75" si="56">R75+1</f>
        <v>2030</v>
      </c>
      <c r="T75" s="34">
        <f t="shared" ref="T75" si="57">S75+1</f>
        <v>2031</v>
      </c>
      <c r="U75" s="34">
        <f t="shared" ref="U75" si="58">T75+1</f>
        <v>2032</v>
      </c>
    </row>
    <row r="76" spans="1:21" ht="16" customHeight="1" x14ac:dyDescent="0.2">
      <c r="B76" s="12" t="s">
        <v>41</v>
      </c>
      <c r="C76" s="12"/>
      <c r="D76" s="12"/>
      <c r="E76" s="35">
        <f>EDATE(F76,-12)</f>
        <v>42735</v>
      </c>
      <c r="F76" s="35">
        <f t="shared" ref="F76" si="59">EDATE(G76,-12)</f>
        <v>43100</v>
      </c>
      <c r="G76" s="35">
        <f t="shared" ref="G76" si="60">EDATE(H76,-12)</f>
        <v>43465</v>
      </c>
      <c r="H76" s="35">
        <f t="shared" ref="H76" si="61">EDATE(I76,-12)</f>
        <v>43830</v>
      </c>
      <c r="I76" s="35">
        <f t="shared" ref="I76" si="62">EDATE(J76,-12)</f>
        <v>44196</v>
      </c>
      <c r="J76" s="35">
        <f>EDATE(K76,-12)</f>
        <v>44561</v>
      </c>
      <c r="K76" s="35">
        <v>44926</v>
      </c>
      <c r="L76" s="35">
        <f>EDATE(K76,12)</f>
        <v>45291</v>
      </c>
      <c r="M76" s="35">
        <f t="shared" ref="M76" si="63">EDATE(L76,12)</f>
        <v>45657</v>
      </c>
      <c r="N76" s="35">
        <f t="shared" ref="N76" si="64">EDATE(M76,12)</f>
        <v>46022</v>
      </c>
      <c r="O76" s="35">
        <f t="shared" ref="O76" si="65">EDATE(N76,12)</f>
        <v>46387</v>
      </c>
      <c r="P76" s="35">
        <f t="shared" ref="P76" si="66">EDATE(O76,12)</f>
        <v>46752</v>
      </c>
      <c r="Q76" s="35">
        <f t="shared" ref="Q76" si="67">EDATE(P76,12)</f>
        <v>47118</v>
      </c>
      <c r="R76" s="35">
        <f t="shared" ref="R76" si="68">EDATE(Q76,12)</f>
        <v>47483</v>
      </c>
      <c r="S76" s="35">
        <f t="shared" ref="S76" si="69">EDATE(R76,12)</f>
        <v>47848</v>
      </c>
      <c r="T76" s="35">
        <f t="shared" ref="T76" si="70">EDATE(S76,12)</f>
        <v>48213</v>
      </c>
      <c r="U76" s="35">
        <f t="shared" ref="U76" si="71">EDATE(T76,12)</f>
        <v>48579</v>
      </c>
    </row>
    <row r="77" spans="1:21" ht="16" customHeight="1" x14ac:dyDescent="0.2">
      <c r="B77" s="5" t="s">
        <v>45</v>
      </c>
      <c r="E77" s="56">
        <f>E72</f>
        <v>10776</v>
      </c>
      <c r="F77" s="56">
        <f t="shared" ref="F77:U78" si="72">F72</f>
        <v>12497</v>
      </c>
      <c r="G77" s="56">
        <f t="shared" si="72"/>
        <v>14950</v>
      </c>
      <c r="H77" s="56">
        <f t="shared" si="72"/>
        <v>16883</v>
      </c>
      <c r="I77" s="56">
        <f t="shared" si="72"/>
        <v>15301</v>
      </c>
      <c r="J77" s="57">
        <f t="shared" si="72"/>
        <v>18884</v>
      </c>
      <c r="K77" s="56">
        <f t="shared" ca="1" si="72"/>
        <v>22221.659999999996</v>
      </c>
      <c r="L77" s="56">
        <f t="shared" ca="1" si="72"/>
        <v>25158.200499999999</v>
      </c>
      <c r="M77" s="56">
        <f t="shared" ca="1" si="72"/>
        <v>28598.796412779979</v>
      </c>
      <c r="N77" s="56">
        <f t="shared" ca="1" si="72"/>
        <v>32153.38433291635</v>
      </c>
      <c r="O77" s="56">
        <f t="shared" ca="1" si="72"/>
        <v>35744.575890538312</v>
      </c>
      <c r="P77" s="56">
        <f t="shared" ca="1" si="72"/>
        <v>39282.629904488276</v>
      </c>
      <c r="Q77" s="56">
        <f t="shared" ca="1" si="72"/>
        <v>42668.78922894063</v>
      </c>
      <c r="R77" s="56">
        <f t="shared" ca="1" si="72"/>
        <v>45799.72910353748</v>
      </c>
      <c r="S77" s="56">
        <f t="shared" ca="1" si="72"/>
        <v>48572.863859251753</v>
      </c>
      <c r="T77" s="56">
        <f t="shared" ca="1" si="72"/>
        <v>50892.135729033515</v>
      </c>
      <c r="U77" s="56">
        <f t="shared" ca="1" si="72"/>
        <v>52673.819064718657</v>
      </c>
    </row>
    <row r="78" spans="1:21" s="39" customFormat="1" ht="16" customHeight="1" x14ac:dyDescent="0.2">
      <c r="B78" s="39" t="s">
        <v>42</v>
      </c>
      <c r="E78" s="58"/>
      <c r="F78" s="59">
        <f>F73</f>
        <v>0.15970675575352633</v>
      </c>
      <c r="G78" s="59">
        <f t="shared" si="72"/>
        <v>0.19628710890613754</v>
      </c>
      <c r="H78" s="59">
        <f t="shared" si="72"/>
        <v>0.12929765886287625</v>
      </c>
      <c r="I78" s="59">
        <f t="shared" si="72"/>
        <v>-9.3703725641177571E-2</v>
      </c>
      <c r="J78" s="60">
        <f t="shared" si="72"/>
        <v>0.23416770145742105</v>
      </c>
      <c r="K78" s="59">
        <f t="shared" ca="1" si="72"/>
        <v>0.1767453929252274</v>
      </c>
      <c r="L78" s="59">
        <f t="shared" ca="1" si="72"/>
        <v>0.13214766583594573</v>
      </c>
      <c r="M78" s="59">
        <f t="shared" ca="1" si="72"/>
        <v>0.13675842645343339</v>
      </c>
      <c r="N78" s="59">
        <f t="shared" ca="1" si="72"/>
        <v>0.12429152153228129</v>
      </c>
      <c r="O78" s="59">
        <f t="shared" ca="1" si="72"/>
        <v>0.11168937989353589</v>
      </c>
      <c r="P78" s="59">
        <f t="shared" ca="1" si="72"/>
        <v>9.898156365834776E-2</v>
      </c>
      <c r="Q78" s="59">
        <f t="shared" ca="1" si="72"/>
        <v>8.6199914127069732E-2</v>
      </c>
      <c r="R78" s="59">
        <f t="shared" ca="1" si="72"/>
        <v>7.337775294718818E-2</v>
      </c>
      <c r="S78" s="59">
        <f t="shared" ca="1" si="72"/>
        <v>6.0549151927190792E-2</v>
      </c>
      <c r="T78" s="59">
        <f t="shared" ca="1" si="72"/>
        <v>4.7748304001638653E-2</v>
      </c>
      <c r="U78" s="59">
        <f t="shared" ca="1" si="72"/>
        <v>3.5009010924033745E-2</v>
      </c>
    </row>
    <row r="79" spans="1:21" ht="16" customHeight="1" x14ac:dyDescent="0.2">
      <c r="E79" s="61"/>
      <c r="F79" s="61"/>
      <c r="G79" s="61"/>
      <c r="H79" s="61"/>
      <c r="I79" s="61"/>
      <c r="J79" s="62"/>
      <c r="K79" s="61"/>
      <c r="L79" s="61"/>
      <c r="M79" s="61"/>
      <c r="N79" s="61"/>
      <c r="O79" s="61"/>
      <c r="P79" s="61"/>
      <c r="Q79" s="61"/>
      <c r="R79" s="61"/>
      <c r="S79" s="61"/>
      <c r="T79" s="61"/>
      <c r="U79" s="61"/>
    </row>
    <row r="80" spans="1:21" s="38" customFormat="1" ht="16" customHeight="1" x14ac:dyDescent="0.2">
      <c r="B80" s="38" t="s">
        <v>46</v>
      </c>
      <c r="E80" s="36">
        <f>'Financials + KPIs'!Q13</f>
        <v>5761</v>
      </c>
      <c r="F80" s="36">
        <f>'Financials + KPIs'!R13</f>
        <v>6622</v>
      </c>
      <c r="G80" s="36">
        <f>'Financials + KPIs'!S13</f>
        <v>7282</v>
      </c>
      <c r="H80" s="36">
        <f>'Financials + KPIs'!T13</f>
        <v>9664</v>
      </c>
      <c r="I80" s="36">
        <f>'Financials + KPIs'!U13</f>
        <v>8081</v>
      </c>
      <c r="J80" s="37">
        <f>'Financials + KPIs'!V13</f>
        <v>10082</v>
      </c>
      <c r="K80" s="49">
        <f ca="1">K77*K81</f>
        <v>12212.185147972672</v>
      </c>
      <c r="L80" s="49">
        <f t="shared" ref="L80:U80" ca="1" si="73">L77*L81</f>
        <v>14185.584316885035</v>
      </c>
      <c r="M80" s="49">
        <f t="shared" ca="1" si="73"/>
        <v>16269.828441991544</v>
      </c>
      <c r="N80" s="49">
        <f t="shared" ca="1" si="73"/>
        <v>18454.204656534086</v>
      </c>
      <c r="O80" s="49">
        <f t="shared" ca="1" si="73"/>
        <v>20695.630980844857</v>
      </c>
      <c r="P80" s="49">
        <f t="shared" ca="1" si="73"/>
        <v>22942.249699504009</v>
      </c>
      <c r="Q80" s="49">
        <f t="shared" ca="1" si="73"/>
        <v>25135.081487390431</v>
      </c>
      <c r="R80" s="49">
        <f t="shared" ca="1" si="73"/>
        <v>27210.440881766765</v>
      </c>
      <c r="S80" s="49">
        <f t="shared" ca="1" si="73"/>
        <v>29103.000667160293</v>
      </c>
      <c r="T80" s="49">
        <f t="shared" ca="1" si="73"/>
        <v>30749.308145631974</v>
      </c>
      <c r="U80" s="49">
        <f t="shared" ca="1" si="73"/>
        <v>31604.291438831191</v>
      </c>
    </row>
    <row r="81" spans="2:21" s="39" customFormat="1" ht="16" customHeight="1" x14ac:dyDescent="0.2">
      <c r="B81" s="39" t="s">
        <v>47</v>
      </c>
      <c r="E81" s="63">
        <f>E80/E77</f>
        <v>0.53461395694135116</v>
      </c>
      <c r="F81" s="63">
        <f t="shared" ref="F81:J81" si="74">F80/F77</f>
        <v>0.52988717292150112</v>
      </c>
      <c r="G81" s="63">
        <f t="shared" si="74"/>
        <v>0.48709030100334449</v>
      </c>
      <c r="H81" s="63">
        <f t="shared" si="74"/>
        <v>0.57241011668542319</v>
      </c>
      <c r="I81" s="63">
        <f t="shared" si="74"/>
        <v>0.52813541598588332</v>
      </c>
      <c r="J81" s="64">
        <f t="shared" si="74"/>
        <v>0.53389112476170308</v>
      </c>
      <c r="K81" s="63">
        <f ca="1">OFFSET(K81,$D$22,0)</f>
        <v>0.54956223558333062</v>
      </c>
      <c r="L81" s="63">
        <f t="shared" ref="L81:U81" ca="1" si="75">OFFSET(L81,$D$22,0)</f>
        <v>0.5638552851538422</v>
      </c>
      <c r="M81" s="63">
        <f t="shared" ca="1" si="75"/>
        <v>0.56889906159550918</v>
      </c>
      <c r="N81" s="63">
        <f t="shared" ca="1" si="75"/>
        <v>0.57394283803717616</v>
      </c>
      <c r="O81" s="63">
        <f t="shared" ca="1" si="75"/>
        <v>0.57898661447884314</v>
      </c>
      <c r="P81" s="63">
        <f t="shared" ca="1" si="75"/>
        <v>0.58403039092051012</v>
      </c>
      <c r="Q81" s="63">
        <f t="shared" ca="1" si="75"/>
        <v>0.5890741673621771</v>
      </c>
      <c r="R81" s="63">
        <f t="shared" ca="1" si="75"/>
        <v>0.59411794380384408</v>
      </c>
      <c r="S81" s="63">
        <f t="shared" ca="1" si="75"/>
        <v>0.59916172024551106</v>
      </c>
      <c r="T81" s="63">
        <f t="shared" ca="1" si="75"/>
        <v>0.60420549668717805</v>
      </c>
      <c r="U81" s="63">
        <f t="shared" ca="1" si="75"/>
        <v>0.6</v>
      </c>
    </row>
    <row r="82" spans="2:21" ht="16" customHeight="1" x14ac:dyDescent="0.2">
      <c r="B82" s="5" t="s">
        <v>4</v>
      </c>
      <c r="J82" s="42"/>
      <c r="K82" s="43">
        <f>K83</f>
        <v>0.54956223558333062</v>
      </c>
      <c r="L82" s="44">
        <f>L83*H22</f>
        <v>0.53100934621284168</v>
      </c>
      <c r="M82" s="45">
        <f t="shared" ref="M82:T82" si="76">L82-($K$82-$U$82)/($U$75-$K$75)</f>
        <v>0.52605312265450865</v>
      </c>
      <c r="N82" s="45">
        <f t="shared" si="76"/>
        <v>0.52109689909617563</v>
      </c>
      <c r="O82" s="45">
        <f t="shared" si="76"/>
        <v>0.5161406755378426</v>
      </c>
      <c r="P82" s="45">
        <f t="shared" si="76"/>
        <v>0.51118445197950957</v>
      </c>
      <c r="Q82" s="45">
        <f t="shared" si="76"/>
        <v>0.50622822842117654</v>
      </c>
      <c r="R82" s="45">
        <f t="shared" si="76"/>
        <v>0.50127200486284351</v>
      </c>
      <c r="S82" s="45">
        <f t="shared" si="76"/>
        <v>0.49631578130451043</v>
      </c>
      <c r="T82" s="45">
        <f t="shared" si="76"/>
        <v>0.49135955774617734</v>
      </c>
      <c r="U82" s="44">
        <f>H23</f>
        <v>0.5</v>
      </c>
    </row>
    <row r="83" spans="2:21" ht="16" customHeight="1" x14ac:dyDescent="0.2">
      <c r="B83" s="5" t="s">
        <v>15</v>
      </c>
      <c r="J83" s="42"/>
      <c r="K83" s="46">
        <f>'Financials + KPIs'!W33</f>
        <v>0.54956223558333062</v>
      </c>
      <c r="L83" s="170">
        <f>'Financials + KPIs'!X33</f>
        <v>0.54743231568334194</v>
      </c>
      <c r="M83" s="45">
        <f t="shared" ref="M83:T83" si="77">L83-($K$83-$U$83)/($U$75-$K$75)</f>
        <v>0.54747609212500892</v>
      </c>
      <c r="N83" s="45">
        <f t="shared" si="77"/>
        <v>0.54751986856667589</v>
      </c>
      <c r="O83" s="45">
        <f t="shared" si="77"/>
        <v>0.54756364500834287</v>
      </c>
      <c r="P83" s="45">
        <f t="shared" si="77"/>
        <v>0.54760742145000985</v>
      </c>
      <c r="Q83" s="45">
        <f t="shared" si="77"/>
        <v>0.54765119789167682</v>
      </c>
      <c r="R83" s="45">
        <f t="shared" si="77"/>
        <v>0.5476949743333438</v>
      </c>
      <c r="S83" s="45">
        <f t="shared" si="77"/>
        <v>0.54773875077501077</v>
      </c>
      <c r="T83" s="45">
        <f t="shared" si="77"/>
        <v>0.54778252721667775</v>
      </c>
      <c r="U83" s="44">
        <f>L23</f>
        <v>0.55000000000000004</v>
      </c>
    </row>
    <row r="84" spans="2:21" ht="16" customHeight="1" x14ac:dyDescent="0.2">
      <c r="B84" s="5" t="s">
        <v>43</v>
      </c>
      <c r="J84" s="42"/>
      <c r="K84" s="43">
        <f>K83</f>
        <v>0.54956223558333062</v>
      </c>
      <c r="L84" s="44">
        <f>L83*P22</f>
        <v>0.5638552851538422</v>
      </c>
      <c r="M84" s="45">
        <f t="shared" ref="M84:T84" si="78">L84-($K$84-$U$84)/($U$75-$K$75)</f>
        <v>0.56889906159550918</v>
      </c>
      <c r="N84" s="45">
        <f t="shared" si="78"/>
        <v>0.57394283803717616</v>
      </c>
      <c r="O84" s="45">
        <f t="shared" si="78"/>
        <v>0.57898661447884314</v>
      </c>
      <c r="P84" s="45">
        <f t="shared" si="78"/>
        <v>0.58403039092051012</v>
      </c>
      <c r="Q84" s="45">
        <f t="shared" si="78"/>
        <v>0.5890741673621771</v>
      </c>
      <c r="R84" s="45">
        <f t="shared" si="78"/>
        <v>0.59411794380384408</v>
      </c>
      <c r="S84" s="45">
        <f t="shared" si="78"/>
        <v>0.59916172024551106</v>
      </c>
      <c r="T84" s="45">
        <f t="shared" si="78"/>
        <v>0.60420549668717805</v>
      </c>
      <c r="U84" s="44">
        <f>P23</f>
        <v>0.6</v>
      </c>
    </row>
    <row r="85" spans="2:21" ht="16" customHeight="1" x14ac:dyDescent="0.2">
      <c r="B85" s="5" t="s">
        <v>40</v>
      </c>
      <c r="J85" s="42"/>
      <c r="K85" s="47"/>
      <c r="L85" s="47"/>
      <c r="M85" s="47"/>
      <c r="N85" s="47"/>
      <c r="O85" s="47"/>
      <c r="P85" s="48"/>
      <c r="Q85" s="48"/>
      <c r="R85" s="48"/>
      <c r="S85" s="48"/>
      <c r="T85" s="48"/>
      <c r="U85" s="48"/>
    </row>
    <row r="86" spans="2:21" ht="16" customHeight="1" x14ac:dyDescent="0.2">
      <c r="J86" s="42"/>
    </row>
    <row r="87" spans="2:21" ht="16" customHeight="1" x14ac:dyDescent="0.2">
      <c r="B87" s="5" t="s">
        <v>33</v>
      </c>
      <c r="E87" s="36">
        <f>'Financials + KPIs'!Q17</f>
        <v>1587</v>
      </c>
      <c r="F87" s="36">
        <f>'Financials + KPIs'!R17</f>
        <v>2607</v>
      </c>
      <c r="G87" s="36">
        <f>'Financials + KPIs'!S17</f>
        <v>1345</v>
      </c>
      <c r="H87" s="36">
        <f>'Financials + KPIs'!T17</f>
        <v>1613</v>
      </c>
      <c r="I87" s="36">
        <f>'Financials + KPIs'!U17</f>
        <v>1349</v>
      </c>
      <c r="J87" s="37">
        <f>'Financials + KPIs'!V17</f>
        <v>1620</v>
      </c>
      <c r="K87" s="49">
        <f t="shared" ref="K87:U87" ca="1" si="79">K80*K88</f>
        <v>1798.1933266350811</v>
      </c>
      <c r="L87" s="49">
        <f t="shared" ca="1" si="79"/>
        <v>2538.5731770393072</v>
      </c>
      <c r="M87" s="49">
        <f t="shared" ca="1" si="79"/>
        <v>2967.6807965993366</v>
      </c>
      <c r="N87" s="49">
        <f t="shared" ca="1" si="79"/>
        <v>3429.7775420513417</v>
      </c>
      <c r="O87" s="49">
        <f t="shared" ca="1" si="79"/>
        <v>3917.74408657905</v>
      </c>
      <c r="P87" s="49">
        <f t="shared" ca="1" si="79"/>
        <v>4422.175112227661</v>
      </c>
      <c r="Q87" s="49">
        <f t="shared" ca="1" si="79"/>
        <v>4931.552492856601</v>
      </c>
      <c r="R87" s="49">
        <f t="shared" ca="1" si="79"/>
        <v>5432.6047164750507</v>
      </c>
      <c r="S87" s="49">
        <f t="shared" ca="1" si="79"/>
        <v>5910.8480955413861</v>
      </c>
      <c r="T87" s="49">
        <f t="shared" ca="1" si="79"/>
        <v>6351.2847381258525</v>
      </c>
      <c r="U87" s="49">
        <f t="shared" ca="1" si="79"/>
        <v>6636.9012021545495</v>
      </c>
    </row>
    <row r="88" spans="2:21" s="39" customFormat="1" ht="16" customHeight="1" x14ac:dyDescent="0.2">
      <c r="B88" s="39" t="s">
        <v>48</v>
      </c>
      <c r="E88" s="63">
        <f t="shared" ref="E88:J88" si="80">E87/E80</f>
        <v>0.27547300815830583</v>
      </c>
      <c r="F88" s="63">
        <f t="shared" si="80"/>
        <v>0.39368770764119604</v>
      </c>
      <c r="G88" s="63">
        <f t="shared" si="80"/>
        <v>0.18470200494369679</v>
      </c>
      <c r="H88" s="63">
        <f t="shared" si="80"/>
        <v>0.16690811258278146</v>
      </c>
      <c r="I88" s="63">
        <f t="shared" si="80"/>
        <v>0.16693478529884914</v>
      </c>
      <c r="J88" s="64">
        <f t="shared" si="80"/>
        <v>0.16068240428486411</v>
      </c>
      <c r="K88" s="65">
        <f>'Financials + KPIs'!W36</f>
        <v>0.14724582905079822</v>
      </c>
      <c r="L88" s="173">
        <f>'Financials + KPIs'!X36</f>
        <v>0.17895443150816531</v>
      </c>
      <c r="M88" s="59">
        <f>L88-($L$88-$U$88)/($U$75-$L$75)</f>
        <v>0.18240393911836916</v>
      </c>
      <c r="N88" s="59">
        <f t="shared" ref="N88:T88" si="81">M88-($L$88-$U$88)/($U$75-$L$75)</f>
        <v>0.18585344672857301</v>
      </c>
      <c r="O88" s="59">
        <f t="shared" si="81"/>
        <v>0.18930295433877686</v>
      </c>
      <c r="P88" s="59">
        <f t="shared" si="81"/>
        <v>0.19275246194898071</v>
      </c>
      <c r="Q88" s="59">
        <f t="shared" si="81"/>
        <v>0.19620196955918456</v>
      </c>
      <c r="R88" s="59">
        <f t="shared" si="81"/>
        <v>0.19965147716938841</v>
      </c>
      <c r="S88" s="59">
        <f t="shared" si="81"/>
        <v>0.20310098477959226</v>
      </c>
      <c r="T88" s="59">
        <f t="shared" si="81"/>
        <v>0.20655049238979611</v>
      </c>
      <c r="U88" s="66">
        <f>L24</f>
        <v>0.21</v>
      </c>
    </row>
    <row r="89" spans="2:21" ht="16" customHeight="1" x14ac:dyDescent="0.2">
      <c r="E89" s="61"/>
      <c r="F89" s="61"/>
      <c r="G89" s="61"/>
      <c r="H89" s="61"/>
      <c r="I89" s="61"/>
      <c r="J89" s="62"/>
      <c r="K89" s="61"/>
      <c r="L89" s="61"/>
      <c r="M89" s="61"/>
      <c r="N89" s="61"/>
      <c r="O89" s="61"/>
      <c r="P89" s="61"/>
      <c r="Q89" s="61"/>
      <c r="R89" s="61"/>
      <c r="S89" s="61"/>
      <c r="T89" s="61"/>
      <c r="U89" s="61"/>
    </row>
    <row r="90" spans="2:21" ht="16" customHeight="1" x14ac:dyDescent="0.2">
      <c r="B90" s="67" t="s">
        <v>49</v>
      </c>
      <c r="C90" s="67"/>
      <c r="D90" s="67"/>
      <c r="E90" s="68">
        <f>E80-E87</f>
        <v>4174</v>
      </c>
      <c r="F90" s="68">
        <f t="shared" ref="F90:J90" si="82">F80-F87</f>
        <v>4015</v>
      </c>
      <c r="G90" s="68">
        <f t="shared" si="82"/>
        <v>5937</v>
      </c>
      <c r="H90" s="68">
        <f t="shared" si="82"/>
        <v>8051</v>
      </c>
      <c r="I90" s="68">
        <f t="shared" si="82"/>
        <v>6732</v>
      </c>
      <c r="J90" s="69">
        <f>J80-J87</f>
        <v>8462</v>
      </c>
      <c r="K90" s="68">
        <f ca="1">K80-K87</f>
        <v>10413.991821337591</v>
      </c>
      <c r="L90" s="68">
        <f t="shared" ref="L90:U90" ca="1" si="83">L80-L87</f>
        <v>11647.011139845728</v>
      </c>
      <c r="M90" s="68">
        <f t="shared" ca="1" si="83"/>
        <v>13302.147645392208</v>
      </c>
      <c r="N90" s="68">
        <f t="shared" ca="1" si="83"/>
        <v>15024.427114482743</v>
      </c>
      <c r="O90" s="68">
        <f ca="1">O80-O87</f>
        <v>16777.886894265808</v>
      </c>
      <c r="P90" s="68">
        <f t="shared" ca="1" si="83"/>
        <v>18520.074587276347</v>
      </c>
      <c r="Q90" s="68">
        <f t="shared" ca="1" si="83"/>
        <v>20203.52899453383</v>
      </c>
      <c r="R90" s="68">
        <f t="shared" ca="1" si="83"/>
        <v>21777.836165291716</v>
      </c>
      <c r="S90" s="68">
        <f t="shared" ca="1" si="83"/>
        <v>23192.152571618906</v>
      </c>
      <c r="T90" s="68">
        <f t="shared" ca="1" si="83"/>
        <v>24398.023407506123</v>
      </c>
      <c r="U90" s="68">
        <f t="shared" ca="1" si="83"/>
        <v>24967.390236676642</v>
      </c>
    </row>
    <row r="91" spans="2:21" ht="16" customHeight="1" x14ac:dyDescent="0.2">
      <c r="E91" s="61"/>
      <c r="F91" s="61"/>
      <c r="G91" s="61"/>
      <c r="H91" s="61"/>
      <c r="I91" s="61"/>
      <c r="J91" s="70"/>
      <c r="K91" s="61"/>
      <c r="L91" s="61"/>
      <c r="M91" s="61"/>
      <c r="N91" s="61"/>
      <c r="O91" s="61"/>
      <c r="P91" s="61"/>
      <c r="Q91" s="61"/>
      <c r="R91" s="61"/>
      <c r="S91" s="61"/>
      <c r="T91" s="61"/>
      <c r="U91" s="61"/>
    </row>
    <row r="92" spans="2:21" ht="16" customHeight="1" x14ac:dyDescent="0.2">
      <c r="B92" s="5" t="s">
        <v>50</v>
      </c>
      <c r="E92" s="36">
        <f>'Financials + KPIs'!Q45</f>
        <v>373</v>
      </c>
      <c r="F92" s="36">
        <f>'Financials + KPIs'!R45</f>
        <v>436</v>
      </c>
      <c r="G92" s="36">
        <f>'Financials + KPIs'!S45</f>
        <v>459</v>
      </c>
      <c r="H92" s="36">
        <f>'Financials + KPIs'!T45</f>
        <v>522</v>
      </c>
      <c r="I92" s="36">
        <f>'Financials + KPIs'!U45</f>
        <v>580</v>
      </c>
      <c r="J92" s="37">
        <f>'Financials + KPIs'!V45</f>
        <v>726</v>
      </c>
      <c r="K92" s="49">
        <f ca="1">K77*K93</f>
        <v>768.25013523987161</v>
      </c>
      <c r="L92" s="49">
        <f t="shared" ref="L92:U92" ca="1" si="84">L77*L93</f>
        <v>868.18137920292475</v>
      </c>
      <c r="M92" s="49">
        <f ca="1">M77*M93</f>
        <v>1008.6849974834015</v>
      </c>
      <c r="N92" s="49">
        <f t="shared" ca="1" si="84"/>
        <v>1162.0391768135289</v>
      </c>
      <c r="O92" s="49">
        <f t="shared" ca="1" si="84"/>
        <v>1279.2050181569098</v>
      </c>
      <c r="P92" s="49">
        <f t="shared" ca="1" si="84"/>
        <v>1384.9412138654998</v>
      </c>
      <c r="Q92" s="49">
        <f t="shared" ca="1" si="84"/>
        <v>1510.1574409613374</v>
      </c>
      <c r="R92" s="49">
        <f t="shared" ca="1" si="84"/>
        <v>1629.0637887557853</v>
      </c>
      <c r="S92" s="49">
        <f t="shared" ca="1" si="84"/>
        <v>1730.6078312534594</v>
      </c>
      <c r="T92" s="49">
        <f t="shared" ca="1" si="84"/>
        <v>1808.0363242151873</v>
      </c>
      <c r="U92" s="49">
        <f t="shared" ca="1" si="84"/>
        <v>1868.5889816092326</v>
      </c>
    </row>
    <row r="93" spans="2:21" s="39" customFormat="1" ht="16" customHeight="1" x14ac:dyDescent="0.2">
      <c r="B93" s="39" t="s">
        <v>47</v>
      </c>
      <c r="E93" s="63">
        <f t="shared" ref="E93:J93" si="85">E92/E77</f>
        <v>3.4613956941351151E-2</v>
      </c>
      <c r="F93" s="63">
        <f t="shared" si="85"/>
        <v>3.4888373209570299E-2</v>
      </c>
      <c r="G93" s="63">
        <f t="shared" si="85"/>
        <v>3.0702341137123747E-2</v>
      </c>
      <c r="H93" s="63">
        <f t="shared" si="85"/>
        <v>3.0918675590831012E-2</v>
      </c>
      <c r="I93" s="63">
        <f t="shared" si="85"/>
        <v>3.7906019214430431E-2</v>
      </c>
      <c r="J93" s="64">
        <f t="shared" si="85"/>
        <v>3.8445244651556874E-2</v>
      </c>
      <c r="K93" s="71">
        <f>AVERAGE(F93:J93)</f>
        <v>3.4572130760702473E-2</v>
      </c>
      <c r="L93" s="71">
        <f t="shared" ref="L93:U93" si="86">AVERAGE(G93:K93)</f>
        <v>3.4508882270928909E-2</v>
      </c>
      <c r="M93" s="71">
        <f t="shared" si="86"/>
        <v>3.5270190497689938E-2</v>
      </c>
      <c r="N93" s="71">
        <f t="shared" si="86"/>
        <v>3.614049347906173E-2</v>
      </c>
      <c r="O93" s="71">
        <f t="shared" si="86"/>
        <v>3.5787388331987982E-2</v>
      </c>
      <c r="P93" s="71">
        <f t="shared" si="86"/>
        <v>3.5255817068074201E-2</v>
      </c>
      <c r="Q93" s="71">
        <f t="shared" si="86"/>
        <v>3.5392554329548555E-2</v>
      </c>
      <c r="R93" s="71">
        <f t="shared" si="86"/>
        <v>3.5569288741272478E-2</v>
      </c>
      <c r="S93" s="71">
        <f t="shared" si="86"/>
        <v>3.5629108389988985E-2</v>
      </c>
      <c r="T93" s="71">
        <f t="shared" si="86"/>
        <v>3.5526831372174432E-2</v>
      </c>
      <c r="U93" s="71">
        <f t="shared" si="86"/>
        <v>3.5474719980211733E-2</v>
      </c>
    </row>
    <row r="94" spans="2:21" s="39" customFormat="1" ht="16" customHeight="1" x14ac:dyDescent="0.2">
      <c r="B94" s="39" t="s">
        <v>51</v>
      </c>
      <c r="E94" s="63">
        <f>E92/E96</f>
        <v>1.7348837209302326</v>
      </c>
      <c r="F94" s="63">
        <f t="shared" ref="F94:U94" si="87">F92/F96</f>
        <v>1.4533333333333334</v>
      </c>
      <c r="G94" s="63">
        <f t="shared" si="87"/>
        <v>1.3909090909090909</v>
      </c>
      <c r="H94" s="63">
        <f t="shared" si="87"/>
        <v>1.2369668246445498</v>
      </c>
      <c r="I94" s="63">
        <f t="shared" si="87"/>
        <v>1.7109144542772861</v>
      </c>
      <c r="J94" s="64">
        <f t="shared" si="87"/>
        <v>1.7837837837837838</v>
      </c>
      <c r="K94" s="63">
        <f t="shared" ca="1" si="87"/>
        <v>1.5059784976721795</v>
      </c>
      <c r="L94" s="63">
        <f t="shared" ca="1" si="87"/>
        <v>1.5170902999483757</v>
      </c>
      <c r="M94" s="63">
        <f t="shared" ca="1" si="87"/>
        <v>1.5414355929015933</v>
      </c>
      <c r="N94" s="63">
        <f t="shared" ca="1" si="87"/>
        <v>1.6092081254656792</v>
      </c>
      <c r="O94" s="63">
        <f t="shared" ca="1" si="87"/>
        <v>1.5891954494820719</v>
      </c>
      <c r="P94" s="63">
        <f t="shared" ca="1" si="87"/>
        <v>1.5522651909301495</v>
      </c>
      <c r="Q94" s="63">
        <f t="shared" ca="1" si="87"/>
        <v>1.5616421743708724</v>
      </c>
      <c r="R94" s="63">
        <f t="shared" ca="1" si="87"/>
        <v>1.5705917733418513</v>
      </c>
      <c r="S94" s="63">
        <f t="shared" ca="1" si="87"/>
        <v>1.5764955625884289</v>
      </c>
      <c r="T94" s="63">
        <f t="shared" ca="1" si="87"/>
        <v>1.5700021916697717</v>
      </c>
      <c r="U94" s="63">
        <f t="shared" ca="1" si="87"/>
        <v>1.5661857758707356</v>
      </c>
    </row>
    <row r="95" spans="2:21" ht="16" customHeight="1" x14ac:dyDescent="0.2">
      <c r="E95" s="49"/>
      <c r="F95" s="49"/>
      <c r="G95" s="49"/>
      <c r="H95" s="49"/>
      <c r="I95" s="49"/>
      <c r="J95" s="72"/>
      <c r="K95" s="49"/>
      <c r="L95" s="49"/>
      <c r="M95" s="49"/>
      <c r="N95" s="49"/>
      <c r="O95" s="49"/>
      <c r="P95" s="49"/>
      <c r="Q95" s="49"/>
      <c r="R95" s="49"/>
      <c r="S95" s="49"/>
      <c r="T95" s="49"/>
      <c r="U95" s="49"/>
    </row>
    <row r="96" spans="2:21" ht="16" customHeight="1" x14ac:dyDescent="0.2">
      <c r="B96" s="5" t="s">
        <v>52</v>
      </c>
      <c r="E96" s="36">
        <f>-'Financials + KPIs'!Q46</f>
        <v>215</v>
      </c>
      <c r="F96" s="36">
        <f>-'Financials + KPIs'!R46</f>
        <v>300</v>
      </c>
      <c r="G96" s="36">
        <f>-'Financials + KPIs'!S46</f>
        <v>330</v>
      </c>
      <c r="H96" s="36">
        <f>-'Financials + KPIs'!T46</f>
        <v>422</v>
      </c>
      <c r="I96" s="36">
        <f>-'Financials + KPIs'!U46</f>
        <v>339</v>
      </c>
      <c r="J96" s="37">
        <f>-'Financials + KPIs'!V46</f>
        <v>407</v>
      </c>
      <c r="K96" s="49">
        <f ca="1">K77*K97</f>
        <v>510.13353539069175</v>
      </c>
      <c r="L96" s="49">
        <f t="shared" ref="L96:U96" ca="1" si="88">L77*L97</f>
        <v>572.26743802426768</v>
      </c>
      <c r="M96" s="49">
        <f t="shared" ca="1" si="88"/>
        <v>654.38024276100714</v>
      </c>
      <c r="N96" s="49">
        <f ca="1">N77*N97</f>
        <v>722.11863613182618</v>
      </c>
      <c r="O96" s="49">
        <f t="shared" ca="1" si="88"/>
        <v>804.9387622987532</v>
      </c>
      <c r="P96" s="49">
        <f t="shared" ca="1" si="88"/>
        <v>892.20657781781108</v>
      </c>
      <c r="Q96" s="49">
        <f t="shared" ca="1" si="88"/>
        <v>967.03167072810629</v>
      </c>
      <c r="R96" s="49">
        <f t="shared" ca="1" si="88"/>
        <v>1037.2292892439639</v>
      </c>
      <c r="S96" s="49">
        <f t="shared" ca="1" si="88"/>
        <v>1097.7562337137158</v>
      </c>
      <c r="T96" s="49">
        <f t="shared" ca="1" si="88"/>
        <v>1151.6138855145514</v>
      </c>
      <c r="U96" s="49">
        <f t="shared" ca="1" si="88"/>
        <v>1193.0825898162516</v>
      </c>
    </row>
    <row r="97" spans="1:21" s="39" customFormat="1" ht="16" customHeight="1" x14ac:dyDescent="0.2">
      <c r="B97" s="39" t="s">
        <v>47</v>
      </c>
      <c r="E97" s="63">
        <f t="shared" ref="E97:J97" si="89">E96/E77</f>
        <v>1.9951744617668892E-2</v>
      </c>
      <c r="F97" s="63">
        <f t="shared" si="89"/>
        <v>2.4005761382731857E-2</v>
      </c>
      <c r="G97" s="63">
        <f t="shared" si="89"/>
        <v>2.2073578595317726E-2</v>
      </c>
      <c r="H97" s="63">
        <f t="shared" si="89"/>
        <v>2.4995557661553043E-2</v>
      </c>
      <c r="I97" s="63">
        <f t="shared" si="89"/>
        <v>2.2155414678779163E-2</v>
      </c>
      <c r="J97" s="64">
        <f t="shared" si="89"/>
        <v>2.155263715314552E-2</v>
      </c>
      <c r="K97" s="71">
        <f>AVERAGE(F97:J97)</f>
        <v>2.2956589894305459E-2</v>
      </c>
      <c r="L97" s="71">
        <f t="shared" ref="L97:U97" si="90">AVERAGE(G97:K97)</f>
        <v>2.2746755596620184E-2</v>
      </c>
      <c r="M97" s="71">
        <f t="shared" si="90"/>
        <v>2.2881390996880673E-2</v>
      </c>
      <c r="N97" s="71">
        <f t="shared" si="90"/>
        <v>2.2458557663946201E-2</v>
      </c>
      <c r="O97" s="71">
        <f t="shared" si="90"/>
        <v>2.2519186260979606E-2</v>
      </c>
      <c r="P97" s="71">
        <f t="shared" si="90"/>
        <v>2.2712496082546427E-2</v>
      </c>
      <c r="Q97" s="71">
        <f t="shared" si="90"/>
        <v>2.2663677320194621E-2</v>
      </c>
      <c r="R97" s="71">
        <f t="shared" si="90"/>
        <v>2.2647061664909506E-2</v>
      </c>
      <c r="S97" s="71">
        <f t="shared" si="90"/>
        <v>2.2600195798515271E-2</v>
      </c>
      <c r="T97" s="71">
        <f t="shared" si="90"/>
        <v>2.2628523425429085E-2</v>
      </c>
      <c r="U97" s="71">
        <f t="shared" si="90"/>
        <v>2.2650390858318981E-2</v>
      </c>
    </row>
    <row r="98" spans="1:21" ht="16" customHeight="1" x14ac:dyDescent="0.2">
      <c r="B98" s="39"/>
      <c r="E98" s="49"/>
      <c r="F98" s="49"/>
      <c r="G98" s="49"/>
      <c r="H98" s="49"/>
      <c r="I98" s="49"/>
      <c r="J98" s="72"/>
      <c r="K98" s="49"/>
      <c r="L98" s="49"/>
      <c r="M98" s="49"/>
      <c r="N98" s="49"/>
      <c r="O98" s="49"/>
      <c r="P98" s="49"/>
      <c r="Q98" s="49"/>
      <c r="R98" s="49"/>
      <c r="S98" s="49"/>
      <c r="T98" s="49"/>
      <c r="U98" s="49"/>
    </row>
    <row r="99" spans="1:21" ht="16" customHeight="1" x14ac:dyDescent="0.2">
      <c r="B99" s="5" t="s">
        <v>53</v>
      </c>
      <c r="E99" s="36">
        <f>'Financials + KPIs'!Q47</f>
        <v>-290</v>
      </c>
      <c r="F99" s="36">
        <f>'Financials + KPIs'!R47</f>
        <v>-465</v>
      </c>
      <c r="G99" s="36">
        <f>'Financials + KPIs'!S47</f>
        <v>-522</v>
      </c>
      <c r="H99" s="36">
        <f>'Financials + KPIs'!T47</f>
        <v>728</v>
      </c>
      <c r="I99" s="36">
        <f>'Financials + KPIs'!U47</f>
        <v>16</v>
      </c>
      <c r="J99" s="37">
        <f>'Financials + KPIs'!V47</f>
        <v>-632</v>
      </c>
      <c r="K99" s="49">
        <f ca="1">K77*K100</f>
        <v>-327.17126873626904</v>
      </c>
      <c r="L99" s="49">
        <f t="shared" ref="L99:U99" ca="1" si="91">L77*L100</f>
        <v>-319.29908199457196</v>
      </c>
      <c r="M99" s="49">
        <f ca="1">M77*M100</f>
        <v>-246.10513936825257</v>
      </c>
      <c r="N99" s="49">
        <f t="shared" ca="1" si="91"/>
        <v>-135.69623493165599</v>
      </c>
      <c r="O99" s="49">
        <f t="shared" ca="1" si="91"/>
        <v>-432.88020431834769</v>
      </c>
      <c r="P99" s="49">
        <f t="shared" ca="1" si="91"/>
        <v>-561.86145605932438</v>
      </c>
      <c r="Q99" s="49">
        <f t="shared" ca="1" si="91"/>
        <v>-474.00666063527717</v>
      </c>
      <c r="R99" s="49">
        <f t="shared" ca="1" si="91"/>
        <v>-481.20072887772426</v>
      </c>
      <c r="S99" s="49">
        <f t="shared" ca="1" si="91"/>
        <v>-492.64822900800806</v>
      </c>
      <c r="T99" s="49">
        <f t="shared" ca="1" si="91"/>
        <v>-529.20839327245324</v>
      </c>
      <c r="U99" s="49">
        <f t="shared" ca="1" si="91"/>
        <v>-601.97500108011707</v>
      </c>
    </row>
    <row r="100" spans="1:21" s="39" customFormat="1" ht="16" customHeight="1" x14ac:dyDescent="0.2">
      <c r="B100" s="39" t="s">
        <v>47</v>
      </c>
      <c r="E100" s="63">
        <f t="shared" ref="E100:J100" si="92">E99/E77</f>
        <v>-2.6911655530809205E-2</v>
      </c>
      <c r="F100" s="63">
        <f t="shared" si="92"/>
        <v>-3.7208930143234377E-2</v>
      </c>
      <c r="G100" s="63">
        <f t="shared" si="92"/>
        <v>-3.4916387959866221E-2</v>
      </c>
      <c r="H100" s="63">
        <f t="shared" si="92"/>
        <v>4.3120298525143638E-2</v>
      </c>
      <c r="I100" s="63">
        <f t="shared" si="92"/>
        <v>1.045683288673943E-3</v>
      </c>
      <c r="J100" s="64">
        <f t="shared" si="92"/>
        <v>-3.3467485702181742E-2</v>
      </c>
      <c r="K100" s="71">
        <f>AVERAGE(E100:J100)</f>
        <v>-1.472307958704566E-2</v>
      </c>
      <c r="L100" s="71">
        <f t="shared" ref="L100:U100" si="93">AVERAGE(F100:K100)</f>
        <v>-1.2691650263085072E-2</v>
      </c>
      <c r="M100" s="71">
        <f t="shared" si="93"/>
        <v>-8.605436949726852E-3</v>
      </c>
      <c r="N100" s="71">
        <f t="shared" si="93"/>
        <v>-4.2202784480369565E-3</v>
      </c>
      <c r="O100" s="71">
        <f t="shared" si="93"/>
        <v>-1.2110374610233725E-2</v>
      </c>
      <c r="P100" s="71">
        <f t="shared" si="93"/>
        <v>-1.4303050926718333E-2</v>
      </c>
      <c r="Q100" s="71">
        <f t="shared" si="93"/>
        <v>-1.1108978464141099E-2</v>
      </c>
      <c r="R100" s="71">
        <f t="shared" si="93"/>
        <v>-1.0506628276990339E-2</v>
      </c>
      <c r="S100" s="71">
        <f t="shared" si="93"/>
        <v>-1.0142457945974551E-2</v>
      </c>
      <c r="T100" s="71">
        <f t="shared" si="93"/>
        <v>-1.0398628112015832E-2</v>
      </c>
      <c r="U100" s="71">
        <f t="shared" si="93"/>
        <v>-1.1428353056012313E-2</v>
      </c>
    </row>
    <row r="101" spans="1:21" s="39" customFormat="1" ht="16" customHeight="1" x14ac:dyDescent="0.2">
      <c r="B101" s="39" t="s">
        <v>54</v>
      </c>
      <c r="E101" s="73"/>
      <c r="F101" s="63">
        <f t="shared" ref="F101:U101" si="94">F99/(F77-E77)</f>
        <v>-0.27019174898314935</v>
      </c>
      <c r="G101" s="63">
        <f t="shared" si="94"/>
        <v>-0.21280065226253567</v>
      </c>
      <c r="H101" s="63">
        <f t="shared" si="94"/>
        <v>0.3766166580444904</v>
      </c>
      <c r="I101" s="63">
        <f t="shared" si="94"/>
        <v>-1.0113780025284451E-2</v>
      </c>
      <c r="J101" s="64">
        <f t="shared" si="94"/>
        <v>-0.17638850125593078</v>
      </c>
      <c r="K101" s="63">
        <f t="shared" ca="1" si="94"/>
        <v>-9.8024145280306979E-2</v>
      </c>
      <c r="L101" s="63">
        <f t="shared" ca="1" si="94"/>
        <v>-0.10873307621487655</v>
      </c>
      <c r="M101" s="63">
        <f t="shared" ca="1" si="94"/>
        <v>-7.1529800536617269E-2</v>
      </c>
      <c r="N101" s="63">
        <f t="shared" ca="1" si="94"/>
        <v>-3.817495529170932E-2</v>
      </c>
      <c r="O101" s="63">
        <f t="shared" ca="1" si="94"/>
        <v>-0.12053943583143058</v>
      </c>
      <c r="P101" s="63">
        <f t="shared" ca="1" si="94"/>
        <v>-0.15880522282701087</v>
      </c>
      <c r="Q101" s="63">
        <f t="shared" ca="1" si="94"/>
        <v>-0.13998356699058709</v>
      </c>
      <c r="R101" s="63">
        <f t="shared" ca="1" si="94"/>
        <v>-0.1536921014619245</v>
      </c>
      <c r="S101" s="63">
        <f t="shared" ca="1" si="94"/>
        <v>-0.17765030278202881</v>
      </c>
      <c r="T101" s="63">
        <f t="shared" ca="1" si="94"/>
        <v>-0.22817867976911674</v>
      </c>
      <c r="U101" s="63">
        <f t="shared" ca="1" si="94"/>
        <v>-0.33786868239895673</v>
      </c>
    </row>
    <row r="102" spans="1:21" ht="16" customHeight="1" x14ac:dyDescent="0.2">
      <c r="B102" s="39"/>
      <c r="E102" s="49"/>
      <c r="F102" s="74"/>
      <c r="G102" s="74"/>
      <c r="H102" s="74"/>
      <c r="I102" s="74"/>
      <c r="J102" s="75"/>
      <c r="K102" s="74"/>
      <c r="L102" s="74"/>
      <c r="M102" s="74"/>
      <c r="N102" s="74"/>
      <c r="O102" s="74"/>
      <c r="P102" s="74"/>
      <c r="Q102" s="74"/>
      <c r="R102" s="74"/>
      <c r="S102" s="74"/>
      <c r="T102" s="74"/>
      <c r="U102" s="74"/>
    </row>
    <row r="103" spans="1:21" ht="16" customHeight="1" x14ac:dyDescent="0.2">
      <c r="B103" s="53" t="s">
        <v>55</v>
      </c>
      <c r="C103" s="53"/>
      <c r="D103" s="53"/>
      <c r="E103" s="76">
        <f>E90+E92-E96-E99</f>
        <v>4622</v>
      </c>
      <c r="F103" s="76">
        <f t="shared" ref="F103:U103" si="95">F90+F92-F96-F99</f>
        <v>4616</v>
      </c>
      <c r="G103" s="76">
        <f t="shared" si="95"/>
        <v>6588</v>
      </c>
      <c r="H103" s="76">
        <f t="shared" si="95"/>
        <v>7423</v>
      </c>
      <c r="I103" s="76">
        <f t="shared" si="95"/>
        <v>6957</v>
      </c>
      <c r="J103" s="77">
        <f t="shared" si="95"/>
        <v>9413</v>
      </c>
      <c r="K103" s="76">
        <f ca="1">K90+K92-K96-K99</f>
        <v>10999.27968992304</v>
      </c>
      <c r="L103" s="76">
        <f t="shared" ca="1" si="95"/>
        <v>12262.224163018956</v>
      </c>
      <c r="M103" s="76">
        <f t="shared" ca="1" si="95"/>
        <v>13902.557539482854</v>
      </c>
      <c r="N103" s="76">
        <f t="shared" ca="1" si="95"/>
        <v>15600.043890096102</v>
      </c>
      <c r="O103" s="76">
        <f t="shared" ca="1" si="95"/>
        <v>17685.033354442312</v>
      </c>
      <c r="P103" s="76">
        <f t="shared" ca="1" si="95"/>
        <v>19574.670679383358</v>
      </c>
      <c r="Q103" s="76">
        <f t="shared" ca="1" si="95"/>
        <v>21220.661425402341</v>
      </c>
      <c r="R103" s="76">
        <f t="shared" ca="1" si="95"/>
        <v>22850.87139368126</v>
      </c>
      <c r="S103" s="76">
        <f t="shared" ca="1" si="95"/>
        <v>24317.652398166658</v>
      </c>
      <c r="T103" s="76">
        <f t="shared" ca="1" si="95"/>
        <v>25583.654239479212</v>
      </c>
      <c r="U103" s="76">
        <f t="shared" ca="1" si="95"/>
        <v>26244.87162954974</v>
      </c>
    </row>
    <row r="104" spans="1:21" s="39" customFormat="1" ht="16" customHeight="1" x14ac:dyDescent="0.2">
      <c r="B104" s="39" t="s">
        <v>47</v>
      </c>
      <c r="E104" s="78">
        <f t="shared" ref="E104:U104" si="96">E103/E77</f>
        <v>0.42891610987379364</v>
      </c>
      <c r="F104" s="78">
        <f t="shared" si="96"/>
        <v>0.36936864847563416</v>
      </c>
      <c r="G104" s="78">
        <f t="shared" si="96"/>
        <v>0.44066889632107026</v>
      </c>
      <c r="H104" s="78">
        <f t="shared" si="96"/>
        <v>0.43967304389030387</v>
      </c>
      <c r="I104" s="78">
        <f t="shared" si="96"/>
        <v>0.45467616495653879</v>
      </c>
      <c r="J104" s="64">
        <f t="shared" si="96"/>
        <v>0.49846430840923533</v>
      </c>
      <c r="K104" s="78">
        <f t="shared" ca="1" si="96"/>
        <v>0.49498010904329565</v>
      </c>
      <c r="L104" s="78">
        <f t="shared" ca="1" si="96"/>
        <v>0.48740466008365568</v>
      </c>
      <c r="M104" s="78">
        <f t="shared" ca="1" si="96"/>
        <v>0.48612386825028064</v>
      </c>
      <c r="N104" s="78">
        <f t="shared" ca="1" si="96"/>
        <v>0.48517579762594026</v>
      </c>
      <c r="O104" s="78">
        <f t="shared" ca="1" si="96"/>
        <v>0.4947613145166338</v>
      </c>
      <c r="P104" s="78">
        <f t="shared" ca="1" si="96"/>
        <v>0.49830346712980217</v>
      </c>
      <c r="Q104" s="78">
        <f t="shared" ca="1" si="96"/>
        <v>0.49733451098277631</v>
      </c>
      <c r="R104" s="78">
        <f t="shared" ca="1" si="96"/>
        <v>0.49893027406392026</v>
      </c>
      <c r="S104" s="78">
        <f t="shared" ca="1" si="96"/>
        <v>0.50064275535886149</v>
      </c>
      <c r="T104" s="78">
        <f t="shared" ca="1" si="96"/>
        <v>0.50270348990058134</v>
      </c>
      <c r="U104" s="78">
        <f t="shared" ca="1" si="96"/>
        <v>0.49825268217790503</v>
      </c>
    </row>
    <row r="105" spans="1:21" ht="16" customHeight="1" x14ac:dyDescent="0.2">
      <c r="E105" s="38"/>
      <c r="F105" s="79"/>
      <c r="G105" s="79"/>
      <c r="H105" s="79"/>
      <c r="I105" s="79"/>
      <c r="J105" s="80"/>
      <c r="K105" s="81"/>
      <c r="L105" s="81"/>
      <c r="M105" s="81"/>
      <c r="N105" s="81"/>
      <c r="O105" s="81"/>
      <c r="P105" s="81"/>
      <c r="Q105" s="81"/>
      <c r="R105" s="81"/>
      <c r="S105" s="81"/>
      <c r="T105" s="81"/>
      <c r="U105" s="81"/>
    </row>
    <row r="106" spans="1:21" ht="16" customHeight="1" x14ac:dyDescent="0.2">
      <c r="J106" s="42"/>
      <c r="K106" s="82">
        <v>0.25</v>
      </c>
      <c r="L106" s="82">
        <v>0.75</v>
      </c>
      <c r="U106" s="17"/>
    </row>
    <row r="107" spans="1:21" ht="16" customHeight="1" x14ac:dyDescent="0.2">
      <c r="A107" s="5" t="s">
        <v>11</v>
      </c>
      <c r="B107" s="12" t="s">
        <v>56</v>
      </c>
      <c r="C107" s="12"/>
      <c r="D107" s="12"/>
      <c r="E107" s="83"/>
      <c r="F107" s="83"/>
      <c r="G107" s="83"/>
      <c r="H107" s="83"/>
      <c r="I107" s="83"/>
      <c r="J107" s="83"/>
      <c r="K107" s="83">
        <v>1</v>
      </c>
      <c r="L107" s="83">
        <f>K107+1</f>
        <v>2</v>
      </c>
      <c r="M107" s="83">
        <f t="shared" ref="M107:T107" si="97">L107+1</f>
        <v>3</v>
      </c>
      <c r="N107" s="83">
        <f t="shared" si="97"/>
        <v>4</v>
      </c>
      <c r="O107" s="83">
        <f t="shared" si="97"/>
        <v>5</v>
      </c>
      <c r="P107" s="83">
        <f t="shared" si="97"/>
        <v>6</v>
      </c>
      <c r="Q107" s="83">
        <f t="shared" si="97"/>
        <v>7</v>
      </c>
      <c r="R107" s="83">
        <f t="shared" si="97"/>
        <v>8</v>
      </c>
      <c r="S107" s="83">
        <f t="shared" si="97"/>
        <v>9</v>
      </c>
      <c r="T107" s="83">
        <f t="shared" si="97"/>
        <v>10</v>
      </c>
      <c r="U107" s="83"/>
    </row>
    <row r="108" spans="1:21" s="84" customFormat="1" ht="16" customHeight="1" x14ac:dyDescent="0.2">
      <c r="B108" s="12" t="s">
        <v>41</v>
      </c>
      <c r="C108" s="12"/>
      <c r="D108" s="12"/>
      <c r="E108" s="83"/>
      <c r="F108" s="83"/>
      <c r="G108" s="83"/>
      <c r="H108" s="83"/>
      <c r="I108" s="83"/>
      <c r="J108" s="83"/>
      <c r="K108" s="35">
        <v>45192</v>
      </c>
      <c r="L108" s="35">
        <f>EDATE(K108,12)</f>
        <v>45558</v>
      </c>
      <c r="M108" s="35">
        <f t="shared" ref="M108:T108" si="98">EDATE(L108,12)</f>
        <v>45923</v>
      </c>
      <c r="N108" s="35">
        <f t="shared" si="98"/>
        <v>46288</v>
      </c>
      <c r="O108" s="35">
        <f t="shared" si="98"/>
        <v>46653</v>
      </c>
      <c r="P108" s="35">
        <f t="shared" si="98"/>
        <v>47019</v>
      </c>
      <c r="Q108" s="35">
        <f t="shared" si="98"/>
        <v>47384</v>
      </c>
      <c r="R108" s="35">
        <f t="shared" si="98"/>
        <v>47749</v>
      </c>
      <c r="S108" s="35">
        <f t="shared" si="98"/>
        <v>48114</v>
      </c>
      <c r="T108" s="35">
        <f t="shared" si="98"/>
        <v>48480</v>
      </c>
      <c r="U108" s="83"/>
    </row>
    <row r="109" spans="1:21" ht="16" customHeight="1" x14ac:dyDescent="0.2">
      <c r="B109" s="5" t="s">
        <v>57</v>
      </c>
      <c r="E109" s="85"/>
      <c r="F109" s="85"/>
      <c r="G109" s="85"/>
      <c r="H109" s="85"/>
      <c r="I109" s="85"/>
      <c r="J109" s="80"/>
      <c r="K109" s="86">
        <f t="shared" ref="K109:T109" ca="1" si="99">$K$106*K103+$L$106*L103</f>
        <v>11946.488044744978</v>
      </c>
      <c r="L109" s="86">
        <f t="shared" ca="1" si="99"/>
        <v>13492.474195366878</v>
      </c>
      <c r="M109" s="86">
        <f t="shared" ca="1" si="99"/>
        <v>15175.67230244279</v>
      </c>
      <c r="N109" s="86">
        <f t="shared" ca="1" si="99"/>
        <v>17163.785988355761</v>
      </c>
      <c r="O109" s="86">
        <f t="shared" ca="1" si="99"/>
        <v>19102.261348148095</v>
      </c>
      <c r="P109" s="86">
        <f t="shared" ca="1" si="99"/>
        <v>20809.163738897594</v>
      </c>
      <c r="Q109" s="86">
        <f t="shared" ca="1" si="99"/>
        <v>22443.318901611532</v>
      </c>
      <c r="R109" s="86">
        <f t="shared" ca="1" si="99"/>
        <v>23950.957147045308</v>
      </c>
      <c r="S109" s="86">
        <f t="shared" ca="1" si="99"/>
        <v>25267.153779151071</v>
      </c>
      <c r="T109" s="86">
        <f t="shared" ca="1" si="99"/>
        <v>26079.567282032105</v>
      </c>
      <c r="U109" s="17"/>
    </row>
    <row r="110" spans="1:21" s="39" customFormat="1" ht="16" customHeight="1" x14ac:dyDescent="0.2">
      <c r="B110" s="39" t="s">
        <v>42</v>
      </c>
      <c r="J110" s="87"/>
      <c r="L110" s="40">
        <f ca="1">L109/K109-1</f>
        <v>0.12940925775269574</v>
      </c>
      <c r="M110" s="40">
        <f t="shared" ref="M110:T110" ca="1" si="100">M109/L109-1</f>
        <v>0.12475088576814897</v>
      </c>
      <c r="N110" s="40">
        <f t="shared" ca="1" si="100"/>
        <v>0.13100662997269308</v>
      </c>
      <c r="O110" s="40">
        <f t="shared" ca="1" si="100"/>
        <v>0.11293984678598479</v>
      </c>
      <c r="P110" s="40">
        <f t="shared" ca="1" si="100"/>
        <v>8.9356037991542792E-2</v>
      </c>
      <c r="Q110" s="40">
        <f t="shared" ca="1" si="100"/>
        <v>7.853055428937239E-2</v>
      </c>
      <c r="R110" s="40">
        <f t="shared" ca="1" si="100"/>
        <v>6.7175369741126811E-2</v>
      </c>
      <c r="S110" s="174">
        <f t="shared" ca="1" si="100"/>
        <v>5.4953821846244422E-2</v>
      </c>
      <c r="T110" s="174">
        <f t="shared" ca="1" si="100"/>
        <v>3.2152948843465978E-2</v>
      </c>
    </row>
    <row r="111" spans="1:21" ht="16" customHeight="1" x14ac:dyDescent="0.2">
      <c r="B111" s="5" t="s">
        <v>58</v>
      </c>
      <c r="J111" s="42"/>
      <c r="T111" s="38">
        <f ca="1">T109*(1+D32)/(T114-D32)</f>
        <v>711145.27384693734</v>
      </c>
    </row>
    <row r="112" spans="1:21" ht="16" customHeight="1" x14ac:dyDescent="0.2">
      <c r="B112" s="5" t="s">
        <v>59</v>
      </c>
      <c r="J112" s="42"/>
      <c r="T112" s="88">
        <f ca="1">(T80+T92)*D33</f>
        <v>683704.23386679043</v>
      </c>
    </row>
    <row r="113" spans="2:20" ht="16" customHeight="1" x14ac:dyDescent="0.2">
      <c r="B113" s="89" t="s">
        <v>60</v>
      </c>
      <c r="C113" s="89"/>
      <c r="D113" s="89"/>
      <c r="E113" s="89"/>
      <c r="F113" s="89"/>
      <c r="G113" s="89"/>
      <c r="H113" s="89"/>
      <c r="I113" s="89"/>
      <c r="J113" s="90"/>
      <c r="K113" s="89"/>
      <c r="L113" s="89"/>
      <c r="M113" s="89"/>
      <c r="N113" s="89"/>
      <c r="O113" s="89"/>
      <c r="P113" s="89"/>
      <c r="Q113" s="89"/>
      <c r="R113" s="89"/>
      <c r="S113" s="89"/>
      <c r="T113" s="88">
        <f ca="1">AVERAGE(T111:T112)</f>
        <v>697424.75385686383</v>
      </c>
    </row>
    <row r="114" spans="2:20" ht="16" customHeight="1" x14ac:dyDescent="0.2">
      <c r="B114" s="5" t="s">
        <v>36</v>
      </c>
      <c r="J114" s="42"/>
      <c r="K114" s="91">
        <f>D31</f>
        <v>8.2956171726893735E-2</v>
      </c>
      <c r="L114" s="92">
        <f t="shared" ref="L114:S114" si="101">K114-($K$114-$T$114)/($T$107-$K$107)</f>
        <v>8.184506061578263E-2</v>
      </c>
      <c r="M114" s="92">
        <f t="shared" si="101"/>
        <v>8.0733949504671526E-2</v>
      </c>
      <c r="N114" s="92">
        <f t="shared" si="101"/>
        <v>7.9622838393560422E-2</v>
      </c>
      <c r="O114" s="92">
        <f t="shared" si="101"/>
        <v>7.8511727282449317E-2</v>
      </c>
      <c r="P114" s="92">
        <f t="shared" si="101"/>
        <v>7.7400616171338213E-2</v>
      </c>
      <c r="Q114" s="92">
        <f t="shared" si="101"/>
        <v>7.6289505060227109E-2</v>
      </c>
      <c r="R114" s="92">
        <f t="shared" si="101"/>
        <v>7.5178393949116004E-2</v>
      </c>
      <c r="S114" s="92">
        <f t="shared" si="101"/>
        <v>7.40672828380049E-2</v>
      </c>
      <c r="T114" s="91">
        <f>T22</f>
        <v>7.295617172689374E-2</v>
      </c>
    </row>
    <row r="115" spans="2:20" ht="16" customHeight="1" x14ac:dyDescent="0.2">
      <c r="B115" s="5" t="s">
        <v>61</v>
      </c>
      <c r="J115" s="42"/>
      <c r="K115" s="93">
        <f>1/(1+K114)</f>
        <v>0.92339840346944879</v>
      </c>
      <c r="L115" s="93">
        <f>K115*(1/(1+L114))</f>
        <v>0.85354034240712207</v>
      </c>
      <c r="M115" s="93">
        <f t="shared" ref="M115:T115" si="102">L115*(1/(1+M114))</f>
        <v>0.78977841197486376</v>
      </c>
      <c r="N115" s="93">
        <f t="shared" si="102"/>
        <v>0.7315317756245554</v>
      </c>
      <c r="O115" s="93">
        <f t="shared" si="102"/>
        <v>0.67827892559667635</v>
      </c>
      <c r="P115" s="93">
        <f t="shared" si="102"/>
        <v>0.62955126943124939</v>
      </c>
      <c r="Q115" s="93">
        <f t="shared" si="102"/>
        <v>0.58492744421587661</v>
      </c>
      <c r="R115" s="93">
        <f t="shared" si="102"/>
        <v>0.54402827243155982</v>
      </c>
      <c r="S115" s="93">
        <f t="shared" si="102"/>
        <v>0.50651228384322022</v>
      </c>
      <c r="T115" s="93">
        <f t="shared" si="102"/>
        <v>0.47207173712231176</v>
      </c>
    </row>
    <row r="116" spans="2:20" ht="16" customHeight="1" x14ac:dyDescent="0.2">
      <c r="J116" s="42"/>
    </row>
    <row r="117" spans="2:20" ht="16" customHeight="1" x14ac:dyDescent="0.2">
      <c r="B117" s="67" t="s">
        <v>62</v>
      </c>
      <c r="C117" s="67"/>
      <c r="D117" s="67"/>
      <c r="E117" s="67"/>
      <c r="F117" s="67"/>
      <c r="G117" s="67"/>
      <c r="H117" s="67"/>
      <c r="I117" s="67"/>
      <c r="J117" s="94"/>
      <c r="K117" s="95">
        <f t="shared" ref="K117:T117" ca="1" si="103">K115*K109</f>
        <v>11031.36798758437</v>
      </c>
      <c r="L117" s="95">
        <f t="shared" ca="1" si="103"/>
        <v>11516.371044632704</v>
      </c>
      <c r="M117" s="95">
        <f t="shared" ca="1" si="103"/>
        <v>11985.418371674192</v>
      </c>
      <c r="N117" s="95">
        <f t="shared" ca="1" si="103"/>
        <v>12555.854840501755</v>
      </c>
      <c r="O117" s="95">
        <f t="shared" ca="1" si="103"/>
        <v>12956.661303688808</v>
      </c>
      <c r="P117" s="95">
        <f t="shared" ca="1" si="103"/>
        <v>13100.435447625705</v>
      </c>
      <c r="Q117" s="95">
        <f t="shared" ca="1" si="103"/>
        <v>13127.713164841509</v>
      </c>
      <c r="R117" s="95">
        <f t="shared" ca="1" si="103"/>
        <v>13029.997839789379</v>
      </c>
      <c r="S117" s="95">
        <f t="shared" ca="1" si="103"/>
        <v>12798.123766895662</v>
      </c>
      <c r="T117" s="95">
        <f t="shared" ca="1" si="103"/>
        <v>12311.426630227103</v>
      </c>
    </row>
    <row r="118" spans="2:20" ht="16" customHeight="1" x14ac:dyDescent="0.2">
      <c r="B118" s="5" t="s">
        <v>63</v>
      </c>
      <c r="T118" s="38">
        <f ca="1">T115*T113</f>
        <v>329234.51506531041</v>
      </c>
    </row>
    <row r="120" spans="2:20" ht="16" customHeight="1" x14ac:dyDescent="0.2">
      <c r="B120" s="96" t="s">
        <v>64</v>
      </c>
      <c r="C120" s="53"/>
      <c r="D120" s="54">
        <f ca="1">SUM(K117:T118)</f>
        <v>453647.88546277158</v>
      </c>
    </row>
    <row r="122" spans="2:20" ht="16" customHeight="1" x14ac:dyDescent="0.2">
      <c r="B122" s="5" t="s">
        <v>65</v>
      </c>
      <c r="D122" s="97">
        <f>T9</f>
        <v>8045</v>
      </c>
    </row>
    <row r="123" spans="2:20" ht="16" customHeight="1" x14ac:dyDescent="0.2">
      <c r="B123" s="5" t="s">
        <v>66</v>
      </c>
      <c r="D123" s="97">
        <f>T10</f>
        <v>1019</v>
      </c>
    </row>
    <row r="124" spans="2:20" ht="16" customHeight="1" x14ac:dyDescent="0.2">
      <c r="B124" s="5" t="s">
        <v>67</v>
      </c>
      <c r="D124" s="97">
        <f>T11</f>
        <v>14534</v>
      </c>
    </row>
    <row r="125" spans="2:20" ht="16" customHeight="1" x14ac:dyDescent="0.2">
      <c r="B125" s="5" t="s">
        <v>68</v>
      </c>
      <c r="D125" s="97">
        <f>T12</f>
        <v>0</v>
      </c>
      <c r="H125" s="5" t="s">
        <v>69</v>
      </c>
    </row>
    <row r="126" spans="2:20" ht="16" customHeight="1" x14ac:dyDescent="0.2">
      <c r="B126" s="96" t="s">
        <v>70</v>
      </c>
      <c r="C126" s="53"/>
      <c r="D126" s="98">
        <f ca="1">D120+D122+D123-D124-D125</f>
        <v>448177.88546277158</v>
      </c>
    </row>
    <row r="127" spans="2:20" ht="16" customHeight="1" x14ac:dyDescent="0.2">
      <c r="D127" s="61"/>
    </row>
    <row r="128" spans="2:20" ht="16" customHeight="1" x14ac:dyDescent="0.2">
      <c r="B128" s="89" t="s">
        <v>71</v>
      </c>
      <c r="C128" s="89"/>
      <c r="D128" s="99">
        <f>T16</f>
        <v>977</v>
      </c>
    </row>
    <row r="129" spans="1:21" ht="16" customHeight="1" x14ac:dyDescent="0.2">
      <c r="B129" s="100" t="s">
        <v>2</v>
      </c>
      <c r="D129" s="101">
        <f ca="1">D126/D128</f>
        <v>458.72864428124012</v>
      </c>
    </row>
    <row r="131" spans="1:21" ht="16" customHeight="1" x14ac:dyDescent="0.2">
      <c r="A131" s="5" t="s">
        <v>11</v>
      </c>
      <c r="B131" s="12" t="s">
        <v>72</v>
      </c>
      <c r="C131" s="102"/>
      <c r="D131" s="102"/>
      <c r="E131" s="103"/>
      <c r="F131" s="103"/>
      <c r="G131" s="103"/>
      <c r="H131" s="103"/>
      <c r="I131" s="103"/>
      <c r="J131" s="103"/>
      <c r="K131" s="103"/>
      <c r="L131" s="103"/>
      <c r="M131" s="103"/>
      <c r="N131" s="103"/>
      <c r="O131" s="103"/>
      <c r="P131" s="103"/>
      <c r="Q131" s="103"/>
      <c r="R131" s="103"/>
      <c r="S131" s="103"/>
      <c r="T131" s="103"/>
      <c r="U131" s="103"/>
    </row>
    <row r="133" spans="1:21" ht="16" customHeight="1" x14ac:dyDescent="0.2">
      <c r="B133" s="5" t="s">
        <v>37</v>
      </c>
      <c r="D133" s="104">
        <f>D32</f>
        <v>3.5000000000000003E-2</v>
      </c>
      <c r="F133" s="5" t="s">
        <v>73</v>
      </c>
      <c r="H133" s="23">
        <v>5.0000000000000001E-3</v>
      </c>
      <c r="J133" s="5" t="s">
        <v>74</v>
      </c>
      <c r="L133" s="105">
        <f>D33</f>
        <v>21</v>
      </c>
      <c r="N133" s="5" t="s">
        <v>75</v>
      </c>
      <c r="P133" s="106">
        <v>1</v>
      </c>
    </row>
    <row r="134" spans="1:21" ht="16" customHeight="1" x14ac:dyDescent="0.2">
      <c r="B134" s="5" t="s">
        <v>36</v>
      </c>
      <c r="D134" s="104">
        <f>D31</f>
        <v>8.2956171726893735E-2</v>
      </c>
      <c r="F134" s="5" t="s">
        <v>76</v>
      </c>
      <c r="H134" s="23">
        <v>5.0000000000000001E-3</v>
      </c>
      <c r="J134" s="5" t="s">
        <v>77</v>
      </c>
      <c r="L134" s="104">
        <f>D31</f>
        <v>8.2956171726893735E-2</v>
      </c>
      <c r="N134" s="5" t="s">
        <v>76</v>
      </c>
      <c r="P134" s="23">
        <v>5.0000000000000001E-3</v>
      </c>
    </row>
    <row r="136" spans="1:21" ht="16" customHeight="1" x14ac:dyDescent="0.2">
      <c r="D136" s="107" t="s">
        <v>37</v>
      </c>
      <c r="E136" s="107"/>
      <c r="F136" s="107"/>
      <c r="G136" s="107"/>
      <c r="H136" s="107"/>
      <c r="L136" s="107" t="s">
        <v>38</v>
      </c>
      <c r="M136" s="107"/>
      <c r="N136" s="107"/>
      <c r="O136" s="107"/>
      <c r="P136" s="107"/>
    </row>
    <row r="137" spans="1:21" ht="16" customHeight="1" x14ac:dyDescent="0.2">
      <c r="D137" s="107"/>
      <c r="E137" s="107"/>
      <c r="F137" s="107"/>
      <c r="G137" s="107"/>
      <c r="H137" s="107"/>
      <c r="L137" s="107"/>
      <c r="M137" s="107"/>
      <c r="N137" s="107"/>
      <c r="O137" s="107"/>
      <c r="P137" s="107"/>
    </row>
    <row r="138" spans="1:21" ht="16" customHeight="1" x14ac:dyDescent="0.2">
      <c r="C138" s="101">
        <f ca="1">D129</f>
        <v>458.72864428124012</v>
      </c>
      <c r="D138" s="108">
        <f>E138-H133</f>
        <v>2.5000000000000001E-2</v>
      </c>
      <c r="E138" s="108">
        <f>F138-H133</f>
        <v>3.0000000000000002E-2</v>
      </c>
      <c r="F138" s="109">
        <f>CHOOSE(D27,H27,L27,P27,H32)</f>
        <v>3.5000000000000003E-2</v>
      </c>
      <c r="G138" s="108">
        <f>F138+H133</f>
        <v>0.04</v>
      </c>
      <c r="H138" s="108">
        <f>G138+H133</f>
        <v>4.4999999999999998E-2</v>
      </c>
      <c r="K138" s="101">
        <f ca="1">D129</f>
        <v>458.72864428124012</v>
      </c>
      <c r="L138" s="110">
        <f>M138-P133</f>
        <v>19</v>
      </c>
      <c r="M138" s="110">
        <f>N138-P133</f>
        <v>20</v>
      </c>
      <c r="N138" s="110">
        <f>CHOOSE(D28,H28,L28,P28,H33)</f>
        <v>21</v>
      </c>
      <c r="O138" s="110">
        <f>N138+P133</f>
        <v>22</v>
      </c>
      <c r="P138" s="110">
        <f>O138+P133</f>
        <v>23</v>
      </c>
    </row>
    <row r="139" spans="1:21" ht="16" customHeight="1" x14ac:dyDescent="0.2">
      <c r="B139" s="107" t="s">
        <v>36</v>
      </c>
      <c r="C139" s="111">
        <f>C140-H134</f>
        <v>7.2956171726893726E-2</v>
      </c>
      <c r="D139" s="93">
        <f t="dataTable" ref="D139:H143" dt2D="1" dtr="1" r1="D32" r2="D31" ca="1"/>
        <v>496.69638955719131</v>
      </c>
      <c r="E139" s="93">
        <v>526.08148577416534</v>
      </c>
      <c r="F139" s="93">
        <v>565.97771223602388</v>
      </c>
      <c r="G139" s="93">
        <v>623.25324171778414</v>
      </c>
      <c r="H139" s="93">
        <v>712.42617692326905</v>
      </c>
      <c r="J139" s="107" t="s">
        <v>36</v>
      </c>
      <c r="K139" s="111">
        <f>K140-P134</f>
        <v>7.2956171726893726E-2</v>
      </c>
      <c r="L139" s="93">
        <f t="dataTable" ref="L139:P143" dt2D="1" dtr="1" r1="D33" r2="D31" ca="1"/>
        <v>548.70981307087379</v>
      </c>
      <c r="M139" s="93">
        <v>557.34376265344883</v>
      </c>
      <c r="N139" s="93">
        <v>565.97771223602388</v>
      </c>
      <c r="O139" s="93">
        <v>574.61166181859903</v>
      </c>
      <c r="P139" s="93">
        <v>583.24561140117407</v>
      </c>
    </row>
    <row r="140" spans="1:21" ht="16" customHeight="1" x14ac:dyDescent="0.2">
      <c r="B140" s="107"/>
      <c r="C140" s="111">
        <f>C141-H134</f>
        <v>7.795617172689373E-2</v>
      </c>
      <c r="D140" s="93">
        <v>455.65113054424421</v>
      </c>
      <c r="E140" s="112">
        <v>477.26789412689396</v>
      </c>
      <c r="F140" s="112">
        <v>505.44390365649036</v>
      </c>
      <c r="G140" s="112">
        <v>543.69854977655052</v>
      </c>
      <c r="H140" s="93">
        <v>598.61740566780873</v>
      </c>
      <c r="J140" s="107"/>
      <c r="K140" s="111">
        <f>K141-P134</f>
        <v>7.795617172689373E-2</v>
      </c>
      <c r="L140" s="93">
        <v>488.96403293943706</v>
      </c>
      <c r="M140" s="112">
        <v>497.20396829796374</v>
      </c>
      <c r="N140" s="112">
        <v>505.44390365649036</v>
      </c>
      <c r="O140" s="112">
        <v>513.68383901501704</v>
      </c>
      <c r="P140" s="93">
        <v>521.92377437354367</v>
      </c>
    </row>
    <row r="141" spans="1:21" ht="16" customHeight="1" x14ac:dyDescent="0.2">
      <c r="B141" s="107"/>
      <c r="C141" s="111">
        <f>CHOOSE(D26,H26,L26,P26,H31)</f>
        <v>8.2956171726893735E-2</v>
      </c>
      <c r="D141" s="93">
        <v>421.58890125242067</v>
      </c>
      <c r="E141" s="112">
        <v>437.9972822559356</v>
      </c>
      <c r="F141" s="113">
        <v>458.72864428124012</v>
      </c>
      <c r="G141" s="112">
        <v>485.75059193557473</v>
      </c>
      <c r="H141" s="93">
        <v>522.43836505353659</v>
      </c>
      <c r="J141" s="107"/>
      <c r="K141" s="111">
        <f>CHOOSE(D26,H26,L26,P26,H31)</f>
        <v>8.2956171726893735E-2</v>
      </c>
      <c r="L141" s="93">
        <v>442.9974240560914</v>
      </c>
      <c r="M141" s="112">
        <v>450.86303416866576</v>
      </c>
      <c r="N141" s="113">
        <v>458.72864428124012</v>
      </c>
      <c r="O141" s="112">
        <v>466.59425439381442</v>
      </c>
      <c r="P141" s="93">
        <v>474.45986450638878</v>
      </c>
    </row>
    <row r="142" spans="1:21" ht="16" customHeight="1" x14ac:dyDescent="0.2">
      <c r="B142" s="107"/>
      <c r="C142" s="111">
        <f>C141+H134</f>
        <v>8.7956171726893739E-2</v>
      </c>
      <c r="D142" s="93">
        <v>392.64064135311583</v>
      </c>
      <c r="E142" s="112">
        <v>405.40784814412694</v>
      </c>
      <c r="F142" s="112">
        <v>421.14720219075997</v>
      </c>
      <c r="G142" s="112">
        <v>441.03327423621602</v>
      </c>
      <c r="H142" s="93">
        <v>466.95344278118398</v>
      </c>
      <c r="J142" s="107"/>
      <c r="K142" s="111">
        <f>K141+P134</f>
        <v>8.7956171726893739E-2</v>
      </c>
      <c r="L142" s="93">
        <v>406.12739137208172</v>
      </c>
      <c r="M142" s="112">
        <v>413.63729678142084</v>
      </c>
      <c r="N142" s="112">
        <v>421.14720219075997</v>
      </c>
      <c r="O142" s="112">
        <v>428.6571076000991</v>
      </c>
      <c r="P142" s="93">
        <v>436.16701300943822</v>
      </c>
    </row>
    <row r="143" spans="1:21" ht="16" customHeight="1" x14ac:dyDescent="0.2">
      <c r="B143" s="107"/>
      <c r="C143" s="111">
        <f>C142+H134</f>
        <v>9.2956171726893744E-2</v>
      </c>
      <c r="D143" s="93">
        <v>367.57505531338984</v>
      </c>
      <c r="E143" s="93">
        <v>377.71055391567154</v>
      </c>
      <c r="F143" s="93">
        <v>389.95954453312135</v>
      </c>
      <c r="G143" s="93">
        <v>405.06004405488557</v>
      </c>
      <c r="H143" s="93">
        <v>424.13894783470215</v>
      </c>
      <c r="J143" s="107"/>
      <c r="K143" s="111">
        <f>K142+P134</f>
        <v>9.2956171726893744E-2</v>
      </c>
      <c r="L143" s="93">
        <v>375.61591385163973</v>
      </c>
      <c r="M143" s="93">
        <v>382.78772919238054</v>
      </c>
      <c r="N143" s="93">
        <v>389.95954453312135</v>
      </c>
      <c r="O143" s="93">
        <v>397.13135987386215</v>
      </c>
      <c r="P143" s="93">
        <v>404.3031752146029</v>
      </c>
    </row>
    <row r="145" spans="1:21" ht="16" customHeight="1" x14ac:dyDescent="0.2">
      <c r="A145" s="5" t="s">
        <v>11</v>
      </c>
      <c r="B145" s="12" t="s">
        <v>166</v>
      </c>
      <c r="C145" s="102"/>
      <c r="D145" s="102"/>
      <c r="E145" s="33">
        <v>2016</v>
      </c>
      <c r="F145" s="33">
        <f>E145+1</f>
        <v>2017</v>
      </c>
      <c r="G145" s="33">
        <f t="shared" ref="G145" si="104">F145+1</f>
        <v>2018</v>
      </c>
      <c r="H145" s="33">
        <f t="shared" ref="H145" si="105">G145+1</f>
        <v>2019</v>
      </c>
      <c r="I145" s="33">
        <f t="shared" ref="I145" si="106">H145+1</f>
        <v>2020</v>
      </c>
      <c r="J145" s="33">
        <f t="shared" ref="J145" si="107">I145+1</f>
        <v>2021</v>
      </c>
      <c r="K145" s="34">
        <v>2022</v>
      </c>
      <c r="L145" s="34">
        <f>K145+1</f>
        <v>2023</v>
      </c>
      <c r="M145" s="34">
        <f t="shared" ref="M145" si="108">L145+1</f>
        <v>2024</v>
      </c>
      <c r="N145" s="34">
        <f t="shared" ref="N145" si="109">M145+1</f>
        <v>2025</v>
      </c>
      <c r="O145" s="34">
        <f t="shared" ref="O145" si="110">N145+1</f>
        <v>2026</v>
      </c>
      <c r="P145" s="34">
        <f t="shared" ref="P145" si="111">O145+1</f>
        <v>2027</v>
      </c>
      <c r="Q145" s="34">
        <f t="shared" ref="Q145" si="112">P145+1</f>
        <v>2028</v>
      </c>
      <c r="R145" s="34">
        <f t="shared" ref="R145" si="113">Q145+1</f>
        <v>2029</v>
      </c>
      <c r="S145" s="34">
        <f t="shared" ref="S145" si="114">R145+1</f>
        <v>2030</v>
      </c>
      <c r="T145" s="34">
        <f t="shared" ref="T145" si="115">S145+1</f>
        <v>2031</v>
      </c>
      <c r="U145" s="34">
        <f t="shared" ref="U145" si="116">T145+1</f>
        <v>2032</v>
      </c>
    </row>
    <row r="146" spans="1:21" ht="16" customHeight="1" x14ac:dyDescent="0.2">
      <c r="B146" s="12" t="s">
        <v>41</v>
      </c>
      <c r="C146" s="12"/>
      <c r="D146" s="12"/>
      <c r="E146" s="35">
        <f>EDATE(F146,-12)</f>
        <v>42735</v>
      </c>
      <c r="F146" s="35">
        <f t="shared" ref="F146" si="117">EDATE(G146,-12)</f>
        <v>43100</v>
      </c>
      <c r="G146" s="35">
        <f t="shared" ref="G146" si="118">EDATE(H146,-12)</f>
        <v>43465</v>
      </c>
      <c r="H146" s="35">
        <f t="shared" ref="H146" si="119">EDATE(I146,-12)</f>
        <v>43830</v>
      </c>
      <c r="I146" s="35">
        <f t="shared" ref="I146" si="120">EDATE(J146,-12)</f>
        <v>44196</v>
      </c>
      <c r="J146" s="35">
        <f>EDATE(K146,-12)</f>
        <v>44561</v>
      </c>
      <c r="K146" s="35">
        <v>44926</v>
      </c>
      <c r="L146" s="35">
        <f>EDATE(K146,12)</f>
        <v>45291</v>
      </c>
      <c r="M146" s="35">
        <f t="shared" ref="M146" si="121">EDATE(L146,12)</f>
        <v>45657</v>
      </c>
      <c r="N146" s="35">
        <f t="shared" ref="N146" si="122">EDATE(M146,12)</f>
        <v>46022</v>
      </c>
      <c r="O146" s="35">
        <f t="shared" ref="O146" si="123">EDATE(N146,12)</f>
        <v>46387</v>
      </c>
      <c r="P146" s="35">
        <f t="shared" ref="P146" si="124">EDATE(O146,12)</f>
        <v>46752</v>
      </c>
      <c r="Q146" s="35">
        <f t="shared" ref="Q146" si="125">EDATE(P146,12)</f>
        <v>47118</v>
      </c>
      <c r="R146" s="35">
        <f t="shared" ref="R146" si="126">EDATE(Q146,12)</f>
        <v>47483</v>
      </c>
      <c r="S146" s="35">
        <f t="shared" ref="S146" si="127">EDATE(R146,12)</f>
        <v>47848</v>
      </c>
      <c r="T146" s="35">
        <f t="shared" ref="T146" si="128">EDATE(S146,12)</f>
        <v>48213</v>
      </c>
      <c r="U146" s="35">
        <f t="shared" ref="U146" si="129">EDATE(T146,12)</f>
        <v>48579</v>
      </c>
    </row>
    <row r="147" spans="1:21" ht="16" customHeight="1" x14ac:dyDescent="0.2">
      <c r="B147" s="5" t="s">
        <v>45</v>
      </c>
      <c r="E147" s="38">
        <f>E77</f>
        <v>10776</v>
      </c>
      <c r="F147" s="38">
        <f t="shared" ref="F147:U148" si="130">F77</f>
        <v>12497</v>
      </c>
      <c r="G147" s="38">
        <f t="shared" si="130"/>
        <v>14950</v>
      </c>
      <c r="H147" s="38">
        <f t="shared" si="130"/>
        <v>16883</v>
      </c>
      <c r="I147" s="38">
        <f t="shared" si="130"/>
        <v>15301</v>
      </c>
      <c r="J147" s="114">
        <f t="shared" si="130"/>
        <v>18884</v>
      </c>
      <c r="K147" s="38">
        <f t="shared" ca="1" si="130"/>
        <v>22221.659999999996</v>
      </c>
      <c r="L147" s="38">
        <f t="shared" ca="1" si="130"/>
        <v>25158.200499999999</v>
      </c>
      <c r="M147" s="38">
        <f t="shared" ca="1" si="130"/>
        <v>28598.796412779979</v>
      </c>
      <c r="N147" s="38">
        <f t="shared" ca="1" si="130"/>
        <v>32153.38433291635</v>
      </c>
      <c r="O147" s="38">
        <f t="shared" ca="1" si="130"/>
        <v>35744.575890538312</v>
      </c>
      <c r="P147" s="38">
        <f t="shared" ca="1" si="130"/>
        <v>39282.629904488276</v>
      </c>
      <c r="Q147" s="38">
        <f t="shared" ca="1" si="130"/>
        <v>42668.78922894063</v>
      </c>
      <c r="R147" s="38">
        <f t="shared" ca="1" si="130"/>
        <v>45799.72910353748</v>
      </c>
      <c r="S147" s="38">
        <f t="shared" ca="1" si="130"/>
        <v>48572.863859251753</v>
      </c>
      <c r="T147" s="38">
        <f t="shared" ca="1" si="130"/>
        <v>50892.135729033515</v>
      </c>
      <c r="U147" s="38">
        <f t="shared" ca="1" si="130"/>
        <v>52673.819064718657</v>
      </c>
    </row>
    <row r="148" spans="1:21" s="39" customFormat="1" ht="16" customHeight="1" x14ac:dyDescent="0.2">
      <c r="B148" s="39" t="s">
        <v>42</v>
      </c>
      <c r="F148" s="115">
        <f t="shared" si="130"/>
        <v>0.15970675575352633</v>
      </c>
      <c r="G148" s="115">
        <f t="shared" si="130"/>
        <v>0.19628710890613754</v>
      </c>
      <c r="H148" s="115">
        <f t="shared" si="130"/>
        <v>0.12929765886287625</v>
      </c>
      <c r="I148" s="115">
        <f t="shared" si="130"/>
        <v>-9.3703725641177571E-2</v>
      </c>
      <c r="J148" s="116">
        <f t="shared" si="130"/>
        <v>0.23416770145742105</v>
      </c>
      <c r="K148" s="115">
        <f t="shared" ca="1" si="130"/>
        <v>0.1767453929252274</v>
      </c>
      <c r="L148" s="115">
        <f t="shared" ca="1" si="130"/>
        <v>0.13214766583594573</v>
      </c>
      <c r="M148" s="115">
        <f t="shared" ca="1" si="130"/>
        <v>0.13675842645343339</v>
      </c>
      <c r="N148" s="115">
        <f t="shared" ca="1" si="130"/>
        <v>0.12429152153228129</v>
      </c>
      <c r="O148" s="115">
        <f t="shared" ca="1" si="130"/>
        <v>0.11168937989353589</v>
      </c>
      <c r="P148" s="115">
        <f t="shared" ca="1" si="130"/>
        <v>9.898156365834776E-2</v>
      </c>
      <c r="Q148" s="115">
        <f t="shared" ca="1" si="130"/>
        <v>8.6199914127069732E-2</v>
      </c>
      <c r="R148" s="115">
        <f t="shared" ca="1" si="130"/>
        <v>7.337775294718818E-2</v>
      </c>
      <c r="S148" s="115">
        <f t="shared" ca="1" si="130"/>
        <v>6.0549151927190792E-2</v>
      </c>
      <c r="T148" s="115">
        <f t="shared" ca="1" si="130"/>
        <v>4.7748304001638653E-2</v>
      </c>
      <c r="U148" s="115">
        <f t="shared" ca="1" si="130"/>
        <v>3.5009010924033745E-2</v>
      </c>
    </row>
    <row r="149" spans="1:21" ht="16" customHeight="1" x14ac:dyDescent="0.2">
      <c r="B149" s="5" t="s">
        <v>78</v>
      </c>
      <c r="E149" s="38">
        <f t="shared" ref="E149:U149" si="131">E92+E80</f>
        <v>6134</v>
      </c>
      <c r="F149" s="38">
        <f t="shared" si="131"/>
        <v>7058</v>
      </c>
      <c r="G149" s="38">
        <f t="shared" si="131"/>
        <v>7741</v>
      </c>
      <c r="H149" s="38">
        <f t="shared" si="131"/>
        <v>10186</v>
      </c>
      <c r="I149" s="38">
        <f t="shared" si="131"/>
        <v>8661</v>
      </c>
      <c r="J149" s="114">
        <f t="shared" si="131"/>
        <v>10808</v>
      </c>
      <c r="K149" s="38">
        <f t="shared" ca="1" si="131"/>
        <v>12980.435283212544</v>
      </c>
      <c r="L149" s="38">
        <f t="shared" ca="1" si="131"/>
        <v>15053.765696087959</v>
      </c>
      <c r="M149" s="38">
        <f t="shared" ca="1" si="131"/>
        <v>17278.513439474944</v>
      </c>
      <c r="N149" s="38">
        <f t="shared" ca="1" si="131"/>
        <v>19616.243833347617</v>
      </c>
      <c r="O149" s="38">
        <f t="shared" ca="1" si="131"/>
        <v>21974.835999001767</v>
      </c>
      <c r="P149" s="38">
        <f t="shared" ca="1" si="131"/>
        <v>24327.190913369508</v>
      </c>
      <c r="Q149" s="38">
        <f t="shared" ca="1" si="131"/>
        <v>26645.23892835177</v>
      </c>
      <c r="R149" s="38">
        <f t="shared" ca="1" si="131"/>
        <v>28839.50467052255</v>
      </c>
      <c r="S149" s="38">
        <f t="shared" ca="1" si="131"/>
        <v>30833.608498413752</v>
      </c>
      <c r="T149" s="38">
        <f t="shared" ca="1" si="131"/>
        <v>32557.344469847161</v>
      </c>
      <c r="U149" s="38">
        <f t="shared" ca="1" si="131"/>
        <v>33472.880420440422</v>
      </c>
    </row>
    <row r="150" spans="1:21" s="39" customFormat="1" ht="16" customHeight="1" x14ac:dyDescent="0.2">
      <c r="B150" s="39" t="s">
        <v>47</v>
      </c>
      <c r="E150" s="40">
        <f>E149/E147</f>
        <v>0.56922791388270233</v>
      </c>
      <c r="F150" s="40">
        <f>F149/F147</f>
        <v>0.5647755461310715</v>
      </c>
      <c r="G150" s="40">
        <f t="shared" ref="G150:U150" si="132">G149/G147</f>
        <v>0.51779264214046827</v>
      </c>
      <c r="H150" s="40">
        <f t="shared" si="132"/>
        <v>0.60332879227625424</v>
      </c>
      <c r="I150" s="40">
        <f t="shared" si="132"/>
        <v>0.56604143520031369</v>
      </c>
      <c r="J150" s="41">
        <f t="shared" si="132"/>
        <v>0.57233636941325994</v>
      </c>
      <c r="K150" s="40">
        <f t="shared" ca="1" si="132"/>
        <v>0.58413436634403304</v>
      </c>
      <c r="L150" s="40">
        <f t="shared" ca="1" si="132"/>
        <v>0.59836416742477105</v>
      </c>
      <c r="M150" s="40">
        <f t="shared" ca="1" si="132"/>
        <v>0.60416925209319905</v>
      </c>
      <c r="N150" s="40">
        <f t="shared" ca="1" si="132"/>
        <v>0.61008333151623795</v>
      </c>
      <c r="O150" s="40">
        <f t="shared" ca="1" si="132"/>
        <v>0.61477400281083117</v>
      </c>
      <c r="P150" s="40">
        <f t="shared" ca="1" si="132"/>
        <v>0.61928620798858425</v>
      </c>
      <c r="Q150" s="40">
        <f t="shared" ca="1" si="132"/>
        <v>0.62446672169172568</v>
      </c>
      <c r="R150" s="40">
        <f t="shared" ca="1" si="132"/>
        <v>0.6296872325451166</v>
      </c>
      <c r="S150" s="40">
        <f t="shared" ca="1" si="132"/>
        <v>0.63479082863550007</v>
      </c>
      <c r="T150" s="40">
        <f t="shared" ca="1" si="132"/>
        <v>0.63973232805935243</v>
      </c>
      <c r="U150" s="40">
        <f t="shared" ca="1" si="132"/>
        <v>0.63547471998021166</v>
      </c>
    </row>
    <row r="151" spans="1:21" ht="16" customHeight="1" x14ac:dyDescent="0.2">
      <c r="B151" s="5" t="s">
        <v>50</v>
      </c>
      <c r="E151" s="38">
        <f t="shared" ref="E151:U151" si="133">E92</f>
        <v>373</v>
      </c>
      <c r="F151" s="38">
        <f t="shared" si="133"/>
        <v>436</v>
      </c>
      <c r="G151" s="38">
        <f t="shared" si="133"/>
        <v>459</v>
      </c>
      <c r="H151" s="38">
        <f t="shared" si="133"/>
        <v>522</v>
      </c>
      <c r="I151" s="38">
        <f t="shared" si="133"/>
        <v>580</v>
      </c>
      <c r="J151" s="114">
        <f t="shared" si="133"/>
        <v>726</v>
      </c>
      <c r="K151" s="38">
        <f t="shared" ca="1" si="133"/>
        <v>768.25013523987161</v>
      </c>
      <c r="L151" s="38">
        <f t="shared" ca="1" si="133"/>
        <v>868.18137920292475</v>
      </c>
      <c r="M151" s="38">
        <f t="shared" ca="1" si="133"/>
        <v>1008.6849974834015</v>
      </c>
      <c r="N151" s="38">
        <f t="shared" ca="1" si="133"/>
        <v>1162.0391768135289</v>
      </c>
      <c r="O151" s="38">
        <f t="shared" ca="1" si="133"/>
        <v>1279.2050181569098</v>
      </c>
      <c r="P151" s="38">
        <f t="shared" ca="1" si="133"/>
        <v>1384.9412138654998</v>
      </c>
      <c r="Q151" s="38">
        <f t="shared" ca="1" si="133"/>
        <v>1510.1574409613374</v>
      </c>
      <c r="R151" s="38">
        <f t="shared" ca="1" si="133"/>
        <v>1629.0637887557853</v>
      </c>
      <c r="S151" s="38">
        <f t="shared" ca="1" si="133"/>
        <v>1730.6078312534594</v>
      </c>
      <c r="T151" s="38">
        <f t="shared" ca="1" si="133"/>
        <v>1808.0363242151873</v>
      </c>
      <c r="U151" s="38">
        <f t="shared" ca="1" si="133"/>
        <v>1868.5889816092326</v>
      </c>
    </row>
    <row r="152" spans="1:21" s="39" customFormat="1" ht="16" customHeight="1" x14ac:dyDescent="0.2">
      <c r="B152" s="39" t="s">
        <v>51</v>
      </c>
      <c r="E152" s="115">
        <f t="shared" ref="E152:U152" si="134">E94</f>
        <v>1.7348837209302326</v>
      </c>
      <c r="F152" s="115">
        <f t="shared" si="134"/>
        <v>1.4533333333333334</v>
      </c>
      <c r="G152" s="115">
        <f t="shared" si="134"/>
        <v>1.3909090909090909</v>
      </c>
      <c r="H152" s="115">
        <f t="shared" si="134"/>
        <v>1.2369668246445498</v>
      </c>
      <c r="I152" s="115">
        <f t="shared" si="134"/>
        <v>1.7109144542772861</v>
      </c>
      <c r="J152" s="116">
        <f t="shared" si="134"/>
        <v>1.7837837837837838</v>
      </c>
      <c r="K152" s="115">
        <f t="shared" ca="1" si="134"/>
        <v>1.5059784976721795</v>
      </c>
      <c r="L152" s="115">
        <f t="shared" ca="1" si="134"/>
        <v>1.5170902999483757</v>
      </c>
      <c r="M152" s="115">
        <f t="shared" ca="1" si="134"/>
        <v>1.5414355929015933</v>
      </c>
      <c r="N152" s="115">
        <f t="shared" ca="1" si="134"/>
        <v>1.6092081254656792</v>
      </c>
      <c r="O152" s="115">
        <f t="shared" ca="1" si="134"/>
        <v>1.5891954494820719</v>
      </c>
      <c r="P152" s="115">
        <f t="shared" ca="1" si="134"/>
        <v>1.5522651909301495</v>
      </c>
      <c r="Q152" s="115">
        <f t="shared" ca="1" si="134"/>
        <v>1.5616421743708724</v>
      </c>
      <c r="R152" s="115">
        <f t="shared" ca="1" si="134"/>
        <v>1.5705917733418513</v>
      </c>
      <c r="S152" s="115">
        <f t="shared" ca="1" si="134"/>
        <v>1.5764955625884289</v>
      </c>
      <c r="T152" s="115">
        <f t="shared" ca="1" si="134"/>
        <v>1.5700021916697717</v>
      </c>
      <c r="U152" s="115">
        <f t="shared" ca="1" si="134"/>
        <v>1.5661857758707356</v>
      </c>
    </row>
    <row r="153" spans="1:21" ht="16" customHeight="1" x14ac:dyDescent="0.2">
      <c r="B153" s="5" t="s">
        <v>79</v>
      </c>
      <c r="E153" s="38">
        <f t="shared" ref="E153:U154" si="135">E80</f>
        <v>5761</v>
      </c>
      <c r="F153" s="38">
        <f t="shared" si="135"/>
        <v>6622</v>
      </c>
      <c r="G153" s="38">
        <f t="shared" si="135"/>
        <v>7282</v>
      </c>
      <c r="H153" s="38">
        <f t="shared" si="135"/>
        <v>9664</v>
      </c>
      <c r="I153" s="38">
        <f t="shared" si="135"/>
        <v>8081</v>
      </c>
      <c r="J153" s="114">
        <f t="shared" si="135"/>
        <v>10082</v>
      </c>
      <c r="K153" s="38">
        <f t="shared" ca="1" si="135"/>
        <v>12212.185147972672</v>
      </c>
      <c r="L153" s="38">
        <f t="shared" ca="1" si="135"/>
        <v>14185.584316885035</v>
      </c>
      <c r="M153" s="38">
        <f t="shared" ca="1" si="135"/>
        <v>16269.828441991544</v>
      </c>
      <c r="N153" s="38">
        <f t="shared" ca="1" si="135"/>
        <v>18454.204656534086</v>
      </c>
      <c r="O153" s="38">
        <f t="shared" ca="1" si="135"/>
        <v>20695.630980844857</v>
      </c>
      <c r="P153" s="38">
        <f t="shared" ca="1" si="135"/>
        <v>22942.249699504009</v>
      </c>
      <c r="Q153" s="38">
        <f t="shared" ca="1" si="135"/>
        <v>25135.081487390431</v>
      </c>
      <c r="R153" s="38">
        <f t="shared" ca="1" si="135"/>
        <v>27210.440881766765</v>
      </c>
      <c r="S153" s="38">
        <f t="shared" ca="1" si="135"/>
        <v>29103.000667160293</v>
      </c>
      <c r="T153" s="38">
        <f t="shared" ca="1" si="135"/>
        <v>30749.308145631974</v>
      </c>
      <c r="U153" s="38">
        <f t="shared" ca="1" si="135"/>
        <v>31604.291438831191</v>
      </c>
    </row>
    <row r="154" spans="1:21" s="39" customFormat="1" ht="16" customHeight="1" x14ac:dyDescent="0.2">
      <c r="B154" s="39" t="s">
        <v>47</v>
      </c>
      <c r="E154" s="40">
        <f t="shared" si="135"/>
        <v>0.53461395694135116</v>
      </c>
      <c r="F154" s="40">
        <f t="shared" si="135"/>
        <v>0.52988717292150112</v>
      </c>
      <c r="G154" s="40">
        <f t="shared" si="135"/>
        <v>0.48709030100334449</v>
      </c>
      <c r="H154" s="40">
        <f t="shared" si="135"/>
        <v>0.57241011668542319</v>
      </c>
      <c r="I154" s="40">
        <f t="shared" si="135"/>
        <v>0.52813541598588332</v>
      </c>
      <c r="J154" s="41">
        <f t="shared" si="135"/>
        <v>0.53389112476170308</v>
      </c>
      <c r="K154" s="40">
        <f t="shared" ca="1" si="135"/>
        <v>0.54956223558333062</v>
      </c>
      <c r="L154" s="40">
        <f t="shared" ca="1" si="135"/>
        <v>0.5638552851538422</v>
      </c>
      <c r="M154" s="40">
        <f t="shared" ca="1" si="135"/>
        <v>0.56889906159550918</v>
      </c>
      <c r="N154" s="40">
        <f t="shared" ca="1" si="135"/>
        <v>0.57394283803717616</v>
      </c>
      <c r="O154" s="40">
        <f t="shared" ca="1" si="135"/>
        <v>0.57898661447884314</v>
      </c>
      <c r="P154" s="40">
        <f t="shared" ca="1" si="135"/>
        <v>0.58403039092051012</v>
      </c>
      <c r="Q154" s="40">
        <f t="shared" ca="1" si="135"/>
        <v>0.5890741673621771</v>
      </c>
      <c r="R154" s="40">
        <f t="shared" ca="1" si="135"/>
        <v>0.59411794380384408</v>
      </c>
      <c r="S154" s="40">
        <f t="shared" ca="1" si="135"/>
        <v>0.59916172024551106</v>
      </c>
      <c r="T154" s="40">
        <f t="shared" ca="1" si="135"/>
        <v>0.60420549668717805</v>
      </c>
      <c r="U154" s="40">
        <f t="shared" ca="1" si="135"/>
        <v>0.6</v>
      </c>
    </row>
    <row r="155" spans="1:21" ht="16" customHeight="1" x14ac:dyDescent="0.2">
      <c r="B155" s="5" t="s">
        <v>33</v>
      </c>
      <c r="E155" s="38">
        <f t="shared" ref="E155:U156" si="136">E87</f>
        <v>1587</v>
      </c>
      <c r="F155" s="38">
        <f t="shared" si="136"/>
        <v>2607</v>
      </c>
      <c r="G155" s="38">
        <f t="shared" si="136"/>
        <v>1345</v>
      </c>
      <c r="H155" s="38">
        <f t="shared" si="136"/>
        <v>1613</v>
      </c>
      <c r="I155" s="38">
        <f t="shared" si="136"/>
        <v>1349</v>
      </c>
      <c r="J155" s="114">
        <f t="shared" si="136"/>
        <v>1620</v>
      </c>
      <c r="K155" s="38">
        <f t="shared" ca="1" si="136"/>
        <v>1798.1933266350811</v>
      </c>
      <c r="L155" s="38">
        <f t="shared" ca="1" si="136"/>
        <v>2538.5731770393072</v>
      </c>
      <c r="M155" s="38">
        <f t="shared" ca="1" si="136"/>
        <v>2967.6807965993366</v>
      </c>
      <c r="N155" s="38">
        <f t="shared" ca="1" si="136"/>
        <v>3429.7775420513417</v>
      </c>
      <c r="O155" s="38">
        <f t="shared" ca="1" si="136"/>
        <v>3917.74408657905</v>
      </c>
      <c r="P155" s="38">
        <f t="shared" ca="1" si="136"/>
        <v>4422.175112227661</v>
      </c>
      <c r="Q155" s="38">
        <f t="shared" ca="1" si="136"/>
        <v>4931.552492856601</v>
      </c>
      <c r="R155" s="38">
        <f t="shared" ca="1" si="136"/>
        <v>5432.6047164750507</v>
      </c>
      <c r="S155" s="38">
        <f t="shared" ca="1" si="136"/>
        <v>5910.8480955413861</v>
      </c>
      <c r="T155" s="38">
        <f t="shared" ca="1" si="136"/>
        <v>6351.2847381258525</v>
      </c>
      <c r="U155" s="38">
        <f t="shared" ca="1" si="136"/>
        <v>6636.9012021545495</v>
      </c>
    </row>
    <row r="156" spans="1:21" s="39" customFormat="1" ht="16" customHeight="1" x14ac:dyDescent="0.2">
      <c r="B156" s="39" t="s">
        <v>48</v>
      </c>
      <c r="E156" s="40">
        <f t="shared" si="136"/>
        <v>0.27547300815830583</v>
      </c>
      <c r="F156" s="40">
        <f t="shared" si="136"/>
        <v>0.39368770764119604</v>
      </c>
      <c r="G156" s="40">
        <f t="shared" si="136"/>
        <v>0.18470200494369679</v>
      </c>
      <c r="H156" s="40">
        <f t="shared" si="136"/>
        <v>0.16690811258278146</v>
      </c>
      <c r="I156" s="40">
        <f t="shared" si="136"/>
        <v>0.16693478529884914</v>
      </c>
      <c r="J156" s="41">
        <f t="shared" si="136"/>
        <v>0.16068240428486411</v>
      </c>
      <c r="K156" s="40">
        <f t="shared" si="136"/>
        <v>0.14724582905079822</v>
      </c>
      <c r="L156" s="40">
        <f t="shared" si="136"/>
        <v>0.17895443150816531</v>
      </c>
      <c r="M156" s="40">
        <f t="shared" si="136"/>
        <v>0.18240393911836916</v>
      </c>
      <c r="N156" s="40">
        <f t="shared" si="136"/>
        <v>0.18585344672857301</v>
      </c>
      <c r="O156" s="40">
        <f t="shared" si="136"/>
        <v>0.18930295433877686</v>
      </c>
      <c r="P156" s="40">
        <f t="shared" si="136"/>
        <v>0.19275246194898071</v>
      </c>
      <c r="Q156" s="40">
        <f t="shared" si="136"/>
        <v>0.19620196955918456</v>
      </c>
      <c r="R156" s="40">
        <f t="shared" si="136"/>
        <v>0.19965147716938841</v>
      </c>
      <c r="S156" s="40">
        <f t="shared" si="136"/>
        <v>0.20310098477959226</v>
      </c>
      <c r="T156" s="40">
        <f t="shared" si="136"/>
        <v>0.20655049238979611</v>
      </c>
      <c r="U156" s="40">
        <f t="shared" si="136"/>
        <v>0.21</v>
      </c>
    </row>
    <row r="157" spans="1:21" ht="16" customHeight="1" x14ac:dyDescent="0.2">
      <c r="B157" s="5" t="s">
        <v>49</v>
      </c>
      <c r="E157" s="38">
        <f t="shared" ref="E157:U157" si="137">E90</f>
        <v>4174</v>
      </c>
      <c r="F157" s="38">
        <f t="shared" si="137"/>
        <v>4015</v>
      </c>
      <c r="G157" s="38">
        <f t="shared" si="137"/>
        <v>5937</v>
      </c>
      <c r="H157" s="38">
        <f t="shared" si="137"/>
        <v>8051</v>
      </c>
      <c r="I157" s="38">
        <f t="shared" si="137"/>
        <v>6732</v>
      </c>
      <c r="J157" s="114">
        <f t="shared" si="137"/>
        <v>8462</v>
      </c>
      <c r="K157" s="38">
        <f t="shared" ca="1" si="137"/>
        <v>10413.991821337591</v>
      </c>
      <c r="L157" s="38">
        <f t="shared" ca="1" si="137"/>
        <v>11647.011139845728</v>
      </c>
      <c r="M157" s="38">
        <f t="shared" ca="1" si="137"/>
        <v>13302.147645392208</v>
      </c>
      <c r="N157" s="38">
        <f t="shared" ca="1" si="137"/>
        <v>15024.427114482743</v>
      </c>
      <c r="O157" s="38">
        <f t="shared" ca="1" si="137"/>
        <v>16777.886894265808</v>
      </c>
      <c r="P157" s="38">
        <f t="shared" ca="1" si="137"/>
        <v>18520.074587276347</v>
      </c>
      <c r="Q157" s="38">
        <f t="shared" ca="1" si="137"/>
        <v>20203.52899453383</v>
      </c>
      <c r="R157" s="38">
        <f t="shared" ca="1" si="137"/>
        <v>21777.836165291716</v>
      </c>
      <c r="S157" s="38">
        <f t="shared" ca="1" si="137"/>
        <v>23192.152571618906</v>
      </c>
      <c r="T157" s="38">
        <f t="shared" ca="1" si="137"/>
        <v>24398.023407506123</v>
      </c>
      <c r="U157" s="38">
        <f t="shared" ca="1" si="137"/>
        <v>24967.390236676642</v>
      </c>
    </row>
    <row r="158" spans="1:21" ht="16" customHeight="1" x14ac:dyDescent="0.2">
      <c r="B158" s="5" t="s">
        <v>80</v>
      </c>
      <c r="E158" s="38">
        <f>E151</f>
        <v>373</v>
      </c>
      <c r="F158" s="38">
        <f t="shared" ref="F158:U158" si="138">F151</f>
        <v>436</v>
      </c>
      <c r="G158" s="38">
        <f t="shared" si="138"/>
        <v>459</v>
      </c>
      <c r="H158" s="38">
        <f t="shared" si="138"/>
        <v>522</v>
      </c>
      <c r="I158" s="38">
        <f t="shared" si="138"/>
        <v>580</v>
      </c>
      <c r="J158" s="114">
        <f t="shared" si="138"/>
        <v>726</v>
      </c>
      <c r="K158" s="38">
        <f t="shared" ca="1" si="138"/>
        <v>768.25013523987161</v>
      </c>
      <c r="L158" s="38">
        <f t="shared" ca="1" si="138"/>
        <v>868.18137920292475</v>
      </c>
      <c r="M158" s="38">
        <f t="shared" ca="1" si="138"/>
        <v>1008.6849974834015</v>
      </c>
      <c r="N158" s="38">
        <f t="shared" ca="1" si="138"/>
        <v>1162.0391768135289</v>
      </c>
      <c r="O158" s="38">
        <f t="shared" ca="1" si="138"/>
        <v>1279.2050181569098</v>
      </c>
      <c r="P158" s="38">
        <f t="shared" ca="1" si="138"/>
        <v>1384.9412138654998</v>
      </c>
      <c r="Q158" s="38">
        <f t="shared" ca="1" si="138"/>
        <v>1510.1574409613374</v>
      </c>
      <c r="R158" s="38">
        <f t="shared" ca="1" si="138"/>
        <v>1629.0637887557853</v>
      </c>
      <c r="S158" s="38">
        <f t="shared" ca="1" si="138"/>
        <v>1730.6078312534594</v>
      </c>
      <c r="T158" s="38">
        <f t="shared" ca="1" si="138"/>
        <v>1808.0363242151873</v>
      </c>
      <c r="U158" s="38">
        <f t="shared" ca="1" si="138"/>
        <v>1868.5889816092326</v>
      </c>
    </row>
    <row r="159" spans="1:21" ht="16" customHeight="1" x14ac:dyDescent="0.2">
      <c r="B159" s="5" t="s">
        <v>81</v>
      </c>
      <c r="E159" s="38">
        <f t="shared" ref="E159:U159" si="139">E96</f>
        <v>215</v>
      </c>
      <c r="F159" s="38">
        <f t="shared" si="139"/>
        <v>300</v>
      </c>
      <c r="G159" s="38">
        <f t="shared" si="139"/>
        <v>330</v>
      </c>
      <c r="H159" s="38">
        <f t="shared" si="139"/>
        <v>422</v>
      </c>
      <c r="I159" s="38">
        <f t="shared" si="139"/>
        <v>339</v>
      </c>
      <c r="J159" s="114">
        <f t="shared" si="139"/>
        <v>407</v>
      </c>
      <c r="K159" s="38">
        <f t="shared" ca="1" si="139"/>
        <v>510.13353539069175</v>
      </c>
      <c r="L159" s="38">
        <f t="shared" ca="1" si="139"/>
        <v>572.26743802426768</v>
      </c>
      <c r="M159" s="38">
        <f t="shared" ca="1" si="139"/>
        <v>654.38024276100714</v>
      </c>
      <c r="N159" s="38">
        <f t="shared" ca="1" si="139"/>
        <v>722.11863613182618</v>
      </c>
      <c r="O159" s="38">
        <f t="shared" ca="1" si="139"/>
        <v>804.9387622987532</v>
      </c>
      <c r="P159" s="38">
        <f t="shared" ca="1" si="139"/>
        <v>892.20657781781108</v>
      </c>
      <c r="Q159" s="38">
        <f t="shared" ca="1" si="139"/>
        <v>967.03167072810629</v>
      </c>
      <c r="R159" s="38">
        <f t="shared" ca="1" si="139"/>
        <v>1037.2292892439639</v>
      </c>
      <c r="S159" s="38">
        <f t="shared" ca="1" si="139"/>
        <v>1097.7562337137158</v>
      </c>
      <c r="T159" s="38">
        <f t="shared" ca="1" si="139"/>
        <v>1151.6138855145514</v>
      </c>
      <c r="U159" s="38">
        <f t="shared" ca="1" si="139"/>
        <v>1193.0825898162516</v>
      </c>
    </row>
    <row r="160" spans="1:21" ht="16" customHeight="1" x14ac:dyDescent="0.2">
      <c r="B160" s="5" t="s">
        <v>82</v>
      </c>
      <c r="E160" s="38">
        <f t="shared" ref="E160:U160" si="140">E99</f>
        <v>-290</v>
      </c>
      <c r="F160" s="38">
        <f t="shared" si="140"/>
        <v>-465</v>
      </c>
      <c r="G160" s="38">
        <f t="shared" si="140"/>
        <v>-522</v>
      </c>
      <c r="H160" s="38">
        <f t="shared" si="140"/>
        <v>728</v>
      </c>
      <c r="I160" s="38">
        <f t="shared" si="140"/>
        <v>16</v>
      </c>
      <c r="J160" s="114">
        <f t="shared" si="140"/>
        <v>-632</v>
      </c>
      <c r="K160" s="38">
        <f t="shared" ca="1" si="140"/>
        <v>-327.17126873626904</v>
      </c>
      <c r="L160" s="38">
        <f t="shared" ca="1" si="140"/>
        <v>-319.29908199457196</v>
      </c>
      <c r="M160" s="38">
        <f t="shared" ca="1" si="140"/>
        <v>-246.10513936825257</v>
      </c>
      <c r="N160" s="38">
        <f t="shared" ca="1" si="140"/>
        <v>-135.69623493165599</v>
      </c>
      <c r="O160" s="38">
        <f t="shared" ca="1" si="140"/>
        <v>-432.88020431834769</v>
      </c>
      <c r="P160" s="38">
        <f t="shared" ca="1" si="140"/>
        <v>-561.86145605932438</v>
      </c>
      <c r="Q160" s="38">
        <f t="shared" ca="1" si="140"/>
        <v>-474.00666063527717</v>
      </c>
      <c r="R160" s="38">
        <f t="shared" ca="1" si="140"/>
        <v>-481.20072887772426</v>
      </c>
      <c r="S160" s="38">
        <f t="shared" ca="1" si="140"/>
        <v>-492.64822900800806</v>
      </c>
      <c r="T160" s="38">
        <f t="shared" ca="1" si="140"/>
        <v>-529.20839327245324</v>
      </c>
      <c r="U160" s="38">
        <f t="shared" ca="1" si="140"/>
        <v>-601.97500108011707</v>
      </c>
    </row>
    <row r="161" spans="2:21" ht="16" customHeight="1" x14ac:dyDescent="0.2">
      <c r="J161" s="42"/>
    </row>
    <row r="162" spans="2:21" ht="16" customHeight="1" x14ac:dyDescent="0.2">
      <c r="B162" s="89" t="s">
        <v>83</v>
      </c>
      <c r="C162" s="89"/>
      <c r="D162" s="89"/>
      <c r="E162" s="88">
        <f>E157+E158-E159-E160</f>
        <v>4622</v>
      </c>
      <c r="F162" s="88">
        <f t="shared" ref="F162:U162" si="141">F157+F158-F159-F160</f>
        <v>4616</v>
      </c>
      <c r="G162" s="88">
        <f t="shared" si="141"/>
        <v>6588</v>
      </c>
      <c r="H162" s="88">
        <f t="shared" si="141"/>
        <v>7423</v>
      </c>
      <c r="I162" s="88">
        <f t="shared" si="141"/>
        <v>6957</v>
      </c>
      <c r="J162" s="117">
        <f t="shared" si="141"/>
        <v>9413</v>
      </c>
      <c r="K162" s="88">
        <f t="shared" ca="1" si="141"/>
        <v>10999.27968992304</v>
      </c>
      <c r="L162" s="88">
        <f t="shared" ca="1" si="141"/>
        <v>12262.224163018956</v>
      </c>
      <c r="M162" s="88">
        <f t="shared" ca="1" si="141"/>
        <v>13902.557539482854</v>
      </c>
      <c r="N162" s="88">
        <f t="shared" ca="1" si="141"/>
        <v>15600.043890096102</v>
      </c>
      <c r="O162" s="88">
        <f t="shared" ca="1" si="141"/>
        <v>17685.033354442312</v>
      </c>
      <c r="P162" s="88">
        <f t="shared" ca="1" si="141"/>
        <v>19574.670679383358</v>
      </c>
      <c r="Q162" s="88">
        <f t="shared" ca="1" si="141"/>
        <v>21220.661425402341</v>
      </c>
      <c r="R162" s="88">
        <f t="shared" ca="1" si="141"/>
        <v>22850.87139368126</v>
      </c>
      <c r="S162" s="88">
        <f t="shared" ca="1" si="141"/>
        <v>24317.652398166658</v>
      </c>
      <c r="T162" s="88">
        <f t="shared" ca="1" si="141"/>
        <v>25583.654239479212</v>
      </c>
      <c r="U162" s="88">
        <f t="shared" ca="1" si="141"/>
        <v>26244.87162954974</v>
      </c>
    </row>
    <row r="163" spans="2:21" ht="16" customHeight="1" x14ac:dyDescent="0.2">
      <c r="E163" s="38"/>
    </row>
  </sheetData>
  <sheetProtection algorithmName="SHA-512" hashValue="2zRy1uVdgGlpU9iA91LrHhakGW9skIEgXQCWkabRBxfnoLnJIJcIolCSqFKetLjGuDm9pgJIOkBlnD2mvcDamQ==" saltValue="65W46H68Q1AzenA6nmBIug==" spinCount="100000" sheet="1" objects="1" scenarios="1" selectLockedCells="1"/>
  <mergeCells count="4">
    <mergeCell ref="D136:H137"/>
    <mergeCell ref="L136:P137"/>
    <mergeCell ref="B139:B143"/>
    <mergeCell ref="J139:J143"/>
  </mergeCells>
  <pageMargins left="0.7" right="0.7" top="0.75" bottom="0.75" header="0.3" footer="0.3"/>
  <ignoredErrors>
    <ignoredError sqref="T13 T22"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ACAE-574D-8545-B7F3-2147097A9B0F}">
  <dimension ref="B1:AJ50"/>
  <sheetViews>
    <sheetView zoomScaleNormal="100" workbookViewId="0">
      <pane xSplit="2" ySplit="2" topLeftCell="C3" activePane="bottomRight" state="frozen"/>
      <selection activeCell="F16" sqref="F16"/>
      <selection pane="topRight" activeCell="F16" sqref="F16"/>
      <selection pane="bottomLeft" activeCell="F16" sqref="F16"/>
      <selection pane="bottomRight" activeCell="AI32" sqref="AI32"/>
    </sheetView>
  </sheetViews>
  <sheetFormatPr baseColWidth="10" defaultRowHeight="16" x14ac:dyDescent="0.2"/>
  <cols>
    <col min="2" max="2" width="26.83203125" customWidth="1"/>
    <col min="24" max="24" width="10.83203125" customWidth="1"/>
    <col min="25" max="34" width="10.83203125" hidden="1" customWidth="1"/>
    <col min="36" max="36" width="10.83203125" customWidth="1"/>
  </cols>
  <sheetData>
    <row r="1" spans="2:34" x14ac:dyDescent="0.2">
      <c r="B1" s="61" t="e" vm="1">
        <v>#VALUE!</v>
      </c>
      <c r="C1" s="118"/>
      <c r="D1" s="118"/>
      <c r="E1" s="118"/>
      <c r="F1" s="118"/>
      <c r="G1" s="118"/>
      <c r="H1" s="118"/>
      <c r="I1" s="119">
        <v>44834</v>
      </c>
      <c r="J1" s="119">
        <v>44926</v>
      </c>
      <c r="L1" s="119"/>
      <c r="M1" s="118"/>
      <c r="N1" s="118"/>
      <c r="O1" s="118"/>
    </row>
    <row r="2" spans="2:34" x14ac:dyDescent="0.2">
      <c r="B2" s="120" t="s">
        <v>84</v>
      </c>
      <c r="C2" s="121" t="s">
        <v>85</v>
      </c>
      <c r="D2" s="121" t="s">
        <v>86</v>
      </c>
      <c r="E2" s="121" t="s">
        <v>87</v>
      </c>
      <c r="F2" s="121" t="s">
        <v>88</v>
      </c>
      <c r="G2" s="121" t="s">
        <v>89</v>
      </c>
      <c r="H2" s="121" t="s">
        <v>90</v>
      </c>
      <c r="I2" s="121" t="s">
        <v>91</v>
      </c>
      <c r="J2" s="121" t="s">
        <v>117</v>
      </c>
      <c r="K2" s="121" t="s">
        <v>92</v>
      </c>
      <c r="L2" s="121" t="s">
        <v>93</v>
      </c>
      <c r="M2" s="121" t="s">
        <v>94</v>
      </c>
      <c r="N2" s="121" t="s">
        <v>95</v>
      </c>
      <c r="O2" s="118"/>
      <c r="Q2" s="118" t="s">
        <v>125</v>
      </c>
      <c r="R2" s="118" t="s">
        <v>96</v>
      </c>
      <c r="S2" s="118" t="s">
        <v>97</v>
      </c>
      <c r="T2" s="122">
        <v>2019</v>
      </c>
      <c r="U2" s="122">
        <f>T2+1</f>
        <v>2020</v>
      </c>
      <c r="V2" s="122">
        <f t="shared" ref="V2" si="0">U2+1</f>
        <v>2021</v>
      </c>
      <c r="W2" s="164" t="s">
        <v>126</v>
      </c>
      <c r="X2" s="123">
        <v>2023</v>
      </c>
      <c r="Y2" s="123">
        <f>X2+1</f>
        <v>2024</v>
      </c>
      <c r="Z2" s="123">
        <f t="shared" ref="Z2:AH2" si="1">Y2+1</f>
        <v>2025</v>
      </c>
      <c r="AA2" s="123">
        <f t="shared" si="1"/>
        <v>2026</v>
      </c>
      <c r="AB2" s="123">
        <f t="shared" si="1"/>
        <v>2027</v>
      </c>
      <c r="AC2" s="123">
        <f t="shared" si="1"/>
        <v>2028</v>
      </c>
      <c r="AD2" s="123">
        <f t="shared" si="1"/>
        <v>2029</v>
      </c>
      <c r="AE2" s="123">
        <f t="shared" si="1"/>
        <v>2030</v>
      </c>
      <c r="AF2" s="123">
        <f t="shared" si="1"/>
        <v>2031</v>
      </c>
      <c r="AG2" s="123">
        <f t="shared" si="1"/>
        <v>2032</v>
      </c>
      <c r="AH2" s="123">
        <f t="shared" si="1"/>
        <v>2033</v>
      </c>
    </row>
    <row r="3" spans="2:34" x14ac:dyDescent="0.2">
      <c r="B3" s="124" t="s">
        <v>118</v>
      </c>
      <c r="C3" s="125">
        <v>1798</v>
      </c>
      <c r="D3" s="125">
        <v>2056</v>
      </c>
      <c r="E3" s="125">
        <v>2139</v>
      </c>
      <c r="F3" s="125">
        <f>8158-E3-D3-C3</f>
        <v>2165</v>
      </c>
      <c r="G3" s="125">
        <v>2134</v>
      </c>
      <c r="H3" s="125">
        <v>2283</v>
      </c>
      <c r="I3" s="125">
        <v>2252</v>
      </c>
      <c r="J3" s="125">
        <f>F3*(1+J22)</f>
        <v>2229.9500000000003</v>
      </c>
      <c r="K3" s="125">
        <f t="shared" ref="K3:M3" si="2">G3*(1+K22)</f>
        <v>2219.36</v>
      </c>
      <c r="L3" s="125">
        <f t="shared" si="2"/>
        <v>2374.3200000000002</v>
      </c>
      <c r="M3" s="125">
        <f t="shared" si="2"/>
        <v>2319.56</v>
      </c>
      <c r="N3" s="125">
        <f>J3*(1+N22)</f>
        <v>2319.1480000000001</v>
      </c>
      <c r="O3" s="124"/>
      <c r="Q3" s="124">
        <v>4411</v>
      </c>
      <c r="R3" s="124">
        <v>5130</v>
      </c>
      <c r="S3" s="125">
        <v>6138</v>
      </c>
      <c r="T3" s="125">
        <v>6781</v>
      </c>
      <c r="U3" s="124">
        <v>6656</v>
      </c>
      <c r="V3" s="124">
        <f>SUM(C3:F3)</f>
        <v>8158</v>
      </c>
      <c r="W3" s="124">
        <f>SUM(G3:J3)</f>
        <v>8898.9500000000007</v>
      </c>
      <c r="X3" s="124">
        <f>SUM(K3:N3)</f>
        <v>9232.387999999999</v>
      </c>
      <c r="Y3" s="124"/>
      <c r="Z3" s="124"/>
      <c r="AA3" s="124"/>
      <c r="AB3" s="124"/>
      <c r="AC3" s="124"/>
      <c r="AD3" s="124"/>
      <c r="AE3" s="124"/>
      <c r="AF3" s="124"/>
      <c r="AG3" s="124"/>
      <c r="AH3" s="126"/>
    </row>
    <row r="4" spans="2:34" x14ac:dyDescent="0.2">
      <c r="B4" s="124" t="s">
        <v>119</v>
      </c>
      <c r="C4" s="125">
        <v>932</v>
      </c>
      <c r="D4" s="125">
        <v>1076</v>
      </c>
      <c r="E4" s="125">
        <v>1276</v>
      </c>
      <c r="F4" s="125">
        <f>4664-E4-D4-C4</f>
        <v>1380</v>
      </c>
      <c r="G4" s="125">
        <v>1395</v>
      </c>
      <c r="H4" s="125">
        <v>1615</v>
      </c>
      <c r="I4" s="125">
        <v>1803</v>
      </c>
      <c r="J4" s="125">
        <f t="shared" ref="J4:J7" si="3">F4*(1+J23)</f>
        <v>1849.2</v>
      </c>
      <c r="K4" s="125">
        <f t="shared" ref="K4:K7" si="4">G4*(1+K23)</f>
        <v>1827.45</v>
      </c>
      <c r="L4" s="125">
        <f t="shared" ref="L4:L7" si="5">H4*(1+L23)</f>
        <v>2180.25</v>
      </c>
      <c r="M4" s="125">
        <f t="shared" ref="M4:M7" si="6">I4*(1+M23)</f>
        <v>2452.08</v>
      </c>
      <c r="N4" s="125">
        <f t="shared" ref="N4:N7" si="7">J4*(1+N23)</f>
        <v>2551.8959999999997</v>
      </c>
      <c r="O4" s="124"/>
      <c r="Q4" s="124">
        <v>3568</v>
      </c>
      <c r="R4" s="124">
        <v>4174</v>
      </c>
      <c r="S4" s="125">
        <v>4954</v>
      </c>
      <c r="T4" s="125">
        <v>5606</v>
      </c>
      <c r="U4" s="124">
        <v>3512</v>
      </c>
      <c r="V4" s="124">
        <f>SUM(C4:F4)</f>
        <v>4664</v>
      </c>
      <c r="W4" s="124">
        <f>SUM(G4:J4)</f>
        <v>6662.2</v>
      </c>
      <c r="X4" s="124">
        <f>SUM(K4:N4)</f>
        <v>9011.6759999999995</v>
      </c>
      <c r="Y4" s="124"/>
      <c r="Z4" s="124"/>
      <c r="AA4" s="124"/>
      <c r="AB4" s="124"/>
      <c r="AC4" s="124"/>
      <c r="AD4" s="124"/>
      <c r="AE4" s="124"/>
      <c r="AF4" s="124"/>
      <c r="AG4" s="124"/>
      <c r="AH4" s="126"/>
    </row>
    <row r="5" spans="2:34" x14ac:dyDescent="0.2">
      <c r="B5" s="124" t="s">
        <v>120</v>
      </c>
      <c r="C5" s="125">
        <v>2351</v>
      </c>
      <c r="D5" s="125">
        <v>2612</v>
      </c>
      <c r="E5" s="125">
        <v>2849</v>
      </c>
      <c r="F5" s="125">
        <f>10799-E5-D5-C5</f>
        <v>2987</v>
      </c>
      <c r="G5" s="125">
        <v>2912</v>
      </c>
      <c r="H5" s="125">
        <v>3061</v>
      </c>
      <c r="I5" s="125">
        <v>3288</v>
      </c>
      <c r="J5" s="125">
        <f t="shared" si="3"/>
        <v>3375.3099999999995</v>
      </c>
      <c r="K5" s="125">
        <f t="shared" si="4"/>
        <v>3203.2000000000003</v>
      </c>
      <c r="L5" s="125">
        <f t="shared" si="5"/>
        <v>3458.93</v>
      </c>
      <c r="M5" s="125">
        <f t="shared" si="6"/>
        <v>3781.2</v>
      </c>
      <c r="N5" s="125">
        <f t="shared" si="7"/>
        <v>3881.606499999999</v>
      </c>
      <c r="O5" s="124"/>
      <c r="Q5" s="124">
        <v>5143</v>
      </c>
      <c r="R5" s="124">
        <v>6188</v>
      </c>
      <c r="S5" s="125">
        <v>7391</v>
      </c>
      <c r="T5" s="125">
        <v>8469</v>
      </c>
      <c r="U5" s="124">
        <v>8731</v>
      </c>
      <c r="V5" s="124">
        <f>SUM(C5:F5)</f>
        <v>10799</v>
      </c>
      <c r="W5" s="124">
        <f>SUM(G5:J5)</f>
        <v>12636.31</v>
      </c>
      <c r="X5" s="124">
        <f>SUM(K5:N5)</f>
        <v>14324.9365</v>
      </c>
      <c r="Y5" s="124"/>
      <c r="Z5" s="124"/>
      <c r="AA5" s="124"/>
      <c r="AB5" s="124"/>
      <c r="AC5" s="124"/>
      <c r="AD5" s="124"/>
      <c r="AE5" s="124"/>
      <c r="AF5" s="124"/>
      <c r="AG5" s="124"/>
      <c r="AH5" s="126"/>
    </row>
    <row r="6" spans="2:34" x14ac:dyDescent="0.2">
      <c r="B6" s="124" t="s">
        <v>121</v>
      </c>
      <c r="C6" s="125">
        <v>1347</v>
      </c>
      <c r="D6" s="125">
        <v>1475</v>
      </c>
      <c r="E6" s="125">
        <v>1562</v>
      </c>
      <c r="F6" s="125">
        <f>6224-E6-D6-C6</f>
        <v>1840</v>
      </c>
      <c r="G6" s="125">
        <v>1584</v>
      </c>
      <c r="H6" s="125">
        <v>1745</v>
      </c>
      <c r="I6" s="125">
        <v>1824</v>
      </c>
      <c r="J6" s="125">
        <f t="shared" si="3"/>
        <v>2134.3999999999996</v>
      </c>
      <c r="K6" s="125">
        <f t="shared" si="4"/>
        <v>1853.28</v>
      </c>
      <c r="L6" s="125">
        <f t="shared" si="5"/>
        <v>2024.1999999999998</v>
      </c>
      <c r="M6" s="125">
        <f t="shared" si="6"/>
        <v>2115.8399999999997</v>
      </c>
      <c r="N6" s="125">
        <f t="shared" si="7"/>
        <v>2454.5599999999995</v>
      </c>
      <c r="O6" s="124"/>
      <c r="Q6" s="124">
        <v>2431</v>
      </c>
      <c r="R6" s="124">
        <v>2853</v>
      </c>
      <c r="S6" s="125">
        <v>3348</v>
      </c>
      <c r="T6" s="125">
        <v>4124</v>
      </c>
      <c r="U6" s="124">
        <v>4717</v>
      </c>
      <c r="V6" s="124">
        <f>SUM(C6:F6)</f>
        <v>6224</v>
      </c>
      <c r="W6" s="124">
        <f>SUM(G6:J6)</f>
        <v>7287.4</v>
      </c>
      <c r="X6" s="124">
        <f>SUM(K6:N6)</f>
        <v>8447.8799999999992</v>
      </c>
      <c r="Y6" s="124"/>
      <c r="Z6" s="124"/>
      <c r="AA6" s="124"/>
      <c r="AB6" s="124"/>
      <c r="AC6" s="124"/>
      <c r="AD6" s="124"/>
      <c r="AE6" s="124"/>
      <c r="AF6" s="124"/>
      <c r="AG6" s="124"/>
      <c r="AH6" s="126"/>
    </row>
    <row r="7" spans="2:34" x14ac:dyDescent="0.2">
      <c r="B7" s="124" t="s">
        <v>139</v>
      </c>
      <c r="C7" s="125">
        <v>-2273</v>
      </c>
      <c r="D7" s="125">
        <v>-2691</v>
      </c>
      <c r="E7" s="125">
        <v>-2841</v>
      </c>
      <c r="F7" s="125">
        <f>-10961-E7-D7-C7</f>
        <v>-3156</v>
      </c>
      <c r="G7" s="125">
        <v>-2858</v>
      </c>
      <c r="H7" s="125">
        <v>-3207</v>
      </c>
      <c r="I7" s="125">
        <v>-3411</v>
      </c>
      <c r="J7" s="125">
        <f t="shared" si="3"/>
        <v>-3787.2</v>
      </c>
      <c r="K7" s="125">
        <f t="shared" si="4"/>
        <v>-3372.4399999999996</v>
      </c>
      <c r="L7" s="125">
        <f t="shared" si="5"/>
        <v>-3848.3999999999996</v>
      </c>
      <c r="M7" s="125">
        <f t="shared" si="6"/>
        <v>-4093.2</v>
      </c>
      <c r="N7" s="125">
        <f t="shared" si="7"/>
        <v>-4544.6399999999994</v>
      </c>
      <c r="O7" s="125"/>
      <c r="P7" s="125"/>
      <c r="Q7" s="125">
        <v>-4777</v>
      </c>
      <c r="R7" s="125">
        <v>-5848</v>
      </c>
      <c r="S7" s="125">
        <v>-6881</v>
      </c>
      <c r="T7" s="125">
        <v>-8097</v>
      </c>
      <c r="U7" s="125">
        <v>-8315</v>
      </c>
      <c r="V7" s="124">
        <f>SUM(C7:F7)</f>
        <v>-10961</v>
      </c>
      <c r="W7" s="124">
        <f>SUM(G7:J7)</f>
        <v>-13263.2</v>
      </c>
      <c r="X7" s="124">
        <f>SUM(K7:N7)</f>
        <v>-15858.679999999998</v>
      </c>
      <c r="Y7" s="124"/>
      <c r="Z7" s="124"/>
      <c r="AA7" s="124"/>
      <c r="AB7" s="124"/>
      <c r="AC7" s="124"/>
      <c r="AD7" s="124"/>
      <c r="AE7" s="124"/>
      <c r="AF7" s="124"/>
      <c r="AG7" s="124"/>
      <c r="AH7" s="126"/>
    </row>
    <row r="8" spans="2:34" s="129" customFormat="1" x14ac:dyDescent="0.2">
      <c r="B8" s="127" t="s">
        <v>45</v>
      </c>
      <c r="C8" s="128">
        <f t="shared" ref="C8:G8" si="8">SUM(C3:C7)</f>
        <v>4155</v>
      </c>
      <c r="D8" s="128">
        <f t="shared" si="8"/>
        <v>4528</v>
      </c>
      <c r="E8" s="128">
        <f t="shared" si="8"/>
        <v>4985</v>
      </c>
      <c r="F8" s="128">
        <f t="shared" si="8"/>
        <v>5216</v>
      </c>
      <c r="G8" s="128">
        <f t="shared" si="8"/>
        <v>5167</v>
      </c>
      <c r="H8" s="128">
        <f t="shared" ref="H8" si="9">SUM(H3:H7)</f>
        <v>5497</v>
      </c>
      <c r="I8" s="128">
        <f t="shared" ref="I8" si="10">SUM(I3:I7)</f>
        <v>5756</v>
      </c>
      <c r="J8" s="128">
        <f t="shared" ref="J8" si="11">SUM(J3:J7)</f>
        <v>5801.6600000000008</v>
      </c>
      <c r="K8" s="128">
        <f t="shared" ref="K8" si="12">SUM(K3:K7)</f>
        <v>5730.8500000000013</v>
      </c>
      <c r="L8" s="128">
        <f t="shared" ref="L8" si="13">SUM(L3:L7)</f>
        <v>6189.3000000000011</v>
      </c>
      <c r="M8" s="128">
        <f t="shared" ref="M8" si="14">SUM(M3:M7)</f>
        <v>6575.4800000000005</v>
      </c>
      <c r="N8" s="128">
        <f t="shared" ref="N8" si="15">SUM(N3:N7)</f>
        <v>6662.5704999999998</v>
      </c>
      <c r="O8" s="128"/>
      <c r="P8" s="128"/>
      <c r="Q8" s="128">
        <f t="shared" ref="Q8" si="16">SUM(Q3:Q7)</f>
        <v>10776</v>
      </c>
      <c r="R8" s="128">
        <f t="shared" ref="R8" si="17">SUM(R3:R7)</f>
        <v>12497</v>
      </c>
      <c r="S8" s="128">
        <f t="shared" ref="S8" si="18">SUM(S3:S7)</f>
        <v>14950</v>
      </c>
      <c r="T8" s="128">
        <f t="shared" ref="T8" si="19">SUM(T3:T7)</f>
        <v>16883</v>
      </c>
      <c r="U8" s="128">
        <f t="shared" ref="U8" si="20">SUM(U3:U7)</f>
        <v>15301</v>
      </c>
      <c r="V8" s="128">
        <f t="shared" ref="V8" si="21">SUM(V3:V7)</f>
        <v>18884</v>
      </c>
      <c r="W8" s="128">
        <f>SUM(W3:W7)</f>
        <v>22221.66</v>
      </c>
      <c r="X8" s="128">
        <f t="shared" ref="X8" si="22">SUM(X3:X7)</f>
        <v>25158.200499999999</v>
      </c>
      <c r="Y8" s="127"/>
      <c r="Z8" s="127"/>
      <c r="AA8" s="127"/>
      <c r="AB8" s="127"/>
      <c r="AC8" s="127"/>
      <c r="AD8" s="127"/>
      <c r="AE8" s="127"/>
      <c r="AF8" s="127"/>
      <c r="AG8" s="127"/>
      <c r="AH8" s="130"/>
    </row>
    <row r="9" spans="2:34" x14ac:dyDescent="0.2">
      <c r="B9" s="124" t="s">
        <v>100</v>
      </c>
      <c r="C9" s="124">
        <v>1676</v>
      </c>
      <c r="D9" s="124">
        <v>1718</v>
      </c>
      <c r="E9" s="124">
        <v>1831</v>
      </c>
      <c r="F9" s="124">
        <f>7087-E9-D9-C9</f>
        <v>1862</v>
      </c>
      <c r="G9" s="124">
        <v>1844</v>
      </c>
      <c r="H9" s="124">
        <v>1947</v>
      </c>
      <c r="I9" s="124">
        <v>2069</v>
      </c>
      <c r="J9" s="124">
        <f>J$8*J29</f>
        <v>2070.4716663029026</v>
      </c>
      <c r="K9" s="124">
        <f t="shared" ref="K9:N9" si="23">K$8*K29</f>
        <v>2045.054020808707</v>
      </c>
      <c r="L9" s="124">
        <f t="shared" si="23"/>
        <v>2208.6052415245199</v>
      </c>
      <c r="M9" s="124">
        <f t="shared" si="23"/>
        <v>2350.7657747244389</v>
      </c>
      <c r="N9" s="124">
        <f t="shared" si="23"/>
        <v>2378.6593900658963</v>
      </c>
      <c r="O9" s="124"/>
      <c r="Q9" s="124">
        <v>3827</v>
      </c>
      <c r="R9" s="124">
        <v>4653</v>
      </c>
      <c r="S9" s="124">
        <v>5174</v>
      </c>
      <c r="T9" s="124">
        <v>5763</v>
      </c>
      <c r="U9" s="124">
        <v>5910</v>
      </c>
      <c r="V9" s="124">
        <f>SUM(C9:F9)</f>
        <v>7087</v>
      </c>
      <c r="W9" s="124">
        <f>SUM(G9:J9)</f>
        <v>7930.471666302903</v>
      </c>
      <c r="X9" s="124">
        <f>SUM(K9:N9)</f>
        <v>8983.0844271235619</v>
      </c>
      <c r="Y9" s="124"/>
      <c r="Z9" s="124"/>
      <c r="AA9" s="124"/>
      <c r="AB9" s="124"/>
      <c r="AC9" s="124"/>
      <c r="AD9" s="124"/>
      <c r="AE9" s="124"/>
      <c r="AF9" s="124"/>
      <c r="AG9" s="124"/>
      <c r="AH9" s="126"/>
    </row>
    <row r="10" spans="2:34" x14ac:dyDescent="0.2">
      <c r="B10" s="124" t="s">
        <v>99</v>
      </c>
      <c r="C10" s="124">
        <v>119</v>
      </c>
      <c r="D10" s="124">
        <v>216</v>
      </c>
      <c r="E10" s="124">
        <v>222</v>
      </c>
      <c r="F10" s="124">
        <f>895-E10-D10-C10</f>
        <v>338</v>
      </c>
      <c r="G10" s="124">
        <v>181</v>
      </c>
      <c r="H10" s="124">
        <v>210</v>
      </c>
      <c r="I10" s="124">
        <v>182</v>
      </c>
      <c r="J10" s="124">
        <f t="shared" ref="J10:N11" si="24">J$8*J30</f>
        <v>246.06645470141763</v>
      </c>
      <c r="K10" s="124">
        <f t="shared" si="24"/>
        <v>210.98832884628604</v>
      </c>
      <c r="L10" s="124">
        <f t="shared" si="24"/>
        <v>230.63062382179467</v>
      </c>
      <c r="M10" s="124">
        <f t="shared" si="24"/>
        <v>243.47576290923089</v>
      </c>
      <c r="N10" s="124">
        <f t="shared" si="24"/>
        <v>255.70941509078182</v>
      </c>
      <c r="O10" s="124"/>
      <c r="Q10" s="124">
        <v>698</v>
      </c>
      <c r="R10" s="124">
        <v>771</v>
      </c>
      <c r="S10" s="124">
        <v>907</v>
      </c>
      <c r="T10" s="124">
        <v>934</v>
      </c>
      <c r="U10" s="124">
        <v>657</v>
      </c>
      <c r="V10" s="124">
        <f>SUM(C10:F10)</f>
        <v>895</v>
      </c>
      <c r="W10" s="124">
        <f>SUM(G10:J10)</f>
        <v>819.06645470141757</v>
      </c>
      <c r="X10" s="124">
        <f>SUM(K10:N10)</f>
        <v>940.80413066809342</v>
      </c>
      <c r="Y10" s="124"/>
      <c r="Z10" s="124"/>
      <c r="AA10" s="124"/>
      <c r="AB10" s="124"/>
      <c r="AC10" s="124"/>
      <c r="AD10" s="124"/>
      <c r="AE10" s="124"/>
      <c r="AF10" s="124"/>
      <c r="AG10" s="124"/>
      <c r="AH10" s="126"/>
    </row>
    <row r="11" spans="2:34" x14ac:dyDescent="0.2">
      <c r="B11" s="124" t="s">
        <v>50</v>
      </c>
      <c r="C11" s="124">
        <v>163</v>
      </c>
      <c r="D11" s="124">
        <v>186</v>
      </c>
      <c r="E11" s="124">
        <v>188</v>
      </c>
      <c r="F11" s="124">
        <f>726-E11-D11-C11</f>
        <v>189</v>
      </c>
      <c r="G11" s="124">
        <v>192</v>
      </c>
      <c r="H11" s="124">
        <v>189</v>
      </c>
      <c r="I11" s="124">
        <v>185</v>
      </c>
      <c r="J11" s="124">
        <f t="shared" si="24"/>
        <v>202.93673102300471</v>
      </c>
      <c r="K11" s="124">
        <f t="shared" si="24"/>
        <v>198.66097392665219</v>
      </c>
      <c r="L11" s="124">
        <f t="shared" si="24"/>
        <v>210.69465076232856</v>
      </c>
      <c r="M11" s="124">
        <f t="shared" si="24"/>
        <v>223.28094082712695</v>
      </c>
      <c r="N11" s="124">
        <f t="shared" si="24"/>
        <v>229.26341855142553</v>
      </c>
      <c r="O11" s="124"/>
      <c r="Q11" s="124">
        <v>373</v>
      </c>
      <c r="R11" s="124">
        <v>436</v>
      </c>
      <c r="S11" s="124">
        <v>459</v>
      </c>
      <c r="T11" s="124">
        <v>522</v>
      </c>
      <c r="U11" s="124">
        <v>580</v>
      </c>
      <c r="V11" s="124">
        <f>SUM(C11:F11)</f>
        <v>726</v>
      </c>
      <c r="W11" s="124">
        <f>SUM(G11:J11)</f>
        <v>768.93673102300477</v>
      </c>
      <c r="X11" s="124">
        <f>SUM(K11:N11)</f>
        <v>861.89998406753318</v>
      </c>
      <c r="Y11" s="124"/>
      <c r="Z11" s="124"/>
      <c r="AA11" s="124"/>
      <c r="AB11" s="124"/>
      <c r="AC11" s="124"/>
      <c r="AD11" s="124"/>
      <c r="AE11" s="124"/>
      <c r="AF11" s="124"/>
      <c r="AG11" s="124"/>
      <c r="AH11" s="131"/>
    </row>
    <row r="12" spans="2:34" x14ac:dyDescent="0.2">
      <c r="B12" s="124" t="s">
        <v>103</v>
      </c>
      <c r="C12" s="124">
        <v>0</v>
      </c>
      <c r="D12" s="124">
        <v>67</v>
      </c>
      <c r="E12" s="124">
        <v>27</v>
      </c>
      <c r="F12" s="124">
        <f>94-E12-D12-C12</f>
        <v>0</v>
      </c>
      <c r="G12" s="124">
        <v>0</v>
      </c>
      <c r="H12" s="124">
        <v>133</v>
      </c>
      <c r="I12" s="124">
        <v>208</v>
      </c>
      <c r="J12" s="135">
        <v>150</v>
      </c>
      <c r="K12" s="135">
        <v>150</v>
      </c>
      <c r="L12" s="135">
        <v>150</v>
      </c>
      <c r="M12" s="135">
        <v>150</v>
      </c>
      <c r="N12" s="135">
        <v>150</v>
      </c>
      <c r="O12" s="124"/>
      <c r="Q12" s="124">
        <v>117</v>
      </c>
      <c r="R12" s="124">
        <v>15</v>
      </c>
      <c r="S12" s="124">
        <v>1128</v>
      </c>
      <c r="T12" s="124">
        <v>0</v>
      </c>
      <c r="U12" s="124">
        <v>73</v>
      </c>
      <c r="V12" s="124">
        <f>SUM(C12:F12)</f>
        <v>94</v>
      </c>
      <c r="W12" s="124">
        <f>SUM(G12:J12)</f>
        <v>491</v>
      </c>
      <c r="X12" s="124">
        <f>SUM(K12:N12)</f>
        <v>600</v>
      </c>
      <c r="Y12" s="124"/>
      <c r="Z12" s="124"/>
      <c r="AA12" s="124"/>
      <c r="AB12" s="124"/>
      <c r="AC12" s="124"/>
      <c r="AD12" s="124"/>
      <c r="AE12" s="124"/>
      <c r="AF12" s="124"/>
      <c r="AG12" s="124"/>
      <c r="AH12" s="133"/>
    </row>
    <row r="13" spans="2:34" s="129" customFormat="1" x14ac:dyDescent="0.2">
      <c r="B13" s="127" t="s">
        <v>142</v>
      </c>
      <c r="C13" s="127">
        <f t="shared" ref="C13:G13" si="25">C8-SUM(C9:C12)</f>
        <v>2197</v>
      </c>
      <c r="D13" s="127">
        <f t="shared" si="25"/>
        <v>2341</v>
      </c>
      <c r="E13" s="127">
        <f t="shared" si="25"/>
        <v>2717</v>
      </c>
      <c r="F13" s="127">
        <f t="shared" si="25"/>
        <v>2827</v>
      </c>
      <c r="G13" s="127">
        <f t="shared" si="25"/>
        <v>2950</v>
      </c>
      <c r="H13" s="127">
        <f t="shared" ref="H13" si="26">H8-SUM(H9:H12)</f>
        <v>3018</v>
      </c>
      <c r="I13" s="127">
        <f t="shared" ref="I13" si="27">I8-SUM(I9:I12)</f>
        <v>3112</v>
      </c>
      <c r="J13" s="127">
        <f t="shared" ref="J13" si="28">J8-SUM(J9:J12)</f>
        <v>3132.1851479726761</v>
      </c>
      <c r="K13" s="127">
        <f t="shared" ref="K13" si="29">K8-SUM(K9:K12)</f>
        <v>3126.146676418356</v>
      </c>
      <c r="L13" s="127">
        <f t="shared" ref="L13" si="30">L8-SUM(L9:L12)</f>
        <v>3389.369483891358</v>
      </c>
      <c r="M13" s="127">
        <f t="shared" ref="M13" si="31">M8-SUM(M9:M12)</f>
        <v>3607.9575215392038</v>
      </c>
      <c r="N13" s="127">
        <f t="shared" ref="N13" si="32">N8-SUM(N9:N12)</f>
        <v>3648.9382762918958</v>
      </c>
      <c r="O13" s="127"/>
      <c r="P13" s="127"/>
      <c r="Q13" s="127">
        <f t="shared" ref="Q13" si="33">Q8-SUM(Q9:Q12)</f>
        <v>5761</v>
      </c>
      <c r="R13" s="127">
        <f t="shared" ref="R13" si="34">R8-SUM(R9:R12)</f>
        <v>6622</v>
      </c>
      <c r="S13" s="127">
        <f t="shared" ref="S13" si="35">S8-SUM(S9:S12)</f>
        <v>7282</v>
      </c>
      <c r="T13" s="127">
        <f t="shared" ref="T13" si="36">T8-SUM(T9:T12)</f>
        <v>9664</v>
      </c>
      <c r="U13" s="127">
        <f t="shared" ref="U13" si="37">U8-SUM(U9:U12)</f>
        <v>8081</v>
      </c>
      <c r="V13" s="127">
        <f t="shared" ref="V13" si="38">V8-SUM(V9:V12)</f>
        <v>10082</v>
      </c>
      <c r="W13" s="127">
        <f t="shared" ref="W13" si="39">W8-SUM(W9:W12)</f>
        <v>12212.185147972676</v>
      </c>
      <c r="X13" s="127">
        <f t="shared" ref="X13" si="40">X8-SUM(X9:X12)</f>
        <v>13772.41195814081</v>
      </c>
      <c r="Y13" s="127"/>
      <c r="Z13" s="127"/>
      <c r="AA13" s="127"/>
      <c r="AB13" s="127"/>
      <c r="AC13" s="127"/>
      <c r="AD13" s="127"/>
      <c r="AE13" s="127"/>
      <c r="AF13" s="127"/>
      <c r="AG13" s="127"/>
      <c r="AH13" s="134"/>
    </row>
    <row r="14" spans="2:34" x14ac:dyDescent="0.2">
      <c r="B14" s="124" t="s">
        <v>122</v>
      </c>
      <c r="C14" s="124">
        <f>1+94+5</f>
        <v>100</v>
      </c>
      <c r="D14" s="124">
        <f>3+243-3</f>
        <v>243</v>
      </c>
      <c r="E14" s="124">
        <f>5+197+7</f>
        <v>209</v>
      </c>
      <c r="F14" s="124">
        <f>11+645-E14-D14-C14</f>
        <v>104</v>
      </c>
      <c r="G14" s="124">
        <f>5-76+4</f>
        <v>-67</v>
      </c>
      <c r="H14" s="124">
        <f>7-117+4</f>
        <v>-106</v>
      </c>
      <c r="I14" s="124">
        <f>16+60+4</f>
        <v>80</v>
      </c>
      <c r="J14" s="135">
        <v>100</v>
      </c>
      <c r="K14" s="135">
        <v>100</v>
      </c>
      <c r="L14" s="135">
        <v>100</v>
      </c>
      <c r="M14" s="135">
        <v>100</v>
      </c>
      <c r="N14" s="135">
        <v>100</v>
      </c>
      <c r="O14" s="124"/>
      <c r="Q14" s="124">
        <f>43-63</f>
        <v>-20</v>
      </c>
      <c r="R14" s="124">
        <f>56-2</f>
        <v>54</v>
      </c>
      <c r="S14" s="124">
        <f>122-14</f>
        <v>108</v>
      </c>
      <c r="T14" s="124">
        <f>97+167+27</f>
        <v>291</v>
      </c>
      <c r="U14" s="124">
        <f>24+30+5</f>
        <v>59</v>
      </c>
      <c r="V14" s="124">
        <f>SUM(C14:F14)</f>
        <v>656</v>
      </c>
      <c r="W14" s="124">
        <f>SUM(G14:J14)</f>
        <v>7</v>
      </c>
      <c r="X14" s="124">
        <f>SUM(K14:N14)</f>
        <v>400</v>
      </c>
      <c r="Y14" s="124"/>
      <c r="Z14" s="124"/>
      <c r="AA14" s="124"/>
      <c r="AB14" s="124"/>
      <c r="AC14" s="124"/>
      <c r="AD14" s="124"/>
      <c r="AE14" s="124"/>
      <c r="AF14" s="124"/>
      <c r="AG14" s="124"/>
      <c r="AH14" s="132"/>
    </row>
    <row r="15" spans="2:34" x14ac:dyDescent="0.2">
      <c r="B15" s="124" t="s">
        <v>143</v>
      </c>
      <c r="C15" s="124">
        <v>-107</v>
      </c>
      <c r="D15" s="124">
        <v>-106</v>
      </c>
      <c r="E15" s="124">
        <v>-110</v>
      </c>
      <c r="F15" s="124">
        <f>-431-E15-D15-C15</f>
        <v>-108</v>
      </c>
      <c r="G15" s="124">
        <v>-110</v>
      </c>
      <c r="H15" s="124">
        <v>-114</v>
      </c>
      <c r="I15" s="124">
        <v>-120</v>
      </c>
      <c r="J15" s="135">
        <v>-120</v>
      </c>
      <c r="K15" s="135">
        <v>-120</v>
      </c>
      <c r="L15" s="135">
        <v>-120</v>
      </c>
      <c r="M15" s="135">
        <v>-120</v>
      </c>
      <c r="N15" s="135">
        <v>-120</v>
      </c>
      <c r="O15" s="127"/>
      <c r="Q15" s="124">
        <v>-95</v>
      </c>
      <c r="R15" s="124">
        <v>-154</v>
      </c>
      <c r="S15" s="124">
        <v>-186</v>
      </c>
      <c r="T15" s="124">
        <v>-224</v>
      </c>
      <c r="U15" s="124">
        <v>-380</v>
      </c>
      <c r="V15" s="124">
        <f>SUM(C15:F15)</f>
        <v>-431</v>
      </c>
      <c r="W15" s="124">
        <f>SUM(G15:J15)</f>
        <v>-464</v>
      </c>
      <c r="X15" s="124">
        <f>SUM(K15:N15)</f>
        <v>-480</v>
      </c>
      <c r="Y15" s="127"/>
      <c r="Z15" s="127"/>
      <c r="AA15" s="127"/>
      <c r="AB15" s="127"/>
      <c r="AC15" s="127"/>
      <c r="AD15" s="127"/>
      <c r="AE15" s="127"/>
      <c r="AF15" s="127"/>
      <c r="AG15" s="127"/>
    </row>
    <row r="16" spans="2:34" x14ac:dyDescent="0.2">
      <c r="B16" s="124" t="s">
        <v>123</v>
      </c>
      <c r="C16" s="124">
        <f t="shared" ref="C16:G16" si="41">C13+C14+C15</f>
        <v>2190</v>
      </c>
      <c r="D16" s="124">
        <f t="shared" si="41"/>
        <v>2478</v>
      </c>
      <c r="E16" s="124">
        <f t="shared" si="41"/>
        <v>2816</v>
      </c>
      <c r="F16" s="124">
        <f t="shared" si="41"/>
        <v>2823</v>
      </c>
      <c r="G16" s="124">
        <f t="shared" si="41"/>
        <v>2773</v>
      </c>
      <c r="H16" s="124">
        <f>H13+H14+H15</f>
        <v>2798</v>
      </c>
      <c r="I16" s="124">
        <f t="shared" ref="I16:X16" si="42">I13+I14+I15</f>
        <v>3072</v>
      </c>
      <c r="J16" s="124">
        <f>J13+J14+J15</f>
        <v>3112.1851479726761</v>
      </c>
      <c r="K16" s="124">
        <f t="shared" si="42"/>
        <v>3106.146676418356</v>
      </c>
      <c r="L16" s="124">
        <f t="shared" si="42"/>
        <v>3369.369483891358</v>
      </c>
      <c r="M16" s="124">
        <f t="shared" si="42"/>
        <v>3587.9575215392038</v>
      </c>
      <c r="N16" s="124">
        <f t="shared" si="42"/>
        <v>3628.9382762918958</v>
      </c>
      <c r="O16" s="124"/>
      <c r="P16" s="124"/>
      <c r="Q16" s="124">
        <f t="shared" si="42"/>
        <v>5646</v>
      </c>
      <c r="R16" s="124">
        <f t="shared" si="42"/>
        <v>6522</v>
      </c>
      <c r="S16" s="124">
        <f t="shared" si="42"/>
        <v>7204</v>
      </c>
      <c r="T16" s="124">
        <f t="shared" si="42"/>
        <v>9731</v>
      </c>
      <c r="U16" s="124">
        <f t="shared" si="42"/>
        <v>7760</v>
      </c>
      <c r="V16" s="124">
        <f t="shared" si="42"/>
        <v>10307</v>
      </c>
      <c r="W16" s="124">
        <f t="shared" si="42"/>
        <v>11755.185147972676</v>
      </c>
      <c r="X16" s="124">
        <f t="shared" si="42"/>
        <v>13692.41195814081</v>
      </c>
      <c r="Y16" s="127"/>
      <c r="Z16" s="127"/>
      <c r="AA16" s="127"/>
      <c r="AB16" s="127"/>
      <c r="AC16" s="127"/>
      <c r="AD16" s="127"/>
      <c r="AE16" s="127"/>
      <c r="AF16" s="127"/>
      <c r="AG16" s="127"/>
    </row>
    <row r="17" spans="2:36" x14ac:dyDescent="0.2">
      <c r="B17" s="124" t="s">
        <v>33</v>
      </c>
      <c r="C17" s="124">
        <v>362</v>
      </c>
      <c r="D17" s="124">
        <v>412</v>
      </c>
      <c r="E17" s="124">
        <v>402</v>
      </c>
      <c r="F17" s="124">
        <f>1620-E17-D17-C17</f>
        <v>444</v>
      </c>
      <c r="G17" s="124">
        <v>142</v>
      </c>
      <c r="H17" s="124">
        <v>523</v>
      </c>
      <c r="I17" s="124">
        <v>573</v>
      </c>
      <c r="J17" s="124">
        <f>J16*J36</f>
        <v>560.19332663508169</v>
      </c>
      <c r="K17" s="124">
        <f t="shared" ref="K17:N17" si="43">K16*K36</f>
        <v>559.10640175530409</v>
      </c>
      <c r="L17" s="124">
        <f t="shared" si="43"/>
        <v>606.48650710044444</v>
      </c>
      <c r="M17" s="124">
        <f t="shared" si="43"/>
        <v>645.83235387705668</v>
      </c>
      <c r="N17" s="124">
        <f t="shared" si="43"/>
        <v>653.20888973254125</v>
      </c>
      <c r="O17" s="124"/>
      <c r="Q17" s="124">
        <v>1587</v>
      </c>
      <c r="R17" s="124">
        <v>2607</v>
      </c>
      <c r="S17" s="124">
        <v>1345</v>
      </c>
      <c r="T17" s="124">
        <v>1613</v>
      </c>
      <c r="U17" s="124">
        <v>1349</v>
      </c>
      <c r="V17" s="124">
        <f>SUM(C17:F17)</f>
        <v>1620</v>
      </c>
      <c r="W17" s="124">
        <f>SUM(G17:J17)</f>
        <v>1798.1933266350816</v>
      </c>
      <c r="X17" s="124">
        <f>SUM(K17:N17)</f>
        <v>2464.6341524653467</v>
      </c>
      <c r="Y17" s="124"/>
      <c r="Z17" s="124"/>
      <c r="AA17" s="124"/>
      <c r="AB17" s="124"/>
      <c r="AC17" s="124"/>
      <c r="AD17" s="124"/>
      <c r="AE17" s="124"/>
      <c r="AF17" s="124"/>
      <c r="AG17" s="124"/>
    </row>
    <row r="18" spans="2:36" s="129" customFormat="1" x14ac:dyDescent="0.2">
      <c r="B18" s="127" t="s">
        <v>124</v>
      </c>
      <c r="C18" s="127">
        <f t="shared" ref="C18:G18" si="44">C16-C17</f>
        <v>1828</v>
      </c>
      <c r="D18" s="127">
        <f t="shared" si="44"/>
        <v>2066</v>
      </c>
      <c r="E18" s="127">
        <f t="shared" si="44"/>
        <v>2414</v>
      </c>
      <c r="F18" s="127">
        <f t="shared" si="44"/>
        <v>2379</v>
      </c>
      <c r="G18" s="127">
        <f t="shared" ref="G18" si="45">G16-G17</f>
        <v>2631</v>
      </c>
      <c r="H18" s="127">
        <f t="shared" ref="H18" si="46">H16-H17</f>
        <v>2275</v>
      </c>
      <c r="I18" s="127">
        <f t="shared" ref="I18" si="47">I16-I17</f>
        <v>2499</v>
      </c>
      <c r="J18" s="127">
        <f t="shared" ref="J18" si="48">J16-J17</f>
        <v>2551.9918213375945</v>
      </c>
      <c r="K18" s="127">
        <f t="shared" ref="K18" si="49">K16-K17</f>
        <v>2547.0402746630521</v>
      </c>
      <c r="L18" s="127">
        <f t="shared" ref="L18" si="50">L16-L17</f>
        <v>2762.8829767909137</v>
      </c>
      <c r="M18" s="127">
        <f t="shared" ref="M18" si="51">M16-M17</f>
        <v>2942.1251676621469</v>
      </c>
      <c r="N18" s="127">
        <f t="shared" ref="N18" si="52">N16-N17</f>
        <v>2975.7293865593547</v>
      </c>
      <c r="O18" s="127"/>
      <c r="P18" s="127"/>
      <c r="Q18" s="127">
        <f t="shared" ref="Q18" si="53">Q16-Q17</f>
        <v>4059</v>
      </c>
      <c r="R18" s="127">
        <f t="shared" ref="R18" si="54">R16-R17</f>
        <v>3915</v>
      </c>
      <c r="S18" s="127">
        <f t="shared" ref="S18" si="55">S16-S17</f>
        <v>5859</v>
      </c>
      <c r="T18" s="127">
        <f t="shared" ref="T18" si="56">T16-T17</f>
        <v>8118</v>
      </c>
      <c r="U18" s="127">
        <f t="shared" ref="U18" si="57">U16-U17</f>
        <v>6411</v>
      </c>
      <c r="V18" s="127">
        <f t="shared" ref="V18" si="58">V16-V17</f>
        <v>8687</v>
      </c>
      <c r="W18" s="127">
        <f t="shared" ref="W18" si="59">W16-W17</f>
        <v>9956.9918213375931</v>
      </c>
      <c r="X18" s="127">
        <f t="shared" ref="X18" si="60">X16-X17</f>
        <v>11227.777805675463</v>
      </c>
      <c r="Y18" s="127"/>
      <c r="Z18" s="127"/>
      <c r="AA18" s="127"/>
      <c r="AB18" s="127"/>
      <c r="AC18" s="127"/>
      <c r="AD18" s="127"/>
      <c r="AE18" s="127"/>
      <c r="AF18" s="127"/>
      <c r="AG18" s="127"/>
    </row>
    <row r="19" spans="2:36" x14ac:dyDescent="0.2">
      <c r="B19" s="124" t="s">
        <v>101</v>
      </c>
      <c r="C19" s="136">
        <f>C18/C20</f>
        <v>1.8390342052313884</v>
      </c>
      <c r="D19" s="136">
        <f t="shared" ref="D19:O19" si="61">D18/D20</f>
        <v>2.0868686868686868</v>
      </c>
      <c r="E19" s="136">
        <f t="shared" si="61"/>
        <v>2.4482758620689653</v>
      </c>
      <c r="F19" s="136">
        <f t="shared" si="61"/>
        <v>2.4078947368421053</v>
      </c>
      <c r="G19" s="136">
        <f t="shared" si="61"/>
        <v>2.6929375639713409</v>
      </c>
      <c r="H19" s="136">
        <f t="shared" si="61"/>
        <v>2.3429454170957777</v>
      </c>
      <c r="I19" s="136">
        <f t="shared" si="61"/>
        <v>2.5896373056994819</v>
      </c>
      <c r="J19" s="136">
        <f t="shared" si="61"/>
        <v>2.6712637476711096</v>
      </c>
      <c r="K19" s="136">
        <f t="shared" si="61"/>
        <v>2.6930108904643357</v>
      </c>
      <c r="L19" s="136">
        <f t="shared" si="61"/>
        <v>2.9507308238583962</v>
      </c>
      <c r="M19" s="136">
        <f t="shared" si="61"/>
        <v>3.1738986409430843</v>
      </c>
      <c r="N19" s="136">
        <f t="shared" si="61"/>
        <v>3.2425758773423055</v>
      </c>
      <c r="O19" s="136"/>
      <c r="P19" s="136"/>
      <c r="Q19" s="124">
        <f t="shared" ref="Q19" si="62">Q18/Q20</f>
        <v>3.6866485013623977</v>
      </c>
      <c r="R19" s="136">
        <f t="shared" ref="R19" si="63">R18/R20</f>
        <v>3.65205223880597</v>
      </c>
      <c r="S19" s="136">
        <f t="shared" ref="S19" si="64">S18/S20</f>
        <v>5.5959885386819481</v>
      </c>
      <c r="T19" s="136">
        <f t="shared" ref="T19" si="65">T18/T20</f>
        <v>7.9823008849557526</v>
      </c>
      <c r="U19" s="136">
        <f t="shared" ref="U19" si="66">U18/U20</f>
        <v>6.3982035928143715</v>
      </c>
      <c r="V19" s="136">
        <f t="shared" ref="V19" si="67">V18/V20</f>
        <v>8.7925101214574894</v>
      </c>
      <c r="W19" s="136">
        <f t="shared" ref="W19" si="68">W18/W20</f>
        <v>10.295854120064206</v>
      </c>
      <c r="X19" s="136">
        <f t="shared" ref="X19" si="69">X18/X20</f>
        <v>12.050800535967877</v>
      </c>
      <c r="Y19" s="136" t="e">
        <f t="shared" ref="Y19" si="70">Y18/Y20</f>
        <v>#DIV/0!</v>
      </c>
      <c r="Z19" s="136" t="e">
        <f t="shared" ref="Z19" si="71">Z18/Z20</f>
        <v>#DIV/0!</v>
      </c>
      <c r="AA19" s="136" t="e">
        <f t="shared" ref="AA19" si="72">AA18/AA20</f>
        <v>#DIV/0!</v>
      </c>
      <c r="AB19" s="136" t="e">
        <f t="shared" ref="AB19" si="73">AB18/AB20</f>
        <v>#DIV/0!</v>
      </c>
      <c r="AC19" s="136" t="e">
        <f t="shared" ref="AC19" si="74">AC18/AC20</f>
        <v>#DIV/0!</v>
      </c>
      <c r="AD19" s="136" t="e">
        <f t="shared" ref="AD19" si="75">AD18/AD20</f>
        <v>#DIV/0!</v>
      </c>
      <c r="AE19" s="136" t="e">
        <f t="shared" ref="AE19" si="76">AE18/AE20</f>
        <v>#DIV/0!</v>
      </c>
      <c r="AF19" s="136" t="e">
        <f t="shared" ref="AF19" si="77">AF18/AF20</f>
        <v>#DIV/0!</v>
      </c>
      <c r="AG19" s="136" t="e">
        <f t="shared" ref="AG19" si="78">AG18/AG20</f>
        <v>#DIV/0!</v>
      </c>
      <c r="AH19" s="136" t="e">
        <f t="shared" ref="AH19" si="79">AH18/AH20</f>
        <v>#DIV/0!</v>
      </c>
    </row>
    <row r="20" spans="2:36" s="165" customFormat="1" x14ac:dyDescent="0.2">
      <c r="B20" s="165" t="s">
        <v>127</v>
      </c>
      <c r="C20" s="165">
        <v>994</v>
      </c>
      <c r="D20" s="165">
        <v>990</v>
      </c>
      <c r="E20" s="165">
        <v>986</v>
      </c>
      <c r="F20" s="165">
        <v>988</v>
      </c>
      <c r="G20" s="165">
        <v>977</v>
      </c>
      <c r="H20" s="165">
        <v>971</v>
      </c>
      <c r="I20" s="165">
        <v>965</v>
      </c>
      <c r="J20" s="165">
        <f>I20*(1+J39)</f>
        <v>955.35</v>
      </c>
      <c r="K20" s="165">
        <f t="shared" ref="K20:N20" si="80">J20*(1+K39)</f>
        <v>945.79650000000004</v>
      </c>
      <c r="L20" s="165">
        <f t="shared" si="80"/>
        <v>936.33853499999998</v>
      </c>
      <c r="M20" s="165">
        <f t="shared" si="80"/>
        <v>926.97514964999993</v>
      </c>
      <c r="N20" s="165">
        <f t="shared" si="80"/>
        <v>917.70539815349991</v>
      </c>
      <c r="Q20" s="165">
        <v>1101</v>
      </c>
      <c r="R20" s="165">
        <v>1072</v>
      </c>
      <c r="S20" s="165">
        <v>1047</v>
      </c>
      <c r="T20" s="165">
        <v>1017</v>
      </c>
      <c r="U20" s="165">
        <v>1002</v>
      </c>
      <c r="V20" s="165">
        <v>988</v>
      </c>
      <c r="W20" s="165">
        <f>AVERAGE(G20:J20)</f>
        <v>967.08749999999998</v>
      </c>
      <c r="X20" s="165">
        <f>AVERAGE(K20:N20)</f>
        <v>931.70389570087502</v>
      </c>
    </row>
    <row r="21" spans="2:36" x14ac:dyDescent="0.2">
      <c r="B21" s="137"/>
      <c r="C21" s="137"/>
      <c r="D21" s="137"/>
      <c r="E21" s="137"/>
      <c r="F21" s="137"/>
      <c r="G21" s="137"/>
      <c r="H21" s="137"/>
      <c r="I21" s="137"/>
      <c r="J21" s="137"/>
      <c r="K21" s="137"/>
      <c r="L21" s="137"/>
      <c r="M21" s="137"/>
      <c r="N21" s="137"/>
      <c r="O21" s="124"/>
      <c r="Q21" s="124"/>
      <c r="R21" s="124"/>
      <c r="S21" s="137"/>
      <c r="T21" s="137"/>
      <c r="U21" s="137"/>
      <c r="V21" s="137"/>
      <c r="W21" s="137"/>
      <c r="X21" s="137"/>
      <c r="Y21" s="124"/>
      <c r="Z21" s="124"/>
      <c r="AA21" s="124"/>
      <c r="AB21" s="124"/>
      <c r="AC21" s="124"/>
      <c r="AD21" s="124"/>
      <c r="AE21" s="124"/>
      <c r="AF21" s="124"/>
      <c r="AG21" s="124"/>
    </row>
    <row r="22" spans="2:36" x14ac:dyDescent="0.2">
      <c r="B22" s="124" t="s">
        <v>129</v>
      </c>
      <c r="C22" s="129"/>
      <c r="D22" s="129"/>
      <c r="E22" s="137"/>
      <c r="F22" s="137"/>
      <c r="G22" s="140">
        <f>G3/C3-1</f>
        <v>0.1868743047830923</v>
      </c>
      <c r="H22" s="140">
        <f t="shared" ref="H22:I27" si="81">H3/D3-1</f>
        <v>0.1104085603112841</v>
      </c>
      <c r="I22" s="140">
        <f t="shared" si="81"/>
        <v>5.2828424497428639E-2</v>
      </c>
      <c r="J22" s="141">
        <v>0.03</v>
      </c>
      <c r="K22" s="141">
        <v>0.04</v>
      </c>
      <c r="L22" s="141">
        <v>0.04</v>
      </c>
      <c r="M22" s="141">
        <v>0.03</v>
      </c>
      <c r="N22" s="141">
        <v>0.04</v>
      </c>
      <c r="O22" s="138"/>
      <c r="P22" s="138"/>
      <c r="Q22" s="138"/>
      <c r="R22" s="138">
        <f>R3/Q3-1</f>
        <v>0.1630015869417365</v>
      </c>
      <c r="S22" s="138">
        <f t="shared" ref="S22:AH27" si="82">S3/R3-1</f>
        <v>0.19649122807017538</v>
      </c>
      <c r="T22" s="138">
        <f t="shared" si="82"/>
        <v>0.1047572499185403</v>
      </c>
      <c r="U22" s="138">
        <f t="shared" si="82"/>
        <v>-1.8433859312785739E-2</v>
      </c>
      <c r="V22" s="138">
        <f t="shared" si="82"/>
        <v>0.22566105769230771</v>
      </c>
      <c r="W22" s="138">
        <f>W3/V3-1</f>
        <v>9.0824957097327852E-2</v>
      </c>
      <c r="X22" s="138">
        <f>X3/W3-1</f>
        <v>3.7469364363211133E-2</v>
      </c>
      <c r="Y22" s="138">
        <f t="shared" si="82"/>
        <v>-1</v>
      </c>
      <c r="Z22" s="138" t="e">
        <f t="shared" si="82"/>
        <v>#DIV/0!</v>
      </c>
      <c r="AA22" s="138" t="e">
        <f t="shared" si="82"/>
        <v>#DIV/0!</v>
      </c>
      <c r="AB22" s="138" t="e">
        <f t="shared" si="82"/>
        <v>#DIV/0!</v>
      </c>
      <c r="AC22" s="138" t="e">
        <f t="shared" si="82"/>
        <v>#DIV/0!</v>
      </c>
      <c r="AD22" s="138" t="e">
        <f t="shared" si="82"/>
        <v>#DIV/0!</v>
      </c>
      <c r="AE22" s="138" t="e">
        <f t="shared" si="82"/>
        <v>#DIV/0!</v>
      </c>
      <c r="AF22" s="138" t="e">
        <f t="shared" si="82"/>
        <v>#DIV/0!</v>
      </c>
      <c r="AG22" s="138" t="e">
        <f t="shared" si="82"/>
        <v>#DIV/0!</v>
      </c>
      <c r="AH22" s="138" t="e">
        <f t="shared" si="82"/>
        <v>#DIV/0!</v>
      </c>
      <c r="AJ22" s="139"/>
    </row>
    <row r="23" spans="2:36" x14ac:dyDescent="0.2">
      <c r="B23" s="124" t="s">
        <v>130</v>
      </c>
      <c r="E23" s="138"/>
      <c r="F23" s="138"/>
      <c r="G23" s="140">
        <f t="shared" ref="G23:G27" si="83">G4/C4-1</f>
        <v>0.49678111587982832</v>
      </c>
      <c r="H23" s="140">
        <f t="shared" si="81"/>
        <v>0.50092936802973975</v>
      </c>
      <c r="I23" s="140">
        <f t="shared" si="81"/>
        <v>0.4130094043887147</v>
      </c>
      <c r="J23" s="141">
        <v>0.34</v>
      </c>
      <c r="K23" s="141">
        <v>0.31</v>
      </c>
      <c r="L23" s="141">
        <v>0.35</v>
      </c>
      <c r="M23" s="141">
        <v>0.36</v>
      </c>
      <c r="N23" s="141">
        <v>0.38</v>
      </c>
      <c r="O23" s="138"/>
      <c r="P23" s="138"/>
      <c r="Q23" s="138"/>
      <c r="R23" s="138">
        <f t="shared" ref="R23:AG27" si="84">R4/Q4-1</f>
        <v>0.16984304932735417</v>
      </c>
      <c r="S23" s="138">
        <f t="shared" si="84"/>
        <v>0.18687110685194064</v>
      </c>
      <c r="T23" s="138">
        <f t="shared" si="84"/>
        <v>0.13161081953976583</v>
      </c>
      <c r="U23" s="138">
        <f t="shared" si="84"/>
        <v>-0.3735283624687834</v>
      </c>
      <c r="V23" s="138">
        <f t="shared" si="84"/>
        <v>0.32801822323462404</v>
      </c>
      <c r="W23" s="138">
        <f>W4/V4-1</f>
        <v>0.42843053173241841</v>
      </c>
      <c r="X23" s="138">
        <f>X4/W4-1</f>
        <v>0.35265768064603287</v>
      </c>
      <c r="Y23" s="138">
        <f t="shared" si="84"/>
        <v>-1</v>
      </c>
      <c r="Z23" s="138" t="e">
        <f t="shared" si="84"/>
        <v>#DIV/0!</v>
      </c>
      <c r="AA23" s="138" t="e">
        <f t="shared" si="84"/>
        <v>#DIV/0!</v>
      </c>
      <c r="AB23" s="138" t="e">
        <f t="shared" si="84"/>
        <v>#DIV/0!</v>
      </c>
      <c r="AC23" s="138" t="e">
        <f t="shared" si="84"/>
        <v>#DIV/0!</v>
      </c>
      <c r="AD23" s="138" t="e">
        <f t="shared" si="84"/>
        <v>#DIV/0!</v>
      </c>
      <c r="AE23" s="138" t="e">
        <f t="shared" si="84"/>
        <v>#DIV/0!</v>
      </c>
      <c r="AF23" s="138" t="e">
        <f t="shared" si="84"/>
        <v>#DIV/0!</v>
      </c>
      <c r="AG23" s="138" t="e">
        <f t="shared" si="84"/>
        <v>#DIV/0!</v>
      </c>
      <c r="AH23" s="138" t="e">
        <f t="shared" si="82"/>
        <v>#DIV/0!</v>
      </c>
      <c r="AJ23" s="138"/>
    </row>
    <row r="24" spans="2:36" x14ac:dyDescent="0.2">
      <c r="B24" s="124" t="s">
        <v>131</v>
      </c>
      <c r="E24" s="138"/>
      <c r="F24" s="138"/>
      <c r="G24" s="140">
        <f t="shared" si="83"/>
        <v>0.23862186303700561</v>
      </c>
      <c r="H24" s="140">
        <f t="shared" si="81"/>
        <v>0.17189892802450224</v>
      </c>
      <c r="I24" s="140">
        <f t="shared" si="81"/>
        <v>0.15408915408915402</v>
      </c>
      <c r="J24" s="141">
        <v>0.13</v>
      </c>
      <c r="K24" s="141">
        <v>0.1</v>
      </c>
      <c r="L24" s="141">
        <v>0.13</v>
      </c>
      <c r="M24" s="141">
        <v>0.15</v>
      </c>
      <c r="N24" s="141">
        <v>0.15</v>
      </c>
      <c r="O24" s="138"/>
      <c r="P24" s="138"/>
      <c r="Q24" s="138"/>
      <c r="R24" s="138">
        <f t="shared" si="84"/>
        <v>0.20318880031110242</v>
      </c>
      <c r="S24" s="138">
        <f t="shared" si="82"/>
        <v>0.19440853264382674</v>
      </c>
      <c r="T24" s="138">
        <f t="shared" si="82"/>
        <v>0.14585306453795166</v>
      </c>
      <c r="U24" s="138">
        <f t="shared" si="82"/>
        <v>3.093635612232859E-2</v>
      </c>
      <c r="V24" s="138">
        <f t="shared" si="82"/>
        <v>0.23685717558126207</v>
      </c>
      <c r="W24" s="138">
        <f t="shared" si="82"/>
        <v>0.17013704972682642</v>
      </c>
      <c r="X24" s="138">
        <f t="shared" si="82"/>
        <v>0.13363288016834041</v>
      </c>
      <c r="Y24" s="138">
        <f t="shared" si="82"/>
        <v>-1</v>
      </c>
      <c r="Z24" s="138" t="e">
        <f t="shared" si="82"/>
        <v>#DIV/0!</v>
      </c>
      <c r="AA24" s="138" t="e">
        <f t="shared" si="82"/>
        <v>#DIV/0!</v>
      </c>
      <c r="AB24" s="138" t="e">
        <f t="shared" si="82"/>
        <v>#DIV/0!</v>
      </c>
      <c r="AC24" s="138" t="e">
        <f t="shared" si="82"/>
        <v>#DIV/0!</v>
      </c>
      <c r="AD24" s="138" t="e">
        <f t="shared" si="82"/>
        <v>#DIV/0!</v>
      </c>
      <c r="AE24" s="138" t="e">
        <f t="shared" si="82"/>
        <v>#DIV/0!</v>
      </c>
      <c r="AF24" s="138" t="e">
        <f t="shared" si="82"/>
        <v>#DIV/0!</v>
      </c>
      <c r="AG24" s="138" t="e">
        <f t="shared" si="82"/>
        <v>#DIV/0!</v>
      </c>
      <c r="AH24" s="138" t="e">
        <f t="shared" si="82"/>
        <v>#DIV/0!</v>
      </c>
    </row>
    <row r="25" spans="2:36" x14ac:dyDescent="0.2">
      <c r="B25" s="124" t="s">
        <v>132</v>
      </c>
      <c r="E25" s="138"/>
      <c r="F25" s="138"/>
      <c r="G25" s="140">
        <f t="shared" si="83"/>
        <v>0.17594654788418707</v>
      </c>
      <c r="H25" s="140">
        <f t="shared" si="81"/>
        <v>0.18305084745762712</v>
      </c>
      <c r="I25" s="140">
        <f t="shared" si="81"/>
        <v>0.16773367477592838</v>
      </c>
      <c r="J25" s="141">
        <v>0.16</v>
      </c>
      <c r="K25" s="141">
        <v>0.17</v>
      </c>
      <c r="L25" s="141">
        <v>0.16</v>
      </c>
      <c r="M25" s="141">
        <v>0.16</v>
      </c>
      <c r="N25" s="141">
        <v>0.15</v>
      </c>
      <c r="O25" s="138"/>
      <c r="P25" s="138"/>
      <c r="Q25" s="138"/>
      <c r="R25" s="138">
        <f t="shared" si="84"/>
        <v>0.17359111476758526</v>
      </c>
      <c r="S25" s="138">
        <f t="shared" si="82"/>
        <v>0.17350157728706628</v>
      </c>
      <c r="T25" s="138">
        <f t="shared" si="82"/>
        <v>0.23178016726403827</v>
      </c>
      <c r="U25" s="138">
        <f t="shared" si="82"/>
        <v>0.1437924345295829</v>
      </c>
      <c r="V25" s="138">
        <f t="shared" si="82"/>
        <v>0.31948272206911166</v>
      </c>
      <c r="W25" s="138">
        <f t="shared" si="82"/>
        <v>0.17085475578406162</v>
      </c>
      <c r="X25" s="138">
        <f t="shared" si="82"/>
        <v>0.15924472376979448</v>
      </c>
      <c r="Y25" s="138">
        <f t="shared" si="82"/>
        <v>-1</v>
      </c>
      <c r="Z25" s="138" t="e">
        <f t="shared" si="82"/>
        <v>#DIV/0!</v>
      </c>
      <c r="AA25" s="138" t="e">
        <f t="shared" si="82"/>
        <v>#DIV/0!</v>
      </c>
      <c r="AB25" s="138" t="e">
        <f t="shared" si="82"/>
        <v>#DIV/0!</v>
      </c>
      <c r="AC25" s="138" t="e">
        <f t="shared" si="82"/>
        <v>#DIV/0!</v>
      </c>
      <c r="AD25" s="138" t="e">
        <f t="shared" si="82"/>
        <v>#DIV/0!</v>
      </c>
      <c r="AE25" s="138" t="e">
        <f t="shared" si="82"/>
        <v>#DIV/0!</v>
      </c>
      <c r="AF25" s="138" t="e">
        <f t="shared" si="82"/>
        <v>#DIV/0!</v>
      </c>
      <c r="AG25" s="138" t="e">
        <f t="shared" si="82"/>
        <v>#DIV/0!</v>
      </c>
      <c r="AH25" s="138" t="e">
        <f t="shared" si="82"/>
        <v>#DIV/0!</v>
      </c>
    </row>
    <row r="26" spans="2:36" x14ac:dyDescent="0.2">
      <c r="B26" s="124" t="s">
        <v>133</v>
      </c>
      <c r="E26" s="138"/>
      <c r="F26" s="138"/>
      <c r="G26" s="140">
        <f t="shared" si="83"/>
        <v>0.25736911570611531</v>
      </c>
      <c r="H26" s="140">
        <f t="shared" si="81"/>
        <v>0.19175027870680039</v>
      </c>
      <c r="I26" s="140">
        <f t="shared" si="81"/>
        <v>0.20063357972544882</v>
      </c>
      <c r="J26" s="141">
        <v>0.2</v>
      </c>
      <c r="K26" s="141">
        <v>0.18</v>
      </c>
      <c r="L26" s="141">
        <v>0.2</v>
      </c>
      <c r="M26" s="141">
        <v>0.2</v>
      </c>
      <c r="N26" s="141">
        <v>0.2</v>
      </c>
      <c r="O26" s="138"/>
      <c r="P26" s="138"/>
      <c r="Q26" s="138"/>
      <c r="R26" s="138">
        <f t="shared" si="84"/>
        <v>0.22419928825622781</v>
      </c>
      <c r="S26" s="138">
        <f t="shared" si="82"/>
        <v>0.17664158686730502</v>
      </c>
      <c r="T26" s="138">
        <f t="shared" si="82"/>
        <v>0.17671850021799163</v>
      </c>
      <c r="U26" s="138">
        <f t="shared" si="82"/>
        <v>2.6923551932814593E-2</v>
      </c>
      <c r="V26" s="138">
        <f t="shared" si="82"/>
        <v>0.31822008418520742</v>
      </c>
      <c r="W26" s="138">
        <f t="shared" si="82"/>
        <v>0.21003558069519213</v>
      </c>
      <c r="X26" s="138">
        <f t="shared" si="82"/>
        <v>0.19569033114180567</v>
      </c>
      <c r="Y26" s="138">
        <f t="shared" si="82"/>
        <v>-1</v>
      </c>
      <c r="Z26" s="138" t="e">
        <f t="shared" si="82"/>
        <v>#DIV/0!</v>
      </c>
      <c r="AA26" s="138" t="e">
        <f t="shared" si="82"/>
        <v>#DIV/0!</v>
      </c>
      <c r="AB26" s="138" t="e">
        <f t="shared" si="82"/>
        <v>#DIV/0!</v>
      </c>
      <c r="AC26" s="138" t="e">
        <f t="shared" si="82"/>
        <v>#DIV/0!</v>
      </c>
      <c r="AD26" s="138" t="e">
        <f t="shared" si="82"/>
        <v>#DIV/0!</v>
      </c>
      <c r="AE26" s="138" t="e">
        <f t="shared" si="82"/>
        <v>#DIV/0!</v>
      </c>
      <c r="AF26" s="138" t="e">
        <f t="shared" si="82"/>
        <v>#DIV/0!</v>
      </c>
      <c r="AG26" s="138" t="e">
        <f t="shared" si="82"/>
        <v>#DIV/0!</v>
      </c>
      <c r="AH26" s="138" t="e">
        <f t="shared" si="82"/>
        <v>#DIV/0!</v>
      </c>
    </row>
    <row r="27" spans="2:36" s="129" customFormat="1" x14ac:dyDescent="0.2">
      <c r="B27" s="127" t="s">
        <v>102</v>
      </c>
      <c r="E27" s="137"/>
      <c r="F27" s="137"/>
      <c r="G27" s="137">
        <f t="shared" si="83"/>
        <v>0.2435619735258725</v>
      </c>
      <c r="H27" s="137">
        <f t="shared" si="81"/>
        <v>0.21400176678445226</v>
      </c>
      <c r="I27" s="137">
        <f t="shared" si="81"/>
        <v>0.15466399197592784</v>
      </c>
      <c r="J27" s="137">
        <f t="shared" ref="J27" si="85">J8/F8-1</f>
        <v>0.11228144171779153</v>
      </c>
      <c r="K27" s="137">
        <f t="shared" ref="K27" si="86">K8/G8-1</f>
        <v>0.10912521772788875</v>
      </c>
      <c r="L27" s="137">
        <f>L8/H8-1</f>
        <v>0.12594142259414243</v>
      </c>
      <c r="M27" s="137">
        <f t="shared" ref="M27" si="87">M8/I8-1</f>
        <v>0.14236970118137604</v>
      </c>
      <c r="N27" s="137">
        <f t="shared" ref="N27" si="88">N8/J8-1</f>
        <v>0.14839037447902825</v>
      </c>
      <c r="O27" s="137"/>
      <c r="P27" s="137"/>
      <c r="Q27" s="137"/>
      <c r="R27" s="137">
        <f>R8/Q8-1</f>
        <v>0.15970675575352633</v>
      </c>
      <c r="S27" s="137">
        <f t="shared" si="82"/>
        <v>0.19628710890613754</v>
      </c>
      <c r="T27" s="137">
        <f t="shared" si="82"/>
        <v>0.12929765886287625</v>
      </c>
      <c r="U27" s="137">
        <f t="shared" si="82"/>
        <v>-9.3703725641177571E-2</v>
      </c>
      <c r="V27" s="137">
        <f t="shared" si="82"/>
        <v>0.23416770145742105</v>
      </c>
      <c r="W27" s="137">
        <f t="shared" si="82"/>
        <v>0.17674539292522762</v>
      </c>
      <c r="X27" s="137">
        <f t="shared" si="82"/>
        <v>0.1321476658359455</v>
      </c>
      <c r="Y27" s="137">
        <f t="shared" si="82"/>
        <v>-1</v>
      </c>
      <c r="Z27" s="137" t="e">
        <f t="shared" si="82"/>
        <v>#DIV/0!</v>
      </c>
      <c r="AA27" s="137" t="e">
        <f t="shared" si="82"/>
        <v>#DIV/0!</v>
      </c>
      <c r="AB27" s="137" t="e">
        <f t="shared" si="82"/>
        <v>#DIV/0!</v>
      </c>
      <c r="AC27" s="137" t="e">
        <f t="shared" si="82"/>
        <v>#DIV/0!</v>
      </c>
      <c r="AD27" s="137" t="e">
        <f t="shared" si="82"/>
        <v>#DIV/0!</v>
      </c>
      <c r="AE27" s="137" t="e">
        <f t="shared" si="82"/>
        <v>#DIV/0!</v>
      </c>
      <c r="AF27" s="137" t="e">
        <f t="shared" si="82"/>
        <v>#DIV/0!</v>
      </c>
      <c r="AG27" s="137" t="e">
        <f t="shared" si="82"/>
        <v>#DIV/0!</v>
      </c>
      <c r="AH27" s="137" t="e">
        <f t="shared" si="82"/>
        <v>#DIV/0!</v>
      </c>
    </row>
    <row r="28" spans="2:36" x14ac:dyDescent="0.2">
      <c r="O28" s="138"/>
      <c r="P28" s="138"/>
      <c r="Q28" s="138"/>
      <c r="R28" s="138"/>
      <c r="S28" s="138"/>
      <c r="T28" s="138"/>
      <c r="U28" s="138"/>
      <c r="V28" s="138"/>
      <c r="W28" s="138"/>
      <c r="X28" s="138"/>
      <c r="Y28" s="140"/>
      <c r="Z28" s="140"/>
      <c r="AA28" s="140"/>
      <c r="AB28" s="140"/>
      <c r="AC28" s="140"/>
      <c r="AD28" s="140"/>
      <c r="AE28" s="140"/>
      <c r="AF28" s="140"/>
      <c r="AG28" s="140"/>
    </row>
    <row r="29" spans="2:36" x14ac:dyDescent="0.2">
      <c r="B29" s="124" t="s">
        <v>134</v>
      </c>
      <c r="C29" s="138">
        <f>C9/C$8</f>
        <v>0.4033694344163658</v>
      </c>
      <c r="D29" s="138">
        <f t="shared" ref="D29:I29" si="89">D9/D$8</f>
        <v>0.37941696113074203</v>
      </c>
      <c r="E29" s="138">
        <f t="shared" si="89"/>
        <v>0.36730190571715143</v>
      </c>
      <c r="F29" s="138">
        <f t="shared" si="89"/>
        <v>0.35697852760736198</v>
      </c>
      <c r="G29" s="138">
        <f t="shared" si="89"/>
        <v>0.35688020127733694</v>
      </c>
      <c r="H29" s="138">
        <f t="shared" si="89"/>
        <v>0.35419319628888485</v>
      </c>
      <c r="I29" s="138">
        <f t="shared" si="89"/>
        <v>0.35945100764419735</v>
      </c>
      <c r="J29" s="141">
        <f>AVERAGE(F29:I29)</f>
        <v>0.35687573320444532</v>
      </c>
      <c r="K29" s="141">
        <f t="shared" ref="K29:N29" si="90">AVERAGE(G29:J29)</f>
        <v>0.35685003460371612</v>
      </c>
      <c r="L29" s="141">
        <f t="shared" si="90"/>
        <v>0.3568424929353109</v>
      </c>
      <c r="M29" s="141">
        <f t="shared" si="90"/>
        <v>0.35750481709691745</v>
      </c>
      <c r="N29" s="141">
        <f t="shared" si="90"/>
        <v>0.35701826946009746</v>
      </c>
      <c r="O29" s="138"/>
      <c r="P29" s="138"/>
      <c r="Q29" s="138">
        <f t="shared" ref="Q29:W29" si="91">Q9/Q$8</f>
        <v>0.35514105419450631</v>
      </c>
      <c r="R29" s="138">
        <f t="shared" si="91"/>
        <v>0.37232935904617109</v>
      </c>
      <c r="S29" s="138">
        <f t="shared" si="91"/>
        <v>0.34608695652173915</v>
      </c>
      <c r="T29" s="138">
        <f t="shared" si="91"/>
        <v>0.34134928626428951</v>
      </c>
      <c r="U29" s="138">
        <f t="shared" si="91"/>
        <v>0.38624926475393767</v>
      </c>
      <c r="V29" s="138">
        <f t="shared" si="91"/>
        <v>0.37529125185342088</v>
      </c>
      <c r="W29" s="138">
        <f t="shared" si="91"/>
        <v>0.35688025405405821</v>
      </c>
      <c r="X29" s="138">
        <f t="shared" ref="X29" si="92">X9/X$8</f>
        <v>0.3570638697757243</v>
      </c>
      <c r="Y29" s="140"/>
      <c r="Z29" s="140"/>
      <c r="AA29" s="140"/>
      <c r="AB29" s="140"/>
      <c r="AC29" s="140"/>
      <c r="AD29" s="140"/>
      <c r="AE29" s="140"/>
      <c r="AF29" s="140"/>
      <c r="AG29" s="140"/>
    </row>
    <row r="30" spans="2:36" x14ac:dyDescent="0.2">
      <c r="B30" s="124" t="s">
        <v>135</v>
      </c>
      <c r="C30" s="138">
        <f t="shared" ref="C30:I31" si="93">C10/C$8</f>
        <v>2.8640192539109505E-2</v>
      </c>
      <c r="D30" s="138">
        <f t="shared" si="93"/>
        <v>4.7703180212014133E-2</v>
      </c>
      <c r="E30" s="138">
        <f t="shared" si="93"/>
        <v>4.4533600802407224E-2</v>
      </c>
      <c r="F30" s="138">
        <f t="shared" si="93"/>
        <v>6.4800613496932516E-2</v>
      </c>
      <c r="G30" s="138">
        <f t="shared" si="93"/>
        <v>3.5029998064640994E-2</v>
      </c>
      <c r="H30" s="138">
        <f t="shared" si="93"/>
        <v>3.8202655994178644E-2</v>
      </c>
      <c r="I30" s="138">
        <f t="shared" si="93"/>
        <v>3.1619179986101462E-2</v>
      </c>
      <c r="J30" s="141">
        <f>AVERAGE(F30:I30)</f>
        <v>4.24131118854634E-2</v>
      </c>
      <c r="K30" s="141">
        <f t="shared" ref="K30:N30" si="94">AVERAGE(G30:J30)</f>
        <v>3.6816236482596125E-2</v>
      </c>
      <c r="L30" s="141">
        <f t="shared" si="94"/>
        <v>3.726279608708491E-2</v>
      </c>
      <c r="M30" s="141">
        <f t="shared" si="94"/>
        <v>3.7027831110311472E-2</v>
      </c>
      <c r="N30" s="141">
        <f t="shared" si="94"/>
        <v>3.8379993891363977E-2</v>
      </c>
      <c r="O30" s="138"/>
      <c r="P30" s="138"/>
      <c r="Q30" s="138">
        <f t="shared" ref="Q30:W30" si="95">Q10/Q$8</f>
        <v>6.4773570898292498E-2</v>
      </c>
      <c r="R30" s="138">
        <f t="shared" si="95"/>
        <v>6.1694806753620872E-2</v>
      </c>
      <c r="S30" s="138">
        <f t="shared" si="95"/>
        <v>6.0668896321070233E-2</v>
      </c>
      <c r="T30" s="138">
        <f t="shared" si="95"/>
        <v>5.5321921459456261E-2</v>
      </c>
      <c r="U30" s="138">
        <f t="shared" si="95"/>
        <v>4.2938370041173776E-2</v>
      </c>
      <c r="V30" s="138">
        <f t="shared" si="95"/>
        <v>4.7394619783944082E-2</v>
      </c>
      <c r="W30" s="138">
        <f t="shared" si="95"/>
        <v>3.6858922992315496E-2</v>
      </c>
      <c r="X30" s="138">
        <f t="shared" ref="X30" si="96">X10/X$8</f>
        <v>3.7395525592861599E-2</v>
      </c>
      <c r="Y30" s="140"/>
      <c r="Z30" s="140"/>
      <c r="AA30" s="140"/>
      <c r="AB30" s="140"/>
      <c r="AC30" s="140"/>
      <c r="AD30" s="140"/>
      <c r="AE30" s="140"/>
      <c r="AF30" s="140"/>
      <c r="AG30" s="140"/>
    </row>
    <row r="31" spans="2:36" x14ac:dyDescent="0.2">
      <c r="B31" s="124" t="s">
        <v>136</v>
      </c>
      <c r="C31" s="138">
        <f t="shared" si="93"/>
        <v>3.9229843561973524E-2</v>
      </c>
      <c r="D31" s="138">
        <f t="shared" si="93"/>
        <v>4.1077738515901061E-2</v>
      </c>
      <c r="E31" s="138">
        <f t="shared" si="93"/>
        <v>3.7713139418254764E-2</v>
      </c>
      <c r="F31" s="138">
        <f t="shared" si="93"/>
        <v>3.6234662576687116E-2</v>
      </c>
      <c r="G31" s="138">
        <f t="shared" si="93"/>
        <v>3.71588929746468E-2</v>
      </c>
      <c r="H31" s="138">
        <f t="shared" si="93"/>
        <v>3.4382390394760778E-2</v>
      </c>
      <c r="I31" s="138">
        <f t="shared" si="93"/>
        <v>3.2140375260597639E-2</v>
      </c>
      <c r="J31" s="141">
        <f>AVERAGE(F31:I31)</f>
        <v>3.4979080301673085E-2</v>
      </c>
      <c r="K31" s="141">
        <f t="shared" ref="K31:N31" si="97">AVERAGE(G31:J31)</f>
        <v>3.4665184732919574E-2</v>
      </c>
      <c r="L31" s="141">
        <f t="shared" si="97"/>
        <v>3.4041757672487766E-2</v>
      </c>
      <c r="M31" s="141">
        <f t="shared" si="97"/>
        <v>3.3956599491919516E-2</v>
      </c>
      <c r="N31" s="141">
        <f t="shared" si="97"/>
        <v>3.4410655549749987E-2</v>
      </c>
      <c r="O31" s="138"/>
      <c r="P31" s="138"/>
      <c r="Q31" s="138">
        <f t="shared" ref="Q31:W31" si="98">Q11/Q$8</f>
        <v>3.4613956941351151E-2</v>
      </c>
      <c r="R31" s="138">
        <f t="shared" si="98"/>
        <v>3.4888373209570299E-2</v>
      </c>
      <c r="S31" s="138">
        <f t="shared" si="98"/>
        <v>3.0702341137123747E-2</v>
      </c>
      <c r="T31" s="138">
        <f t="shared" si="98"/>
        <v>3.0918675590831012E-2</v>
      </c>
      <c r="U31" s="138">
        <f t="shared" si="98"/>
        <v>3.7906019214430431E-2</v>
      </c>
      <c r="V31" s="138">
        <f t="shared" si="98"/>
        <v>3.8445244651556874E-2</v>
      </c>
      <c r="W31" s="138">
        <f t="shared" si="98"/>
        <v>3.460302835265254E-2</v>
      </c>
      <c r="X31" s="138">
        <f t="shared" ref="X31" si="99">X11/X$8</f>
        <v>3.4259206419295897E-2</v>
      </c>
      <c r="Y31" s="140"/>
      <c r="Z31" s="140"/>
      <c r="AA31" s="140"/>
      <c r="AB31" s="140"/>
      <c r="AC31" s="140"/>
      <c r="AD31" s="140"/>
      <c r="AE31" s="140"/>
      <c r="AF31" s="140"/>
      <c r="AG31" s="140"/>
    </row>
    <row r="32" spans="2:36" x14ac:dyDescent="0.2">
      <c r="B32" s="124"/>
      <c r="C32" s="138"/>
      <c r="D32" s="138"/>
      <c r="E32" s="138"/>
      <c r="F32" s="138"/>
      <c r="G32" s="138"/>
      <c r="H32" s="138"/>
      <c r="I32" s="138"/>
      <c r="J32" s="138"/>
      <c r="K32" s="141"/>
      <c r="L32" s="141"/>
      <c r="M32" s="141"/>
      <c r="N32" s="141"/>
      <c r="O32" s="138"/>
      <c r="P32" s="138"/>
      <c r="Q32" s="138"/>
      <c r="R32" s="138"/>
      <c r="S32" s="138"/>
      <c r="T32" s="138"/>
      <c r="U32" s="138"/>
      <c r="V32" s="138"/>
      <c r="W32" s="138"/>
      <c r="X32" s="138"/>
      <c r="Y32" s="140"/>
      <c r="Z32" s="140"/>
      <c r="AA32" s="140"/>
      <c r="AB32" s="140"/>
      <c r="AC32" s="140"/>
      <c r="AD32" s="140"/>
      <c r="AE32" s="140"/>
      <c r="AF32" s="140"/>
      <c r="AG32" s="140"/>
    </row>
    <row r="33" spans="2:35" s="129" customFormat="1" x14ac:dyDescent="0.2">
      <c r="B33" s="127" t="s">
        <v>104</v>
      </c>
      <c r="C33" s="137">
        <f>C13/C8</f>
        <v>0.52876052948255114</v>
      </c>
      <c r="D33" s="137">
        <f t="shared" ref="D33:H33" si="100">D13/D8</f>
        <v>0.5170053003533569</v>
      </c>
      <c r="E33" s="137">
        <f t="shared" si="100"/>
        <v>0.5450351053159479</v>
      </c>
      <c r="F33" s="137">
        <f t="shared" si="100"/>
        <v>0.54198619631901845</v>
      </c>
      <c r="G33" s="137">
        <f t="shared" si="100"/>
        <v>0.57093090768337529</v>
      </c>
      <c r="H33" s="137">
        <f t="shared" si="100"/>
        <v>0.54902674185919598</v>
      </c>
      <c r="I33" s="137">
        <f t="shared" ref="I33:M33" si="101">I13/I8</f>
        <v>0.54065323141070187</v>
      </c>
      <c r="J33" s="137">
        <f t="shared" si="101"/>
        <v>0.5398774054275286</v>
      </c>
      <c r="K33" s="137">
        <f t="shared" si="101"/>
        <v>0.54549441643357532</v>
      </c>
      <c r="L33" s="137">
        <f t="shared" si="101"/>
        <v>0.54761757935329636</v>
      </c>
      <c r="M33" s="137">
        <f t="shared" si="101"/>
        <v>0.54869872945232945</v>
      </c>
      <c r="N33" s="137">
        <f t="shared" ref="N33" si="102">N13/N8</f>
        <v>0.54767724803690943</v>
      </c>
      <c r="O33" s="137"/>
      <c r="P33" s="137"/>
      <c r="Q33" s="137">
        <f t="shared" ref="Q33:AH33" si="103">Q13/Q8</f>
        <v>0.53461395694135116</v>
      </c>
      <c r="R33" s="137">
        <f t="shared" si="103"/>
        <v>0.52988717292150112</v>
      </c>
      <c r="S33" s="137">
        <f t="shared" si="103"/>
        <v>0.48709030100334449</v>
      </c>
      <c r="T33" s="137">
        <f t="shared" si="103"/>
        <v>0.57241011668542319</v>
      </c>
      <c r="U33" s="137">
        <f t="shared" si="103"/>
        <v>0.52813541598588332</v>
      </c>
      <c r="V33" s="137">
        <f t="shared" si="103"/>
        <v>0.53389112476170308</v>
      </c>
      <c r="W33" s="137">
        <f t="shared" si="103"/>
        <v>0.54956223558333062</v>
      </c>
      <c r="X33" s="137">
        <f t="shared" si="103"/>
        <v>0.54743231568334194</v>
      </c>
      <c r="Y33" s="137" t="e">
        <f t="shared" si="103"/>
        <v>#DIV/0!</v>
      </c>
      <c r="Z33" s="137" t="e">
        <f t="shared" si="103"/>
        <v>#DIV/0!</v>
      </c>
      <c r="AA33" s="137" t="e">
        <f t="shared" si="103"/>
        <v>#DIV/0!</v>
      </c>
      <c r="AB33" s="137" t="e">
        <f t="shared" si="103"/>
        <v>#DIV/0!</v>
      </c>
      <c r="AC33" s="137" t="e">
        <f t="shared" si="103"/>
        <v>#DIV/0!</v>
      </c>
      <c r="AD33" s="137" t="e">
        <f t="shared" si="103"/>
        <v>#DIV/0!</v>
      </c>
      <c r="AE33" s="137" t="e">
        <f t="shared" si="103"/>
        <v>#DIV/0!</v>
      </c>
      <c r="AF33" s="137" t="e">
        <f t="shared" si="103"/>
        <v>#DIV/0!</v>
      </c>
      <c r="AG33" s="137" t="e">
        <f t="shared" si="103"/>
        <v>#DIV/0!</v>
      </c>
      <c r="AH33" s="137" t="e">
        <f t="shared" si="103"/>
        <v>#DIV/0!</v>
      </c>
    </row>
    <row r="34" spans="2:35" x14ac:dyDescent="0.2">
      <c r="B34" s="124" t="s">
        <v>105</v>
      </c>
      <c r="C34" s="138"/>
      <c r="D34" s="138"/>
      <c r="E34" s="138"/>
      <c r="F34" s="138"/>
      <c r="G34" s="138">
        <f>G13/C13-1</f>
        <v>0.34274010013654976</v>
      </c>
      <c r="H34" s="138">
        <f t="shared" ref="H34" si="104">H13/D13-1</f>
        <v>0.28919265271251593</v>
      </c>
      <c r="I34" s="138">
        <f t="shared" ref="I34" si="105">I13/E13-1</f>
        <v>0.14538093485461911</v>
      </c>
      <c r="J34" s="138">
        <f t="shared" ref="J34" si="106">J13/F13-1</f>
        <v>0.10795371346751903</v>
      </c>
      <c r="K34" s="138">
        <f t="shared" ref="K34" si="107">K13/G13-1</f>
        <v>5.9710737768934319E-2</v>
      </c>
      <c r="L34" s="138">
        <f t="shared" ref="L34" si="108">L13/H13-1</f>
        <v>0.123051518850682</v>
      </c>
      <c r="M34" s="138">
        <f t="shared" ref="M34:N34" si="109">M13/I13-1</f>
        <v>0.15936938352802188</v>
      </c>
      <c r="N34" s="138">
        <f t="shared" si="109"/>
        <v>0.16498166740037412</v>
      </c>
      <c r="O34" s="138"/>
      <c r="P34" s="138"/>
      <c r="Q34" s="138"/>
      <c r="R34" s="138">
        <f t="shared" ref="R34:X34" si="110">R13/Q13-1</f>
        <v>0.14945321992709593</v>
      </c>
      <c r="S34" s="138">
        <f t="shared" si="110"/>
        <v>9.9667774086378724E-2</v>
      </c>
      <c r="T34" s="138">
        <f t="shared" si="110"/>
        <v>0.32710793737984067</v>
      </c>
      <c r="U34" s="138">
        <f t="shared" si="110"/>
        <v>-0.16380380794701987</v>
      </c>
      <c r="V34" s="138">
        <f t="shared" si="110"/>
        <v>0.24761786907560945</v>
      </c>
      <c r="W34" s="138">
        <f t="shared" si="110"/>
        <v>0.2112859698445424</v>
      </c>
      <c r="X34" s="138">
        <f t="shared" si="110"/>
        <v>0.12775983914943723</v>
      </c>
      <c r="Y34" s="138">
        <f t="shared" ref="Y34" si="111">Y13/U13-1</f>
        <v>-1</v>
      </c>
      <c r="Z34" s="138">
        <f t="shared" ref="Z34" si="112">Z13/V13-1</f>
        <v>-1</v>
      </c>
      <c r="AA34" s="138">
        <f t="shared" ref="AA34" si="113">AA13/W13-1</f>
        <v>-1</v>
      </c>
      <c r="AB34" s="138">
        <f t="shared" ref="AB34" si="114">AB13/X13-1</f>
        <v>-1</v>
      </c>
      <c r="AC34" s="138" t="e">
        <f t="shared" ref="AC34" si="115">AC13/Y13-1</f>
        <v>#DIV/0!</v>
      </c>
      <c r="AD34" s="138" t="e">
        <f t="shared" ref="AD34" si="116">AD13/Z13-1</f>
        <v>#DIV/0!</v>
      </c>
      <c r="AE34" s="138" t="e">
        <f t="shared" ref="AE34" si="117">AE13/AA13-1</f>
        <v>#DIV/0!</v>
      </c>
      <c r="AF34" s="138" t="e">
        <f t="shared" ref="AF34" si="118">AF13/AB13-1</f>
        <v>#DIV/0!</v>
      </c>
      <c r="AG34" s="138" t="e">
        <f t="shared" ref="AG34" si="119">AG13/AC13-1</f>
        <v>#DIV/0!</v>
      </c>
      <c r="AH34" s="138" t="e">
        <f t="shared" ref="AH34" si="120">AH13/AD13-1</f>
        <v>#DIV/0!</v>
      </c>
    </row>
    <row r="35" spans="2:35" x14ac:dyDescent="0.2">
      <c r="C35" s="138"/>
      <c r="D35" s="138"/>
      <c r="E35" s="138"/>
      <c r="F35" s="138"/>
      <c r="G35" s="138"/>
      <c r="H35" s="138"/>
      <c r="I35" s="138"/>
      <c r="J35" s="138"/>
      <c r="K35" s="142"/>
      <c r="L35" s="142"/>
      <c r="M35" s="142"/>
      <c r="N35" s="142"/>
      <c r="O35" s="138"/>
      <c r="P35" s="138"/>
      <c r="Q35" s="138"/>
      <c r="R35" s="138"/>
      <c r="S35" s="138"/>
      <c r="T35" s="138"/>
      <c r="U35" s="138"/>
      <c r="V35" s="138"/>
      <c r="W35" s="138"/>
      <c r="X35" s="138"/>
      <c r="Y35" s="138"/>
      <c r="Z35" s="138"/>
      <c r="AA35" s="138"/>
      <c r="AB35" s="138"/>
      <c r="AC35" s="138"/>
      <c r="AD35" s="138"/>
      <c r="AE35" s="138"/>
      <c r="AF35" s="138"/>
      <c r="AG35" s="138"/>
    </row>
    <row r="36" spans="2:35" s="166" customFormat="1" x14ac:dyDescent="0.2">
      <c r="B36" s="166" t="s">
        <v>137</v>
      </c>
      <c r="C36" s="140">
        <f>C17/C13</f>
        <v>0.16477014110150204</v>
      </c>
      <c r="D36" s="140">
        <f t="shared" ref="D36:I36" si="121">D17/D13</f>
        <v>0.17599316531396839</v>
      </c>
      <c r="E36" s="140">
        <f t="shared" si="121"/>
        <v>0.1479573058520427</v>
      </c>
      <c r="F36" s="140">
        <f t="shared" si="121"/>
        <v>0.15705695083126989</v>
      </c>
      <c r="G36" s="140">
        <f t="shared" si="121"/>
        <v>4.8135593220338981E-2</v>
      </c>
      <c r="H36" s="140">
        <f t="shared" si="121"/>
        <v>0.17329357190192179</v>
      </c>
      <c r="I36" s="140">
        <f t="shared" si="121"/>
        <v>0.18412596401028278</v>
      </c>
      <c r="J36" s="141">
        <v>0.18</v>
      </c>
      <c r="K36" s="141">
        <f>J36</f>
        <v>0.18</v>
      </c>
      <c r="L36" s="141">
        <f t="shared" ref="L36:N36" si="122">K36</f>
        <v>0.18</v>
      </c>
      <c r="M36" s="141">
        <f t="shared" si="122"/>
        <v>0.18</v>
      </c>
      <c r="N36" s="141">
        <f t="shared" si="122"/>
        <v>0.18</v>
      </c>
      <c r="Q36" s="140">
        <f t="shared" ref="Q36:X36" si="123">Q17/Q13</f>
        <v>0.27547300815830583</v>
      </c>
      <c r="R36" s="140">
        <f t="shared" si="123"/>
        <v>0.39368770764119604</v>
      </c>
      <c r="S36" s="140">
        <f t="shared" si="123"/>
        <v>0.18470200494369679</v>
      </c>
      <c r="T36" s="140">
        <f t="shared" si="123"/>
        <v>0.16690811258278146</v>
      </c>
      <c r="U36" s="140">
        <f t="shared" si="123"/>
        <v>0.16693478529884914</v>
      </c>
      <c r="V36" s="140">
        <f t="shared" si="123"/>
        <v>0.16068240428486411</v>
      </c>
      <c r="W36" s="140">
        <f t="shared" si="123"/>
        <v>0.14724582905079822</v>
      </c>
      <c r="X36" s="140">
        <f t="shared" si="123"/>
        <v>0.17895443150816531</v>
      </c>
    </row>
    <row r="37" spans="2:35" x14ac:dyDescent="0.2">
      <c r="C37" s="138"/>
      <c r="D37" s="138"/>
      <c r="E37" s="138"/>
      <c r="F37" s="138"/>
      <c r="G37" s="138"/>
      <c r="H37" s="138"/>
      <c r="I37" s="138"/>
      <c r="J37" s="138"/>
      <c r="K37" s="138"/>
      <c r="L37" s="138"/>
      <c r="M37" s="138"/>
      <c r="N37" s="138"/>
      <c r="R37" s="138"/>
      <c r="S37" s="138"/>
      <c r="T37" s="138"/>
      <c r="U37" s="138"/>
      <c r="V37" s="138"/>
      <c r="W37" s="138"/>
      <c r="X37" s="138"/>
    </row>
    <row r="38" spans="2:35" s="129" customFormat="1" x14ac:dyDescent="0.2">
      <c r="B38" s="127" t="s">
        <v>138</v>
      </c>
      <c r="C38" s="137">
        <f>C18/C8</f>
        <v>0.43995186522262336</v>
      </c>
      <c r="D38" s="137">
        <f t="shared" ref="D38:N38" si="124">D18/D8</f>
        <v>0.45627208480565373</v>
      </c>
      <c r="E38" s="137">
        <f t="shared" si="124"/>
        <v>0.48425275827482445</v>
      </c>
      <c r="F38" s="137">
        <f t="shared" si="124"/>
        <v>0.45609662576687116</v>
      </c>
      <c r="G38" s="137">
        <f t="shared" si="124"/>
        <v>0.50919295529320685</v>
      </c>
      <c r="H38" s="137">
        <f t="shared" si="124"/>
        <v>0.41386210660360195</v>
      </c>
      <c r="I38" s="137">
        <f t="shared" si="124"/>
        <v>0.43415566365531622</v>
      </c>
      <c r="J38" s="137">
        <f t="shared" si="124"/>
        <v>0.43987269528679623</v>
      </c>
      <c r="K38" s="137">
        <f t="shared" si="124"/>
        <v>0.44444371684183875</v>
      </c>
      <c r="L38" s="137">
        <f t="shared" si="124"/>
        <v>0.44639668085097073</v>
      </c>
      <c r="M38" s="137">
        <f t="shared" si="124"/>
        <v>0.44743884365280506</v>
      </c>
      <c r="N38" s="137">
        <f t="shared" si="124"/>
        <v>0.44663383097550036</v>
      </c>
      <c r="O38" s="137"/>
      <c r="P38" s="137"/>
      <c r="Q38" s="137">
        <f t="shared" ref="Q38:R38" si="125">Q18/Q8</f>
        <v>0.3766703786191537</v>
      </c>
      <c r="R38" s="137">
        <f t="shared" si="125"/>
        <v>0.31327518604465071</v>
      </c>
      <c r="S38" s="137">
        <f t="shared" ref="S38:X38" si="126">S18/S8</f>
        <v>0.39190635451505018</v>
      </c>
      <c r="T38" s="137">
        <f t="shared" si="126"/>
        <v>0.48083871349878576</v>
      </c>
      <c r="U38" s="137">
        <f t="shared" si="126"/>
        <v>0.41899222273054049</v>
      </c>
      <c r="V38" s="137">
        <f t="shared" si="126"/>
        <v>0.46001906375767848</v>
      </c>
      <c r="W38" s="137">
        <f t="shared" si="126"/>
        <v>0.44807596828218921</v>
      </c>
      <c r="X38" s="137">
        <f t="shared" si="126"/>
        <v>0.44628699917052744</v>
      </c>
      <c r="Y38" s="137"/>
      <c r="Z38" s="137"/>
      <c r="AA38" s="137"/>
      <c r="AB38" s="137"/>
      <c r="AC38" s="137"/>
      <c r="AD38" s="137"/>
      <c r="AE38" s="137"/>
      <c r="AF38" s="137"/>
      <c r="AG38" s="137"/>
    </row>
    <row r="39" spans="2:35" x14ac:dyDescent="0.2">
      <c r="B39" t="s">
        <v>144</v>
      </c>
      <c r="C39" s="138"/>
      <c r="D39" s="138">
        <f>D20/C20-1</f>
        <v>-4.0241448692153181E-3</v>
      </c>
      <c r="E39" s="138">
        <f t="shared" ref="E39:I39" si="127">E20/D20-1</f>
        <v>-4.0404040404040664E-3</v>
      </c>
      <c r="F39" s="138">
        <f t="shared" si="127"/>
        <v>2.0283975659229903E-3</v>
      </c>
      <c r="G39" s="138">
        <f t="shared" si="127"/>
        <v>-1.1133603238866363E-2</v>
      </c>
      <c r="H39" s="138">
        <f t="shared" si="127"/>
        <v>-6.1412487205732003E-3</v>
      </c>
      <c r="I39" s="138">
        <f t="shared" si="127"/>
        <v>-6.1791967044284579E-3</v>
      </c>
      <c r="J39" s="141">
        <v>-0.01</v>
      </c>
      <c r="K39" s="141">
        <v>-0.01</v>
      </c>
      <c r="L39" s="141">
        <v>-0.01</v>
      </c>
      <c r="M39" s="141">
        <v>-0.01</v>
      </c>
      <c r="N39" s="141">
        <v>-0.01</v>
      </c>
      <c r="O39" s="138"/>
      <c r="P39" s="138"/>
      <c r="Q39" s="138"/>
      <c r="R39" s="138">
        <f>R20/Q20-1</f>
        <v>-2.6339691189827374E-2</v>
      </c>
      <c r="S39" s="138">
        <f t="shared" ref="S39:X39" si="128">S20/R20-1</f>
        <v>-2.332089552238803E-2</v>
      </c>
      <c r="T39" s="138">
        <f t="shared" si="128"/>
        <v>-2.8653295128939882E-2</v>
      </c>
      <c r="U39" s="138">
        <f t="shared" si="128"/>
        <v>-1.4749262536873142E-2</v>
      </c>
      <c r="V39" s="138">
        <f t="shared" si="128"/>
        <v>-1.3972055888223589E-2</v>
      </c>
      <c r="W39" s="138">
        <f t="shared" si="128"/>
        <v>-2.1166497975708576E-2</v>
      </c>
      <c r="X39" s="138">
        <f t="shared" si="128"/>
        <v>-3.6587800275698856E-2</v>
      </c>
      <c r="Y39" s="138"/>
      <c r="Z39" s="138"/>
      <c r="AA39" s="138"/>
      <c r="AB39" s="138"/>
      <c r="AC39" s="138"/>
      <c r="AD39" s="138"/>
      <c r="AE39" s="138"/>
      <c r="AF39" s="138"/>
      <c r="AG39" s="138"/>
    </row>
    <row r="40" spans="2:35" x14ac:dyDescent="0.2">
      <c r="C40" s="138"/>
      <c r="D40" s="138"/>
      <c r="E40" s="138"/>
      <c r="F40" s="138"/>
      <c r="G40" s="138"/>
      <c r="H40" s="138"/>
      <c r="I40" s="138"/>
      <c r="J40" s="138"/>
      <c r="K40" s="141"/>
      <c r="L40" s="141"/>
      <c r="M40" s="141"/>
      <c r="N40" s="141"/>
      <c r="O40" s="138"/>
      <c r="P40" s="138"/>
      <c r="Q40" s="138"/>
      <c r="R40" s="138"/>
      <c r="S40" s="138"/>
      <c r="T40" s="138"/>
      <c r="U40" s="138"/>
      <c r="V40" s="138"/>
      <c r="W40" s="138"/>
      <c r="X40" s="138"/>
      <c r="Y40" s="138"/>
      <c r="Z40" s="138"/>
      <c r="AA40" s="138"/>
      <c r="AB40" s="138"/>
      <c r="AC40" s="138"/>
      <c r="AD40" s="138"/>
      <c r="AE40" s="138"/>
      <c r="AF40" s="138"/>
      <c r="AG40" s="138"/>
    </row>
    <row r="41" spans="2:35" x14ac:dyDescent="0.2">
      <c r="B41" t="s">
        <v>140</v>
      </c>
      <c r="J41" s="167">
        <v>2.58</v>
      </c>
      <c r="K41" s="167">
        <v>2.73</v>
      </c>
      <c r="L41" s="167">
        <v>2.99</v>
      </c>
      <c r="M41" s="167">
        <v>3.23</v>
      </c>
      <c r="N41" s="167">
        <v>3.27</v>
      </c>
      <c r="O41" s="138"/>
      <c r="P41" s="138"/>
      <c r="Q41" s="138"/>
      <c r="R41" s="138"/>
      <c r="S41" s="138"/>
      <c r="T41" s="138"/>
      <c r="U41" s="138"/>
      <c r="V41" s="138"/>
      <c r="W41" s="167">
        <v>10.57</v>
      </c>
      <c r="X41" s="167">
        <v>12.17</v>
      </c>
      <c r="Y41" s="138"/>
      <c r="Z41" s="138"/>
      <c r="AA41" s="138"/>
      <c r="AB41" s="138"/>
      <c r="AC41" s="138"/>
      <c r="AD41" s="138"/>
      <c r="AE41" s="138"/>
      <c r="AF41" s="138"/>
      <c r="AG41" s="138"/>
      <c r="AI41">
        <v>14.65</v>
      </c>
    </row>
    <row r="42" spans="2:35" x14ac:dyDescent="0.2">
      <c r="B42" t="s">
        <v>141</v>
      </c>
      <c r="J42" s="143">
        <v>5.8</v>
      </c>
      <c r="K42" s="143">
        <v>5.7</v>
      </c>
      <c r="L42" s="143">
        <v>6.17</v>
      </c>
      <c r="M42" s="143">
        <v>6.51</v>
      </c>
      <c r="N42" s="143">
        <v>6.7</v>
      </c>
      <c r="Q42" s="124"/>
      <c r="R42" s="124"/>
      <c r="S42" s="124"/>
      <c r="T42" s="124"/>
      <c r="U42" s="124"/>
      <c r="V42" s="124"/>
      <c r="W42" s="143">
        <v>22.19</v>
      </c>
      <c r="X42" s="143">
        <v>24.99</v>
      </c>
      <c r="Y42" s="143"/>
      <c r="Z42" s="143"/>
      <c r="AA42" s="143"/>
      <c r="AB42" s="143"/>
      <c r="AC42" s="143"/>
      <c r="AD42" s="143"/>
      <c r="AE42" s="143"/>
      <c r="AF42" s="143"/>
      <c r="AG42" s="143"/>
      <c r="AI42">
        <v>28.58</v>
      </c>
    </row>
    <row r="43" spans="2:35" x14ac:dyDescent="0.2">
      <c r="B43" t="s">
        <v>145</v>
      </c>
      <c r="J43">
        <v>28</v>
      </c>
      <c r="K43" s="168">
        <v>19</v>
      </c>
      <c r="L43" s="168">
        <v>18</v>
      </c>
      <c r="M43" s="168">
        <v>18</v>
      </c>
      <c r="N43" s="168">
        <v>16</v>
      </c>
      <c r="Q43" s="124"/>
      <c r="R43" s="124"/>
      <c r="S43" s="124"/>
      <c r="T43" s="124"/>
      <c r="U43" s="124"/>
      <c r="V43" s="124"/>
      <c r="W43" s="124">
        <v>34</v>
      </c>
      <c r="X43" s="124">
        <v>32</v>
      </c>
      <c r="Y43" s="124"/>
      <c r="Z43" s="124"/>
      <c r="AA43" s="124"/>
      <c r="AB43" s="124"/>
      <c r="AC43" s="124"/>
      <c r="AD43" s="124"/>
      <c r="AE43" s="124"/>
      <c r="AF43" s="124"/>
      <c r="AG43" s="124"/>
      <c r="AI43" s="124">
        <v>26</v>
      </c>
    </row>
    <row r="44" spans="2:35" x14ac:dyDescent="0.2">
      <c r="Q44" s="124"/>
      <c r="R44" s="124"/>
      <c r="S44" s="124"/>
      <c r="T44" s="124"/>
      <c r="U44" s="124"/>
      <c r="V44" s="124"/>
      <c r="W44" s="124"/>
      <c r="X44" s="124"/>
      <c r="Y44" s="124"/>
      <c r="Z44" s="124"/>
      <c r="AA44" s="124"/>
      <c r="AB44" s="124"/>
      <c r="AC44" s="124"/>
      <c r="AD44" s="124"/>
      <c r="AE44" s="124"/>
      <c r="AF44" s="124"/>
      <c r="AG44" s="124"/>
    </row>
    <row r="45" spans="2:35" s="124" customFormat="1" x14ac:dyDescent="0.2">
      <c r="B45" s="169" t="s">
        <v>50</v>
      </c>
      <c r="C45" s="124">
        <f>C11</f>
        <v>163</v>
      </c>
      <c r="D45" s="124">
        <f t="shared" ref="D45:AI45" si="129">D11</f>
        <v>186</v>
      </c>
      <c r="E45" s="124">
        <f t="shared" si="129"/>
        <v>188</v>
      </c>
      <c r="F45" s="124">
        <f t="shared" si="129"/>
        <v>189</v>
      </c>
      <c r="G45" s="124">
        <f t="shared" si="129"/>
        <v>192</v>
      </c>
      <c r="H45" s="124">
        <f t="shared" si="129"/>
        <v>189</v>
      </c>
      <c r="I45" s="124">
        <f t="shared" si="129"/>
        <v>185</v>
      </c>
      <c r="J45" s="124">
        <f t="shared" si="129"/>
        <v>202.93673102300471</v>
      </c>
      <c r="K45" s="124">
        <f t="shared" si="129"/>
        <v>198.66097392665219</v>
      </c>
      <c r="L45" s="124">
        <f t="shared" si="129"/>
        <v>210.69465076232856</v>
      </c>
      <c r="M45" s="124">
        <f t="shared" si="129"/>
        <v>223.28094082712695</v>
      </c>
      <c r="N45" s="124">
        <f t="shared" si="129"/>
        <v>229.26341855142553</v>
      </c>
      <c r="Q45" s="124">
        <f t="shared" si="129"/>
        <v>373</v>
      </c>
      <c r="R45" s="124">
        <f t="shared" si="129"/>
        <v>436</v>
      </c>
      <c r="S45" s="124">
        <f t="shared" si="129"/>
        <v>459</v>
      </c>
      <c r="T45" s="124">
        <f t="shared" si="129"/>
        <v>522</v>
      </c>
      <c r="U45" s="124">
        <f t="shared" si="129"/>
        <v>580</v>
      </c>
      <c r="V45" s="124">
        <f t="shared" si="129"/>
        <v>726</v>
      </c>
      <c r="W45" s="124">
        <f t="shared" si="129"/>
        <v>768.93673102300477</v>
      </c>
      <c r="X45" s="124">
        <f t="shared" si="129"/>
        <v>861.89998406753318</v>
      </c>
      <c r="Y45" s="124">
        <f t="shared" si="129"/>
        <v>0</v>
      </c>
      <c r="Z45" s="124">
        <f t="shared" si="129"/>
        <v>0</v>
      </c>
      <c r="AA45" s="124">
        <f t="shared" si="129"/>
        <v>0</v>
      </c>
      <c r="AB45" s="124">
        <f t="shared" si="129"/>
        <v>0</v>
      </c>
      <c r="AC45" s="124">
        <f t="shared" si="129"/>
        <v>0</v>
      </c>
      <c r="AD45" s="124">
        <f t="shared" si="129"/>
        <v>0</v>
      </c>
      <c r="AE45" s="124">
        <f t="shared" si="129"/>
        <v>0</v>
      </c>
      <c r="AF45" s="124">
        <f t="shared" si="129"/>
        <v>0</v>
      </c>
      <c r="AG45" s="124">
        <f t="shared" si="129"/>
        <v>0</v>
      </c>
      <c r="AH45" s="124">
        <f t="shared" si="129"/>
        <v>0</v>
      </c>
    </row>
    <row r="46" spans="2:35" s="124" customFormat="1" x14ac:dyDescent="0.2">
      <c r="B46" s="169" t="s">
        <v>52</v>
      </c>
      <c r="C46" s="124">
        <v>-65</v>
      </c>
      <c r="D46" s="124">
        <v>-81</v>
      </c>
      <c r="E46" s="124">
        <v>-139</v>
      </c>
      <c r="F46" s="124">
        <v>-122</v>
      </c>
      <c r="G46" s="124">
        <v>-146</v>
      </c>
      <c r="H46" s="124">
        <v>-55</v>
      </c>
      <c r="I46" s="124">
        <v>-111</v>
      </c>
      <c r="Q46" s="124">
        <v>-215</v>
      </c>
      <c r="R46" s="124">
        <v>-300</v>
      </c>
      <c r="S46" s="124">
        <v>-330</v>
      </c>
      <c r="T46" s="124">
        <v>-422</v>
      </c>
      <c r="U46" s="124">
        <v>-339</v>
      </c>
      <c r="V46" s="124">
        <v>-407</v>
      </c>
    </row>
    <row r="47" spans="2:35" s="124" customFormat="1" x14ac:dyDescent="0.2">
      <c r="B47" s="169" t="s">
        <v>53</v>
      </c>
      <c r="C47" s="124">
        <v>400</v>
      </c>
      <c r="D47" s="124">
        <v>-173</v>
      </c>
      <c r="E47" s="124">
        <v>-116</v>
      </c>
      <c r="F47" s="124">
        <v>-743</v>
      </c>
      <c r="G47" s="124">
        <v>663</v>
      </c>
      <c r="H47" s="124">
        <v>27</v>
      </c>
      <c r="I47" s="124">
        <v>-1243</v>
      </c>
      <c r="Q47" s="124">
        <v>-290</v>
      </c>
      <c r="R47" s="124">
        <v>-465</v>
      </c>
      <c r="S47" s="124">
        <v>-522</v>
      </c>
      <c r="T47" s="124">
        <v>728</v>
      </c>
      <c r="U47" s="124">
        <v>16</v>
      </c>
      <c r="V47" s="124">
        <v>-632</v>
      </c>
    </row>
    <row r="49" spans="2:14" x14ac:dyDescent="0.2">
      <c r="B49" s="138"/>
      <c r="C49" s="124"/>
      <c r="D49" s="124"/>
      <c r="E49" s="124"/>
      <c r="F49" s="124"/>
      <c r="G49" s="124"/>
      <c r="H49" s="124"/>
      <c r="I49" s="124"/>
      <c r="J49" s="124"/>
      <c r="K49" s="124"/>
      <c r="L49" s="124"/>
      <c r="M49" s="124"/>
      <c r="N49" s="124"/>
    </row>
    <row r="50" spans="2:14" s="145" customFormat="1" x14ac:dyDescent="0.2">
      <c r="B50" s="144"/>
      <c r="G50" s="144"/>
      <c r="H50" s="144"/>
      <c r="I50" s="144"/>
      <c r="J50" s="144"/>
      <c r="K50" s="144"/>
      <c r="L50" s="144"/>
      <c r="M50" s="144"/>
      <c r="N50" s="144"/>
    </row>
  </sheetData>
  <sheetProtection algorithmName="SHA-512" hashValue="yBhSjtv4J8LzWx4TU28VeQF2qlZDxP88Oz2Umsh4Mbe1/ZgfoODPRqs/7Lw1FDtIRJ/6TiYsohyPZlHixs4zCg==" saltValue="GIKlDE102oCPF0N/gPn4zg==" spinCount="100000" sheet="1" objects="1" scenarios="1" selectLockedCells="1"/>
  <pageMargins left="0.7" right="0.7" top="0.75" bottom="0.75" header="0.3" footer="0.3"/>
  <ignoredErrors>
    <ignoredError sqref="T8 X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A76D-F831-3442-8D84-594A093E44FB}">
  <dimension ref="A2:AD22"/>
  <sheetViews>
    <sheetView showGridLines="0" zoomScale="130" zoomScaleNormal="130" workbookViewId="0">
      <selection activeCell="F17" sqref="F17"/>
    </sheetView>
  </sheetViews>
  <sheetFormatPr baseColWidth="10" defaultColWidth="10.83203125" defaultRowHeight="16" x14ac:dyDescent="0.2"/>
  <cols>
    <col min="1" max="1" width="6.1640625" style="148" customWidth="1"/>
    <col min="2" max="5" width="10.83203125" style="148"/>
    <col min="6" max="6" width="12.83203125" style="148" customWidth="1"/>
    <col min="7" max="8" width="10.83203125" style="148"/>
    <col min="9" max="9" width="17" style="148" bestFit="1" customWidth="1"/>
    <col min="10" max="16384" width="10.83203125" style="148"/>
  </cols>
  <sheetData>
    <row r="2" spans="1:30" ht="22" thickBot="1" x14ac:dyDescent="0.3">
      <c r="A2" s="146"/>
      <c r="B2" s="147" t="s">
        <v>36</v>
      </c>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row>
    <row r="4" spans="1:30" x14ac:dyDescent="0.2">
      <c r="B4" s="148" t="s">
        <v>106</v>
      </c>
    </row>
    <row r="5" spans="1:30" x14ac:dyDescent="0.2">
      <c r="B5" s="148" t="s">
        <v>107</v>
      </c>
    </row>
    <row r="7" spans="1:30" ht="20" customHeight="1" x14ac:dyDescent="0.2">
      <c r="B7" s="149" t="s">
        <v>108</v>
      </c>
      <c r="C7" s="150"/>
      <c r="D7" s="150"/>
      <c r="E7" s="150"/>
      <c r="F7" s="150"/>
    </row>
    <row r="9" spans="1:30" x14ac:dyDescent="0.2">
      <c r="B9" s="148" t="s">
        <v>70</v>
      </c>
      <c r="F9" s="151">
        <f>DCF!G5*DCF!D128</f>
        <v>367625.56</v>
      </c>
      <c r="I9" s="151"/>
    </row>
    <row r="10" spans="1:30" x14ac:dyDescent="0.2">
      <c r="B10" s="148" t="s">
        <v>109</v>
      </c>
      <c r="F10" s="152">
        <f>DCF!T13+DCF!T14</f>
        <v>12019</v>
      </c>
    </row>
    <row r="11" spans="1:30" x14ac:dyDescent="0.2">
      <c r="B11" s="148" t="s">
        <v>23</v>
      </c>
      <c r="F11" s="153">
        <f>DCF!T15</f>
        <v>4.2299999999999997E-2</v>
      </c>
    </row>
    <row r="12" spans="1:30" x14ac:dyDescent="0.2">
      <c r="B12" s="148" t="s">
        <v>110</v>
      </c>
      <c r="F12" s="153">
        <f>DCF!K88</f>
        <v>0.14724582905079822</v>
      </c>
    </row>
    <row r="13" spans="1:30" x14ac:dyDescent="0.2">
      <c r="B13" s="154" t="s">
        <v>111</v>
      </c>
      <c r="C13" s="154"/>
      <c r="D13" s="154"/>
      <c r="E13" s="154"/>
      <c r="F13" s="155">
        <f>(F10)/(F10+F9)</f>
        <v>3.1658559785500417E-2</v>
      </c>
    </row>
    <row r="14" spans="1:30" x14ac:dyDescent="0.2">
      <c r="B14" s="156" t="s">
        <v>112</v>
      </c>
      <c r="C14" s="157"/>
      <c r="D14" s="157"/>
      <c r="E14" s="157"/>
      <c r="F14" s="158">
        <f>F11*(1-F12)</f>
        <v>3.6071501431151232E-2</v>
      </c>
    </row>
    <row r="16" spans="1:30" x14ac:dyDescent="0.2">
      <c r="B16" s="148" t="s">
        <v>113</v>
      </c>
      <c r="F16" s="153">
        <v>3.39E-2</v>
      </c>
    </row>
    <row r="17" spans="2:6" x14ac:dyDescent="0.2">
      <c r="B17" s="148" t="s">
        <v>114</v>
      </c>
      <c r="F17" s="159">
        <f>DCF!T20</f>
        <v>5.11E-2</v>
      </c>
    </row>
    <row r="18" spans="2:6" x14ac:dyDescent="0.2">
      <c r="B18" s="148" t="s">
        <v>32</v>
      </c>
      <c r="F18" s="148">
        <f>DCF!T21</f>
        <v>0.99</v>
      </c>
    </row>
    <row r="19" spans="2:6" x14ac:dyDescent="0.2">
      <c r="B19" s="154" t="s">
        <v>115</v>
      </c>
      <c r="C19" s="154"/>
      <c r="D19" s="154"/>
      <c r="E19" s="154"/>
      <c r="F19" s="155">
        <f>1-F13</f>
        <v>0.96834144021449964</v>
      </c>
    </row>
    <row r="20" spans="2:6" x14ac:dyDescent="0.2">
      <c r="B20" s="160" t="s">
        <v>116</v>
      </c>
      <c r="F20" s="159">
        <f>F16+F18*F17</f>
        <v>8.4489000000000009E-2</v>
      </c>
    </row>
    <row r="22" spans="2:6" ht="26" customHeight="1" x14ac:dyDescent="0.2">
      <c r="B22" s="161" t="s">
        <v>36</v>
      </c>
      <c r="C22" s="162"/>
      <c r="D22" s="162"/>
      <c r="E22" s="162"/>
      <c r="F22" s="163">
        <f>F14*F13+F20*F19</f>
        <v>8.2956171726893735E-2</v>
      </c>
    </row>
  </sheetData>
  <sheetProtection algorithmName="SHA-512" hashValue="JfjdR+mZoVTUpU1Ly+bR++6lRtb0/xYBlz9wMd/CBLUlkQg5aW7P6vx14geIfAUuJor8Z+L0UV69Gf4D9OvOYw==" saltValue="44KzBv0PIMKE4JWAv1dRlQ=="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2023-01-23T04:02:11Z</dcterms:created>
  <dcterms:modified xsi:type="dcterms:W3CDTF">2023-01-23T06:08:48Z</dcterms:modified>
</cp:coreProperties>
</file>