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
    </mc:Choice>
  </mc:AlternateContent>
  <xr:revisionPtr revIDLastSave="0" documentId="13_ncr:1_{BC832F31-6F6D-BA4E-986C-6B9199377383}" xr6:coauthVersionLast="47" xr6:coauthVersionMax="47" xr10:uidLastSave="{00000000-0000-0000-0000-000000000000}"/>
  <bookViews>
    <workbookView xWindow="0" yWindow="500" windowWidth="38400" windowHeight="19240" xr2:uid="{50F74F4E-EEAF-9D49-8335-42504783FF0D}"/>
  </bookViews>
  <sheets>
    <sheet name="DCF" sheetId="1" r:id="rId1"/>
    <sheet name="Financials + KPIs" sheetId="2" r:id="rId2"/>
    <sheet name="WACC"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1" l="1"/>
  <c r="D29" i="1"/>
  <c r="D31" i="1"/>
  <c r="P26" i="1"/>
  <c r="H26" i="1"/>
  <c r="F90" i="1"/>
  <c r="G90" i="1"/>
  <c r="H90" i="1"/>
  <c r="I90" i="1"/>
  <c r="J90" i="1"/>
  <c r="E90" i="1"/>
  <c r="F87" i="1"/>
  <c r="G87" i="1"/>
  <c r="H87" i="1"/>
  <c r="I87" i="1"/>
  <c r="J87" i="1"/>
  <c r="E87" i="1"/>
  <c r="F83" i="1"/>
  <c r="G83" i="1"/>
  <c r="H83" i="1"/>
  <c r="I83" i="1"/>
  <c r="J83" i="1"/>
  <c r="E83" i="1"/>
  <c r="J63" i="1"/>
  <c r="E81" i="1"/>
  <c r="U79" i="1"/>
  <c r="L79" i="1"/>
  <c r="K79" i="1"/>
  <c r="F78" i="1"/>
  <c r="G78" i="1"/>
  <c r="H78" i="1"/>
  <c r="I78" i="1"/>
  <c r="J78" i="1"/>
  <c r="E78" i="1"/>
  <c r="U73" i="1"/>
  <c r="K75" i="1"/>
  <c r="L75" i="1" s="1"/>
  <c r="M75" i="1" s="1"/>
  <c r="N75" i="1" s="1"/>
  <c r="O75" i="1" s="1"/>
  <c r="K73" i="1"/>
  <c r="U74" i="1"/>
  <c r="K74" i="1"/>
  <c r="F71" i="1"/>
  <c r="G71" i="1"/>
  <c r="H71" i="1"/>
  <c r="I71" i="1"/>
  <c r="J71" i="1"/>
  <c r="E71" i="1"/>
  <c r="U58" i="1"/>
  <c r="K60" i="1"/>
  <c r="K57" i="1" s="1"/>
  <c r="K56" i="1" s="1"/>
  <c r="K58" i="1"/>
  <c r="L58" i="1" s="1"/>
  <c r="M58" i="1" s="1"/>
  <c r="N58" i="1" s="1"/>
  <c r="O58" i="1" s="1"/>
  <c r="P58" i="1" s="1"/>
  <c r="Q58" i="1" s="1"/>
  <c r="R58" i="1" s="1"/>
  <c r="S58" i="1" s="1"/>
  <c r="T58" i="1" s="1"/>
  <c r="K59" i="1"/>
  <c r="F43" i="1"/>
  <c r="M53" i="1"/>
  <c r="N53" i="1" s="1"/>
  <c r="O53" i="1" s="1"/>
  <c r="P53" i="1" s="1"/>
  <c r="Q53" i="1" s="1"/>
  <c r="R53" i="1" s="1"/>
  <c r="S53" i="1" s="1"/>
  <c r="T53" i="1" s="1"/>
  <c r="N52" i="1"/>
  <c r="O52" i="1" s="1"/>
  <c r="P52" i="1" s="1"/>
  <c r="Q52" i="1" s="1"/>
  <c r="R52" i="1" s="1"/>
  <c r="S52" i="1" s="1"/>
  <c r="T52" i="1" s="1"/>
  <c r="M52" i="1"/>
  <c r="U53" i="1"/>
  <c r="U52" i="1"/>
  <c r="U50" i="1" s="1"/>
  <c r="U51" i="1"/>
  <c r="M51" i="1"/>
  <c r="N51" i="1" s="1"/>
  <c r="O51" i="1" s="1"/>
  <c r="P51" i="1" s="1"/>
  <c r="Q51" i="1" s="1"/>
  <c r="R51" i="1" s="1"/>
  <c r="S51" i="1" s="1"/>
  <c r="T51" i="1" s="1"/>
  <c r="M39" i="1"/>
  <c r="M37" i="1"/>
  <c r="L53" i="1"/>
  <c r="L52" i="1"/>
  <c r="L51" i="1"/>
  <c r="K39" i="1"/>
  <c r="K44" i="1"/>
  <c r="K46" i="1"/>
  <c r="K45" i="1"/>
  <c r="H56" i="2"/>
  <c r="I56" i="2"/>
  <c r="J56" i="2"/>
  <c r="G56" i="2"/>
  <c r="D55" i="2"/>
  <c r="E55" i="2"/>
  <c r="F55" i="2"/>
  <c r="G55" i="2"/>
  <c r="H55" i="2"/>
  <c r="I55" i="2"/>
  <c r="J55" i="2"/>
  <c r="C55" i="2"/>
  <c r="L50" i="1"/>
  <c r="F57" i="1"/>
  <c r="F56" i="1"/>
  <c r="G56" i="1"/>
  <c r="H56" i="1"/>
  <c r="I56" i="1"/>
  <c r="J56" i="1"/>
  <c r="E56" i="1"/>
  <c r="F49" i="1"/>
  <c r="G49" i="1"/>
  <c r="H49" i="1"/>
  <c r="I49" i="1"/>
  <c r="J49" i="1"/>
  <c r="E49" i="1"/>
  <c r="F42" i="1"/>
  <c r="G42" i="1"/>
  <c r="H42" i="1"/>
  <c r="I42" i="1"/>
  <c r="J42" i="1"/>
  <c r="E42" i="1"/>
  <c r="F35" i="1"/>
  <c r="G35" i="1"/>
  <c r="H35" i="1"/>
  <c r="I35" i="1"/>
  <c r="J35" i="1"/>
  <c r="E35" i="1"/>
  <c r="C4" i="1" a="1"/>
  <c r="C4" i="1" s="1"/>
  <c r="R8" i="2"/>
  <c r="R40" i="2" s="1"/>
  <c r="F146" i="1"/>
  <c r="U21" i="2"/>
  <c r="H146" i="1" s="1"/>
  <c r="T21" i="2"/>
  <c r="S21" i="2"/>
  <c r="T45" i="2"/>
  <c r="U45" i="2"/>
  <c r="V45" i="2"/>
  <c r="W45" i="2"/>
  <c r="S45" i="2"/>
  <c r="T43" i="2"/>
  <c r="U43" i="2"/>
  <c r="V43" i="2"/>
  <c r="W43" i="2"/>
  <c r="H43" i="2"/>
  <c r="I43" i="2"/>
  <c r="J43" i="2"/>
  <c r="G43" i="2"/>
  <c r="T35" i="2"/>
  <c r="U35" i="2"/>
  <c r="V35" i="2"/>
  <c r="W35" i="2"/>
  <c r="T36" i="2"/>
  <c r="U36" i="2"/>
  <c r="V36" i="2"/>
  <c r="W36" i="2"/>
  <c r="T37" i="2"/>
  <c r="U37" i="2"/>
  <c r="V37" i="2"/>
  <c r="W37" i="2"/>
  <c r="T38" i="2"/>
  <c r="U38" i="2"/>
  <c r="V38" i="2"/>
  <c r="W38" i="2"/>
  <c r="T39" i="2"/>
  <c r="U39" i="2"/>
  <c r="V39" i="2"/>
  <c r="W39" i="2"/>
  <c r="T40" i="2"/>
  <c r="U40" i="2"/>
  <c r="V40" i="2"/>
  <c r="W40" i="2"/>
  <c r="T41" i="2"/>
  <c r="U41" i="2"/>
  <c r="V41" i="2"/>
  <c r="W41" i="2"/>
  <c r="T42" i="2"/>
  <c r="U42" i="2"/>
  <c r="V42" i="2"/>
  <c r="W42" i="2"/>
  <c r="S41" i="2"/>
  <c r="S35" i="2"/>
  <c r="S42" i="2"/>
  <c r="S40" i="2"/>
  <c r="S39" i="2"/>
  <c r="S38" i="2"/>
  <c r="S37" i="2"/>
  <c r="S36" i="2"/>
  <c r="X17" i="2"/>
  <c r="T28" i="2"/>
  <c r="U28" i="2"/>
  <c r="V28" i="2"/>
  <c r="W28" i="2"/>
  <c r="T29" i="2"/>
  <c r="U29" i="2"/>
  <c r="V29" i="2"/>
  <c r="W29" i="2"/>
  <c r="T30" i="2"/>
  <c r="U30" i="2"/>
  <c r="V30" i="2"/>
  <c r="W30" i="2"/>
  <c r="T31" i="2"/>
  <c r="U31" i="2"/>
  <c r="V31" i="2"/>
  <c r="W31" i="2"/>
  <c r="T32" i="2"/>
  <c r="U32" i="2"/>
  <c r="V32" i="2"/>
  <c r="W32" i="2"/>
  <c r="T33" i="2"/>
  <c r="U33" i="2"/>
  <c r="V33" i="2"/>
  <c r="W33" i="2"/>
  <c r="S30" i="2"/>
  <c r="S31" i="2"/>
  <c r="S32" i="2"/>
  <c r="S33" i="2"/>
  <c r="S29" i="2"/>
  <c r="W25" i="2"/>
  <c r="W26" i="2"/>
  <c r="W24" i="2"/>
  <c r="V24" i="2"/>
  <c r="V25" i="2"/>
  <c r="V26" i="2"/>
  <c r="C23" i="2"/>
  <c r="C22" i="2" s="1"/>
  <c r="D23" i="2"/>
  <c r="D22" i="2" s="1"/>
  <c r="E23" i="2"/>
  <c r="F23" i="2"/>
  <c r="F22" i="2" s="1"/>
  <c r="G23" i="2"/>
  <c r="G22" i="2" s="1"/>
  <c r="H23" i="2"/>
  <c r="I23" i="2"/>
  <c r="I22" i="2" s="1"/>
  <c r="J23" i="2"/>
  <c r="W23" i="2" s="1"/>
  <c r="H22" i="2"/>
  <c r="K18" i="2"/>
  <c r="M3" i="2"/>
  <c r="L3" i="2"/>
  <c r="N3" i="2"/>
  <c r="L4" i="2"/>
  <c r="M4" i="2"/>
  <c r="N4" i="2"/>
  <c r="L5" i="2"/>
  <c r="M5" i="2"/>
  <c r="N5" i="2"/>
  <c r="L6" i="2"/>
  <c r="L55" i="2" s="1"/>
  <c r="L56" i="2" s="1"/>
  <c r="M6" i="2"/>
  <c r="M55" i="2" s="1"/>
  <c r="M56" i="2" s="1"/>
  <c r="N6" i="2"/>
  <c r="N55" i="2" s="1"/>
  <c r="N56" i="2" s="1"/>
  <c r="L7" i="2"/>
  <c r="M7" i="2"/>
  <c r="N7" i="2"/>
  <c r="K7" i="2"/>
  <c r="K4" i="2"/>
  <c r="K5" i="2"/>
  <c r="K6" i="2"/>
  <c r="K55" i="2" s="1"/>
  <c r="K56" i="2" s="1"/>
  <c r="K3" i="2"/>
  <c r="K26" i="2"/>
  <c r="L26" i="2" s="1"/>
  <c r="M26" i="2" s="1"/>
  <c r="N26" i="2" s="1"/>
  <c r="X26" i="2" s="1"/>
  <c r="K25" i="2"/>
  <c r="L25" i="2" s="1"/>
  <c r="M25" i="2" s="1"/>
  <c r="N25" i="2" s="1"/>
  <c r="X25" i="2" s="1"/>
  <c r="D45" i="2"/>
  <c r="E45" i="2"/>
  <c r="F45" i="2"/>
  <c r="G45" i="2"/>
  <c r="H45" i="2"/>
  <c r="I45" i="2"/>
  <c r="J45" i="2"/>
  <c r="C45" i="2"/>
  <c r="H29" i="2"/>
  <c r="I29" i="2"/>
  <c r="J29" i="2"/>
  <c r="H30" i="2"/>
  <c r="I30" i="2"/>
  <c r="J30" i="2"/>
  <c r="H31" i="2"/>
  <c r="I31" i="2"/>
  <c r="J31" i="2"/>
  <c r="H32" i="2"/>
  <c r="I32" i="2"/>
  <c r="J32" i="2"/>
  <c r="H33" i="2"/>
  <c r="I33" i="2"/>
  <c r="J33" i="2"/>
  <c r="G30" i="2"/>
  <c r="G31" i="2"/>
  <c r="G32" i="2"/>
  <c r="G33" i="2"/>
  <c r="G29" i="2"/>
  <c r="D8" i="2"/>
  <c r="D35" i="2" s="1"/>
  <c r="E8" i="2"/>
  <c r="E40" i="2" s="1"/>
  <c r="F8" i="2"/>
  <c r="F44" i="2" s="1"/>
  <c r="G8" i="2"/>
  <c r="G37" i="2" s="1"/>
  <c r="H8" i="2"/>
  <c r="H35" i="2" s="1"/>
  <c r="I8" i="2"/>
  <c r="I36" i="2" s="1"/>
  <c r="J8" i="2"/>
  <c r="J37" i="2" s="1"/>
  <c r="C8" i="2"/>
  <c r="C40" i="2" s="1"/>
  <c r="F18" i="3"/>
  <c r="F17" i="3"/>
  <c r="F11" i="3"/>
  <c r="F10" i="3"/>
  <c r="Y2" i="2"/>
  <c r="Z2" i="2" s="1"/>
  <c r="AA2" i="2" s="1"/>
  <c r="AB2" i="2" s="1"/>
  <c r="AC2" i="2" s="1"/>
  <c r="AD2" i="2" s="1"/>
  <c r="AE2" i="2" s="1"/>
  <c r="AF2" i="2" s="1"/>
  <c r="AG2" i="2" s="1"/>
  <c r="U2" i="2"/>
  <c r="V2" i="2" s="1"/>
  <c r="W2" i="2" s="1"/>
  <c r="L137" i="1"/>
  <c r="M137" i="1" s="1"/>
  <c r="N137" i="1" s="1"/>
  <c r="O137" i="1" s="1"/>
  <c r="P137" i="1" s="1"/>
  <c r="Q137" i="1" s="1"/>
  <c r="R137" i="1" s="1"/>
  <c r="S137" i="1" s="1"/>
  <c r="T137" i="1" s="1"/>
  <c r="U137" i="1" s="1"/>
  <c r="J137" i="1"/>
  <c r="I137" i="1" s="1"/>
  <c r="H137" i="1" s="1"/>
  <c r="G137" i="1" s="1"/>
  <c r="F137" i="1" s="1"/>
  <c r="E137" i="1" s="1"/>
  <c r="D119" i="1"/>
  <c r="D116" i="1"/>
  <c r="D115" i="1"/>
  <c r="D114" i="1"/>
  <c r="D113" i="1"/>
  <c r="L99" i="1"/>
  <c r="M99" i="1" s="1"/>
  <c r="N99" i="1" s="1"/>
  <c r="O99" i="1" s="1"/>
  <c r="P99" i="1" s="1"/>
  <c r="Q99" i="1" s="1"/>
  <c r="R99" i="1" s="1"/>
  <c r="S99" i="1" s="1"/>
  <c r="T99" i="1" s="1"/>
  <c r="L98" i="1"/>
  <c r="M98" i="1" s="1"/>
  <c r="N98" i="1" s="1"/>
  <c r="O98" i="1" s="1"/>
  <c r="P98" i="1" s="1"/>
  <c r="Q98" i="1" s="1"/>
  <c r="R98" i="1" s="1"/>
  <c r="S98" i="1" s="1"/>
  <c r="T98" i="1" s="1"/>
  <c r="J151" i="1"/>
  <c r="F151" i="1"/>
  <c r="E151" i="1"/>
  <c r="J150" i="1"/>
  <c r="H150" i="1"/>
  <c r="G150" i="1"/>
  <c r="F150" i="1"/>
  <c r="E150" i="1"/>
  <c r="U147" i="1"/>
  <c r="J146" i="1"/>
  <c r="I146" i="1"/>
  <c r="E146" i="1"/>
  <c r="U75" i="1"/>
  <c r="U72" i="1" s="1"/>
  <c r="U145" i="1" s="1"/>
  <c r="G144" i="1"/>
  <c r="F144" i="1"/>
  <c r="L67" i="1"/>
  <c r="M67" i="1" s="1"/>
  <c r="N67" i="1" s="1"/>
  <c r="O67" i="1" s="1"/>
  <c r="P67" i="1" s="1"/>
  <c r="Q67" i="1" s="1"/>
  <c r="R67" i="1" s="1"/>
  <c r="S67" i="1" s="1"/>
  <c r="T67" i="1" s="1"/>
  <c r="U67" i="1" s="1"/>
  <c r="J67" i="1"/>
  <c r="I67" i="1" s="1"/>
  <c r="H67" i="1" s="1"/>
  <c r="G67" i="1" s="1"/>
  <c r="F67" i="1" s="1"/>
  <c r="E67" i="1" s="1"/>
  <c r="L66" i="1"/>
  <c r="M66" i="1" s="1"/>
  <c r="N66" i="1" s="1"/>
  <c r="O66" i="1" s="1"/>
  <c r="P66" i="1" s="1"/>
  <c r="Q66" i="1" s="1"/>
  <c r="R66" i="1" s="1"/>
  <c r="S66" i="1" s="1"/>
  <c r="T66" i="1" s="1"/>
  <c r="U66" i="1" s="1"/>
  <c r="F66" i="1"/>
  <c r="G66" i="1" s="1"/>
  <c r="H66" i="1" s="1"/>
  <c r="I66" i="1" s="1"/>
  <c r="J66" i="1" s="1"/>
  <c r="U46" i="1"/>
  <c r="L46" i="1"/>
  <c r="U45" i="1"/>
  <c r="U43" i="1" s="1"/>
  <c r="L45" i="1"/>
  <c r="L43" i="1" s="1"/>
  <c r="U44" i="1"/>
  <c r="L44" i="1"/>
  <c r="M44" i="1" s="1"/>
  <c r="N44" i="1" s="1"/>
  <c r="O44" i="1" s="1"/>
  <c r="P44" i="1" s="1"/>
  <c r="Q44" i="1" s="1"/>
  <c r="R44" i="1" s="1"/>
  <c r="S44" i="1" s="1"/>
  <c r="T44" i="1" s="1"/>
  <c r="U39" i="1"/>
  <c r="L39" i="1"/>
  <c r="U38" i="1"/>
  <c r="U36" i="1" s="1"/>
  <c r="L38" i="1"/>
  <c r="L36" i="1" s="1"/>
  <c r="U37" i="1"/>
  <c r="L37" i="1"/>
  <c r="L34" i="1"/>
  <c r="M34" i="1" s="1"/>
  <c r="N34" i="1" s="1"/>
  <c r="O34" i="1" s="1"/>
  <c r="P34" i="1" s="1"/>
  <c r="Q34" i="1" s="1"/>
  <c r="R34" i="1" s="1"/>
  <c r="S34" i="1" s="1"/>
  <c r="T34" i="1" s="1"/>
  <c r="U34" i="1" s="1"/>
  <c r="J34" i="1"/>
  <c r="I34" i="1" s="1"/>
  <c r="H34" i="1" s="1"/>
  <c r="G34" i="1" s="1"/>
  <c r="F34" i="1" s="1"/>
  <c r="E34" i="1" s="1"/>
  <c r="L33" i="1"/>
  <c r="M33" i="1" s="1"/>
  <c r="N33" i="1" s="1"/>
  <c r="O33" i="1" s="1"/>
  <c r="P33" i="1" s="1"/>
  <c r="Q33" i="1" s="1"/>
  <c r="R33" i="1" s="1"/>
  <c r="S33" i="1" s="1"/>
  <c r="T33" i="1" s="1"/>
  <c r="U33" i="1" s="1"/>
  <c r="F33" i="1"/>
  <c r="G33" i="1" s="1"/>
  <c r="H33" i="1" s="1"/>
  <c r="I33" i="1" s="1"/>
  <c r="J33" i="1" s="1"/>
  <c r="P25" i="1"/>
  <c r="F129" i="1" s="1"/>
  <c r="H25" i="1"/>
  <c r="G5" i="1" a="1"/>
  <c r="G5" i="1" s="1"/>
  <c r="L124" i="1" l="1"/>
  <c r="N129" i="1"/>
  <c r="M129" i="1" s="1"/>
  <c r="L129" i="1" s="1"/>
  <c r="D124" i="1"/>
  <c r="L73" i="1"/>
  <c r="M73" i="1" s="1"/>
  <c r="N73" i="1" s="1"/>
  <c r="O73" i="1" s="1"/>
  <c r="P73" i="1" s="1"/>
  <c r="Q73" i="1" s="1"/>
  <c r="R73" i="1" s="1"/>
  <c r="S73" i="1" s="1"/>
  <c r="T73" i="1" s="1"/>
  <c r="K72" i="1"/>
  <c r="L74" i="1"/>
  <c r="M74" i="1" s="1"/>
  <c r="N74" i="1" s="1"/>
  <c r="O74" i="1" s="1"/>
  <c r="P74" i="1" s="1"/>
  <c r="Q74" i="1" s="1"/>
  <c r="R74" i="1" s="1"/>
  <c r="S74" i="1" s="1"/>
  <c r="T74" i="1" s="1"/>
  <c r="P75" i="1"/>
  <c r="Q75" i="1" s="1"/>
  <c r="R75" i="1" s="1"/>
  <c r="S75" i="1" s="1"/>
  <c r="T75" i="1" s="1"/>
  <c r="M46" i="1"/>
  <c r="N46" i="1" s="1"/>
  <c r="O46" i="1" s="1"/>
  <c r="P46" i="1" s="1"/>
  <c r="Q46" i="1" s="1"/>
  <c r="R46" i="1" s="1"/>
  <c r="S46" i="1" s="1"/>
  <c r="T46" i="1" s="1"/>
  <c r="M45" i="1"/>
  <c r="N45" i="1" s="1"/>
  <c r="O45" i="1" s="1"/>
  <c r="P45" i="1" s="1"/>
  <c r="Q45" i="1" s="1"/>
  <c r="R45" i="1" s="1"/>
  <c r="S45" i="1" s="1"/>
  <c r="T45" i="1" s="1"/>
  <c r="D40" i="2"/>
  <c r="J57" i="1"/>
  <c r="V23" i="2"/>
  <c r="G57" i="1"/>
  <c r="X4" i="2"/>
  <c r="X30" i="2" s="1"/>
  <c r="J50" i="1"/>
  <c r="H57" i="1"/>
  <c r="X5" i="2"/>
  <c r="X31" i="2" s="1"/>
  <c r="K52" i="1" s="1"/>
  <c r="X3" i="2"/>
  <c r="X29" i="2" s="1"/>
  <c r="K38" i="1" s="1"/>
  <c r="K36" i="1" s="1"/>
  <c r="X7" i="2"/>
  <c r="X33" i="2" s="1"/>
  <c r="F40" i="2"/>
  <c r="X6" i="2"/>
  <c r="X32" i="2" s="1"/>
  <c r="K43" i="1" s="1"/>
  <c r="I57" i="1"/>
  <c r="E39" i="2"/>
  <c r="I46" i="2"/>
  <c r="I37" i="2"/>
  <c r="E44" i="2"/>
  <c r="E22" i="2"/>
  <c r="G39" i="2"/>
  <c r="I42" i="2"/>
  <c r="H36" i="2"/>
  <c r="J41" i="2"/>
  <c r="K41" i="2" s="1"/>
  <c r="L41" i="2" s="1"/>
  <c r="M41" i="2" s="1"/>
  <c r="N41" i="2" s="1"/>
  <c r="J38" i="2"/>
  <c r="J40" i="2"/>
  <c r="G38" i="2"/>
  <c r="J44" i="2"/>
  <c r="G28" i="2"/>
  <c r="R36" i="2"/>
  <c r="J36" i="2"/>
  <c r="R16" i="2"/>
  <c r="J39" i="2"/>
  <c r="G36" i="2"/>
  <c r="J28" i="2"/>
  <c r="S28" i="2"/>
  <c r="R39" i="2"/>
  <c r="G41" i="2"/>
  <c r="I28" i="2"/>
  <c r="R38" i="2"/>
  <c r="E41" i="2"/>
  <c r="G42" i="2"/>
  <c r="H28" i="2"/>
  <c r="R37" i="2"/>
  <c r="G40" i="2"/>
  <c r="D38" i="2"/>
  <c r="G44" i="2"/>
  <c r="J42" i="2"/>
  <c r="R35" i="2"/>
  <c r="I50" i="1"/>
  <c r="H50" i="1"/>
  <c r="F50" i="1"/>
  <c r="I63" i="1"/>
  <c r="I68" i="1" s="1"/>
  <c r="F9" i="3"/>
  <c r="F13" i="3" s="1"/>
  <c r="F19" i="3" s="1"/>
  <c r="E63" i="1"/>
  <c r="E68" i="1" s="1"/>
  <c r="E138" i="1" s="1"/>
  <c r="G63" i="1"/>
  <c r="G68" i="1" s="1"/>
  <c r="G84" i="1" s="1"/>
  <c r="H63" i="1"/>
  <c r="H68" i="1" s="1"/>
  <c r="H84" i="1" s="1"/>
  <c r="F63" i="1"/>
  <c r="F68" i="1" s="1"/>
  <c r="F84" i="1" s="1"/>
  <c r="M50" i="1"/>
  <c r="G50" i="1"/>
  <c r="F20" i="3"/>
  <c r="R41" i="2"/>
  <c r="G146" i="1"/>
  <c r="L8" i="2"/>
  <c r="L28" i="2" s="1"/>
  <c r="H46" i="2"/>
  <c r="G46" i="2"/>
  <c r="J46" i="2"/>
  <c r="J22" i="2"/>
  <c r="K8" i="2"/>
  <c r="C39" i="2"/>
  <c r="C38" i="2"/>
  <c r="D41" i="2"/>
  <c r="I38" i="2"/>
  <c r="H37" i="2"/>
  <c r="F42" i="2"/>
  <c r="D44" i="2"/>
  <c r="G35" i="2"/>
  <c r="C37" i="2"/>
  <c r="I39" i="2"/>
  <c r="H38" i="2"/>
  <c r="F36" i="2"/>
  <c r="E42" i="2"/>
  <c r="C44" i="2"/>
  <c r="F35" i="2"/>
  <c r="I40" i="2"/>
  <c r="H39" i="2"/>
  <c r="F37" i="2"/>
  <c r="E36" i="2"/>
  <c r="D42" i="2"/>
  <c r="E35" i="2"/>
  <c r="I41" i="2"/>
  <c r="H40" i="2"/>
  <c r="F38" i="2"/>
  <c r="E37" i="2"/>
  <c r="D36" i="2"/>
  <c r="I44" i="2"/>
  <c r="N8" i="2"/>
  <c r="N28" i="2" s="1"/>
  <c r="C36" i="2"/>
  <c r="H41" i="2"/>
  <c r="F39" i="2"/>
  <c r="E38" i="2"/>
  <c r="D37" i="2"/>
  <c r="C42" i="2"/>
  <c r="H44" i="2"/>
  <c r="C41" i="2"/>
  <c r="F41" i="2"/>
  <c r="D39" i="2"/>
  <c r="H42" i="2"/>
  <c r="M8" i="2"/>
  <c r="M28" i="2" s="1"/>
  <c r="L18" i="2"/>
  <c r="C35" i="2"/>
  <c r="J35" i="2"/>
  <c r="I35" i="2"/>
  <c r="J85" i="1"/>
  <c r="J143" i="1" s="1"/>
  <c r="E85" i="1"/>
  <c r="E143" i="1" s="1"/>
  <c r="I85" i="1"/>
  <c r="I143" i="1" s="1"/>
  <c r="H85" i="1"/>
  <c r="H143" i="1" s="1"/>
  <c r="G36" i="1"/>
  <c r="F36" i="1"/>
  <c r="I43" i="1"/>
  <c r="J43" i="1"/>
  <c r="H36" i="1"/>
  <c r="N37" i="1"/>
  <c r="O37" i="1" s="1"/>
  <c r="P37" i="1" s="1"/>
  <c r="Q37" i="1" s="1"/>
  <c r="R37" i="1" s="1"/>
  <c r="S37" i="1" s="1"/>
  <c r="T37" i="1" s="1"/>
  <c r="J36" i="1"/>
  <c r="N39" i="1"/>
  <c r="O39" i="1" s="1"/>
  <c r="P39" i="1" s="1"/>
  <c r="Q39" i="1" s="1"/>
  <c r="R39" i="1" s="1"/>
  <c r="S39" i="1" s="1"/>
  <c r="T39" i="1" s="1"/>
  <c r="G151" i="1"/>
  <c r="I36" i="1"/>
  <c r="M38" i="1"/>
  <c r="F79" i="1"/>
  <c r="F147" i="1" s="1"/>
  <c r="H151" i="1"/>
  <c r="H43" i="1"/>
  <c r="H144" i="1"/>
  <c r="H81" i="1"/>
  <c r="H79" i="1"/>
  <c r="H147" i="1" s="1"/>
  <c r="I151" i="1"/>
  <c r="G129" i="1"/>
  <c r="H129" i="1" s="1"/>
  <c r="E129" i="1"/>
  <c r="D129" i="1" s="1"/>
  <c r="G43" i="1"/>
  <c r="I144" i="1"/>
  <c r="I81" i="1"/>
  <c r="I150" i="1"/>
  <c r="J144" i="1"/>
  <c r="J81" i="1"/>
  <c r="J142" i="1"/>
  <c r="J149" i="1" s="1"/>
  <c r="J140" i="1"/>
  <c r="F140" i="1"/>
  <c r="F142" i="1"/>
  <c r="F149" i="1" s="1"/>
  <c r="I79" i="1"/>
  <c r="I147" i="1" s="1"/>
  <c r="G142" i="1"/>
  <c r="G149" i="1" s="1"/>
  <c r="G140" i="1"/>
  <c r="J79" i="1"/>
  <c r="J147" i="1" s="1"/>
  <c r="H142" i="1"/>
  <c r="H149" i="1" s="1"/>
  <c r="H140" i="1"/>
  <c r="F85" i="1"/>
  <c r="F143" i="1" s="1"/>
  <c r="I142" i="1"/>
  <c r="I149" i="1" s="1"/>
  <c r="I140" i="1"/>
  <c r="G85" i="1"/>
  <c r="G143" i="1" s="1"/>
  <c r="F81" i="1"/>
  <c r="E142" i="1"/>
  <c r="E149" i="1" s="1"/>
  <c r="O129" i="1" l="1"/>
  <c r="P129" i="1" s="1"/>
  <c r="O72" i="1"/>
  <c r="O145" i="1" s="1"/>
  <c r="P72" i="1"/>
  <c r="P145" i="1" s="1"/>
  <c r="K51" i="1"/>
  <c r="K53" i="1"/>
  <c r="L38" i="2"/>
  <c r="L39" i="2"/>
  <c r="L13" i="2" s="1"/>
  <c r="R42" i="2"/>
  <c r="S43" i="2"/>
  <c r="R19" i="2"/>
  <c r="K36" i="2"/>
  <c r="L36" i="2" s="1"/>
  <c r="L15" i="2"/>
  <c r="K15" i="2"/>
  <c r="X8" i="2"/>
  <c r="X28" i="2" s="1"/>
  <c r="K28" i="2"/>
  <c r="M18" i="2"/>
  <c r="N18" i="2" s="1"/>
  <c r="K35" i="2"/>
  <c r="L35" i="2" s="1"/>
  <c r="L9" i="2" s="1"/>
  <c r="K46" i="2"/>
  <c r="K24" i="2" s="1"/>
  <c r="K23" i="2" s="1"/>
  <c r="N50" i="1"/>
  <c r="G81" i="1"/>
  <c r="G148" i="1" s="1"/>
  <c r="G153" i="1" s="1"/>
  <c r="G79" i="1"/>
  <c r="G147" i="1" s="1"/>
  <c r="L12" i="2"/>
  <c r="K11" i="2"/>
  <c r="K12" i="2"/>
  <c r="K14" i="2"/>
  <c r="N15" i="2"/>
  <c r="K13" i="2"/>
  <c r="M15" i="2"/>
  <c r="L37" i="2"/>
  <c r="M38" i="2"/>
  <c r="N38" i="2" s="1"/>
  <c r="N12" i="2" s="1"/>
  <c r="H64" i="1"/>
  <c r="H69" i="1" s="1"/>
  <c r="H139" i="1" s="1"/>
  <c r="G64" i="1"/>
  <c r="G69" i="1" s="1"/>
  <c r="G139" i="1" s="1"/>
  <c r="F64" i="1"/>
  <c r="F69" i="1" s="1"/>
  <c r="F139" i="1" s="1"/>
  <c r="E84" i="1"/>
  <c r="E91" i="1"/>
  <c r="I88" i="1"/>
  <c r="I72" i="1"/>
  <c r="I145" i="1" s="1"/>
  <c r="J64" i="1"/>
  <c r="J69" i="1" s="1"/>
  <c r="J139" i="1" s="1"/>
  <c r="J68" i="1"/>
  <c r="G88" i="1"/>
  <c r="I64" i="1"/>
  <c r="I69" i="1" s="1"/>
  <c r="I139" i="1" s="1"/>
  <c r="F72" i="1"/>
  <c r="F145" i="1" s="1"/>
  <c r="E88" i="1"/>
  <c r="I92" i="1"/>
  <c r="F148" i="1"/>
  <c r="F153" i="1" s="1"/>
  <c r="F94" i="1"/>
  <c r="F95" i="1" s="1"/>
  <c r="G138" i="1"/>
  <c r="G141" i="1" s="1"/>
  <c r="G72" i="1"/>
  <c r="G145" i="1" s="1"/>
  <c r="G92" i="1"/>
  <c r="M43" i="1"/>
  <c r="J94" i="1"/>
  <c r="J148" i="1"/>
  <c r="J153" i="1" s="1"/>
  <c r="G91" i="1"/>
  <c r="H148" i="1"/>
  <c r="H153" i="1" s="1"/>
  <c r="H94" i="1"/>
  <c r="H95" i="1" s="1"/>
  <c r="I148" i="1"/>
  <c r="I153" i="1" s="1"/>
  <c r="I94" i="1"/>
  <c r="I95" i="1" s="1"/>
  <c r="I138" i="1"/>
  <c r="I141" i="1" s="1"/>
  <c r="I84" i="1"/>
  <c r="I91" i="1"/>
  <c r="H138" i="1"/>
  <c r="H141" i="1" s="1"/>
  <c r="H72" i="1"/>
  <c r="H145" i="1" s="1"/>
  <c r="H91" i="1"/>
  <c r="F138" i="1"/>
  <c r="F141" i="1" s="1"/>
  <c r="F91" i="1"/>
  <c r="F92" i="1"/>
  <c r="F88" i="1"/>
  <c r="M36" i="1"/>
  <c r="N38" i="1"/>
  <c r="H88" i="1"/>
  <c r="H92" i="1"/>
  <c r="M39" i="2" l="1"/>
  <c r="N39" i="2" s="1"/>
  <c r="N13" i="2" s="1"/>
  <c r="M36" i="2"/>
  <c r="M10" i="2" s="1"/>
  <c r="L10" i="2"/>
  <c r="L46" i="2"/>
  <c r="M46" i="2" s="1"/>
  <c r="K9" i="2"/>
  <c r="R45" i="2"/>
  <c r="R21" i="2"/>
  <c r="K10" i="2"/>
  <c r="X15" i="2"/>
  <c r="X41" i="2" s="1"/>
  <c r="M35" i="2"/>
  <c r="N35" i="2" s="1"/>
  <c r="N9" i="2" s="1"/>
  <c r="X18" i="2"/>
  <c r="G94" i="1"/>
  <c r="G95" i="1" s="1"/>
  <c r="O50" i="1"/>
  <c r="Q72" i="1"/>
  <c r="Q145" i="1" s="1"/>
  <c r="P50" i="1"/>
  <c r="M12" i="2"/>
  <c r="X12" i="2" s="1"/>
  <c r="X38" i="2" s="1"/>
  <c r="M37" i="2"/>
  <c r="M11" i="2" s="1"/>
  <c r="L11" i="2"/>
  <c r="L14" i="2"/>
  <c r="J95" i="1"/>
  <c r="J91" i="1"/>
  <c r="J138" i="1"/>
  <c r="J141" i="1" s="1"/>
  <c r="J88" i="1"/>
  <c r="J72" i="1"/>
  <c r="J145" i="1" s="1"/>
  <c r="J84" i="1"/>
  <c r="J92" i="1"/>
  <c r="N36" i="1"/>
  <c r="O38" i="1"/>
  <c r="R72" i="1"/>
  <c r="R145" i="1" s="1"/>
  <c r="N43" i="1"/>
  <c r="K88" i="1" l="1"/>
  <c r="K91" i="1"/>
  <c r="L91" i="1" s="1"/>
  <c r="M91" i="1" s="1"/>
  <c r="K84" i="1"/>
  <c r="K16" i="2"/>
  <c r="K43" i="2" s="1"/>
  <c r="M13" i="2"/>
  <c r="X13" i="2" s="1"/>
  <c r="X39" i="2" s="1"/>
  <c r="N36" i="2"/>
  <c r="N10" i="2" s="1"/>
  <c r="L24" i="2"/>
  <c r="L23" i="2" s="1"/>
  <c r="M24" i="2"/>
  <c r="M23" i="2" s="1"/>
  <c r="N46" i="2"/>
  <c r="N24" i="2" s="1"/>
  <c r="M9" i="2"/>
  <c r="X9" i="2" s="1"/>
  <c r="X35" i="2" s="1"/>
  <c r="X10" i="2"/>
  <c r="X36" i="2" s="1"/>
  <c r="Q50" i="1"/>
  <c r="L16" i="2"/>
  <c r="N14" i="2"/>
  <c r="M14" i="2"/>
  <c r="N37" i="2"/>
  <c r="N11" i="2" s="1"/>
  <c r="X11" i="2" s="1"/>
  <c r="X37" i="2" s="1"/>
  <c r="K19" i="2"/>
  <c r="K42" i="2"/>
  <c r="E144" i="1"/>
  <c r="E72" i="1"/>
  <c r="E145" i="1" s="1"/>
  <c r="E140" i="1"/>
  <c r="E141" i="1" s="1"/>
  <c r="E79" i="1"/>
  <c r="E147" i="1" s="1"/>
  <c r="P38" i="1"/>
  <c r="O36" i="1"/>
  <c r="K37" i="1"/>
  <c r="K35" i="1"/>
  <c r="L35" i="1" s="1"/>
  <c r="M35" i="1" s="1"/>
  <c r="N35" i="1" s="1"/>
  <c r="K42" i="1"/>
  <c r="O43" i="1"/>
  <c r="T72" i="1"/>
  <c r="T145" i="1" s="1"/>
  <c r="S72" i="1"/>
  <c r="S145" i="1" s="1"/>
  <c r="L84" i="1" l="1"/>
  <c r="L88" i="1"/>
  <c r="K50" i="1"/>
  <c r="K49" i="1" s="1"/>
  <c r="L49" i="1" s="1"/>
  <c r="M16" i="2"/>
  <c r="M43" i="2" s="1"/>
  <c r="N23" i="2"/>
  <c r="X23" i="2" s="1"/>
  <c r="X24" i="2"/>
  <c r="R50" i="1"/>
  <c r="L42" i="2"/>
  <c r="L43" i="2"/>
  <c r="X14" i="2"/>
  <c r="X40" i="2" s="1"/>
  <c r="N16" i="2"/>
  <c r="N43" i="2" s="1"/>
  <c r="K20" i="2"/>
  <c r="K21" i="2" s="1"/>
  <c r="K22" i="2" s="1"/>
  <c r="O35" i="1"/>
  <c r="L42" i="1"/>
  <c r="P43" i="1"/>
  <c r="N91" i="1"/>
  <c r="P36" i="1"/>
  <c r="Q38" i="1"/>
  <c r="E148" i="1"/>
  <c r="E153" i="1" s="1"/>
  <c r="E94" i="1"/>
  <c r="E95" i="1" s="1"/>
  <c r="M88" i="1" l="1"/>
  <c r="O88" i="1" s="1"/>
  <c r="N88" i="1"/>
  <c r="M84" i="1"/>
  <c r="N84" i="1"/>
  <c r="M49" i="1"/>
  <c r="L59" i="1"/>
  <c r="L60" i="1" s="1"/>
  <c r="K63" i="1"/>
  <c r="M42" i="2"/>
  <c r="N42" i="2"/>
  <c r="S50" i="1"/>
  <c r="F12" i="3"/>
  <c r="F14" i="3" s="1"/>
  <c r="F22" i="3" s="1"/>
  <c r="L24" i="1" s="1"/>
  <c r="K147" i="1"/>
  <c r="X16" i="2"/>
  <c r="P35" i="1"/>
  <c r="R38" i="1"/>
  <c r="Q36" i="1"/>
  <c r="M42" i="1"/>
  <c r="Q43" i="1"/>
  <c r="O91" i="1"/>
  <c r="K64" i="1" l="1"/>
  <c r="K69" i="1" s="1"/>
  <c r="K139" i="1" s="1"/>
  <c r="P88" i="1"/>
  <c r="O84" i="1"/>
  <c r="L57" i="1"/>
  <c r="L56" i="1" s="1"/>
  <c r="N49" i="1"/>
  <c r="M59" i="1"/>
  <c r="M60" i="1" s="1"/>
  <c r="K68" i="1"/>
  <c r="K90" i="1" s="1"/>
  <c r="X42" i="2"/>
  <c r="X43" i="2"/>
  <c r="T50" i="1"/>
  <c r="L147" i="1"/>
  <c r="M79" i="1"/>
  <c r="H24" i="1"/>
  <c r="C132" i="1"/>
  <c r="P24" i="1"/>
  <c r="Q35" i="1"/>
  <c r="R43" i="1"/>
  <c r="P91" i="1"/>
  <c r="R36" i="1"/>
  <c r="S38" i="1"/>
  <c r="N42" i="1"/>
  <c r="K132" i="1" l="1"/>
  <c r="P84" i="1"/>
  <c r="Q84" i="1"/>
  <c r="R84" i="1" s="1"/>
  <c r="Q88" i="1"/>
  <c r="R88" i="1" s="1"/>
  <c r="K92" i="1"/>
  <c r="M57" i="1"/>
  <c r="M56" i="1" s="1"/>
  <c r="O49" i="1"/>
  <c r="N59" i="1"/>
  <c r="N60" i="1" s="1"/>
  <c r="L63" i="1"/>
  <c r="K83" i="1"/>
  <c r="K142" i="1" s="1"/>
  <c r="K149" i="1" s="1"/>
  <c r="K87" i="1"/>
  <c r="K150" i="1" s="1"/>
  <c r="K138" i="1"/>
  <c r="C133" i="1"/>
  <c r="C134" i="1" s="1"/>
  <c r="C131" i="1"/>
  <c r="C130" i="1" s="1"/>
  <c r="K133" i="1"/>
  <c r="K134" i="1" s="1"/>
  <c r="K131" i="1"/>
  <c r="K130" i="1" s="1"/>
  <c r="K105" i="1"/>
  <c r="T22" i="1" s="1"/>
  <c r="L125" i="1"/>
  <c r="D125" i="1"/>
  <c r="N79" i="1"/>
  <c r="M147" i="1"/>
  <c r="R35" i="1"/>
  <c r="S43" i="1"/>
  <c r="T43" i="1"/>
  <c r="T38" i="1"/>
  <c r="T36" i="1" s="1"/>
  <c r="S36" i="1"/>
  <c r="K71" i="1"/>
  <c r="Q91" i="1"/>
  <c r="R91" i="1" s="1"/>
  <c r="O42" i="1"/>
  <c r="S88" i="1" l="1"/>
  <c r="S84" i="1"/>
  <c r="T84" i="1" s="1"/>
  <c r="U84" i="1" s="1"/>
  <c r="T88" i="1"/>
  <c r="U88" i="1" s="1"/>
  <c r="K151" i="1"/>
  <c r="N57" i="1"/>
  <c r="N56" i="1" s="1"/>
  <c r="P49" i="1"/>
  <c r="O59" i="1"/>
  <c r="O60" i="1" s="1"/>
  <c r="L68" i="1"/>
  <c r="L64" i="1"/>
  <c r="L69" i="1" s="1"/>
  <c r="L139" i="1" s="1"/>
  <c r="M63" i="1"/>
  <c r="K85" i="1"/>
  <c r="K143" i="1" s="1"/>
  <c r="N147" i="1"/>
  <c r="O79" i="1"/>
  <c r="K106" i="1"/>
  <c r="T105" i="1"/>
  <c r="L105" i="1" s="1"/>
  <c r="M105" i="1" s="1"/>
  <c r="N105" i="1" s="1"/>
  <c r="O105" i="1" s="1"/>
  <c r="P105" i="1" s="1"/>
  <c r="Q105" i="1" s="1"/>
  <c r="R105" i="1" s="1"/>
  <c r="S105" i="1" s="1"/>
  <c r="S35" i="1"/>
  <c r="T35" i="1" s="1"/>
  <c r="U35" i="1" s="1"/>
  <c r="L72" i="1"/>
  <c r="P42" i="1"/>
  <c r="S91" i="1"/>
  <c r="T91" i="1" s="1"/>
  <c r="U91" i="1" s="1"/>
  <c r="K145" i="1"/>
  <c r="O57" i="1" l="1"/>
  <c r="O56" i="1" s="1"/>
  <c r="Q49" i="1"/>
  <c r="P59" i="1"/>
  <c r="P60" i="1" s="1"/>
  <c r="N63" i="1"/>
  <c r="M64" i="1"/>
  <c r="M69" i="1" s="1"/>
  <c r="M139" i="1" s="1"/>
  <c r="M68" i="1"/>
  <c r="L90" i="1"/>
  <c r="L138" i="1"/>
  <c r="L87" i="1"/>
  <c r="L150" i="1" s="1"/>
  <c r="L83" i="1"/>
  <c r="L106" i="1"/>
  <c r="M106" i="1" s="1"/>
  <c r="N106" i="1" s="1"/>
  <c r="O106" i="1" s="1"/>
  <c r="P106" i="1" s="1"/>
  <c r="Q106" i="1" s="1"/>
  <c r="O147" i="1"/>
  <c r="P79" i="1"/>
  <c r="L145" i="1"/>
  <c r="L71" i="1"/>
  <c r="K144" i="1"/>
  <c r="K78" i="1"/>
  <c r="K146" i="1" s="1"/>
  <c r="K140" i="1"/>
  <c r="K141" i="1" s="1"/>
  <c r="Q42" i="1"/>
  <c r="M72" i="1"/>
  <c r="N72" i="1"/>
  <c r="N145" i="1" s="1"/>
  <c r="P57" i="1" l="1"/>
  <c r="P56" i="1" s="1"/>
  <c r="Q59" i="1"/>
  <c r="Q60" i="1" s="1"/>
  <c r="R49" i="1"/>
  <c r="O63" i="1"/>
  <c r="L151" i="1"/>
  <c r="L92" i="1"/>
  <c r="M138" i="1"/>
  <c r="M83" i="1"/>
  <c r="M87" i="1"/>
  <c r="M150" i="1" s="1"/>
  <c r="M90" i="1"/>
  <c r="L142" i="1"/>
  <c r="L149" i="1" s="1"/>
  <c r="L85" i="1"/>
  <c r="L143" i="1" s="1"/>
  <c r="N68" i="1"/>
  <c r="N71" i="1" s="1"/>
  <c r="N64" i="1"/>
  <c r="N69" i="1" s="1"/>
  <c r="N139" i="1" s="1"/>
  <c r="P147" i="1"/>
  <c r="Q79" i="1"/>
  <c r="L144" i="1"/>
  <c r="L78" i="1"/>
  <c r="L146" i="1" s="1"/>
  <c r="L140" i="1"/>
  <c r="L141" i="1" s="1"/>
  <c r="M145" i="1"/>
  <c r="M71" i="1"/>
  <c r="R42" i="1"/>
  <c r="R106" i="1"/>
  <c r="K81" i="1"/>
  <c r="Q57" i="1" l="1"/>
  <c r="Q56" i="1" s="1"/>
  <c r="R59" i="1"/>
  <c r="R60" i="1" s="1"/>
  <c r="S49" i="1"/>
  <c r="P63" i="1"/>
  <c r="N138" i="1"/>
  <c r="N87" i="1"/>
  <c r="N150" i="1" s="1"/>
  <c r="N90" i="1"/>
  <c r="N83" i="1"/>
  <c r="N140" i="1" s="1"/>
  <c r="M85" i="1"/>
  <c r="M143" i="1" s="1"/>
  <c r="M142" i="1"/>
  <c r="M149" i="1" s="1"/>
  <c r="O68" i="1"/>
  <c r="O64" i="1"/>
  <c r="O69" i="1" s="1"/>
  <c r="O139" i="1" s="1"/>
  <c r="M92" i="1"/>
  <c r="M151" i="1"/>
  <c r="Q147" i="1"/>
  <c r="R79" i="1"/>
  <c r="L81" i="1"/>
  <c r="L148" i="1" s="1"/>
  <c r="L153" i="1" s="1"/>
  <c r="S42" i="1"/>
  <c r="M144" i="1"/>
  <c r="M78" i="1"/>
  <c r="M146" i="1" s="1"/>
  <c r="M140" i="1"/>
  <c r="M141" i="1" s="1"/>
  <c r="S106" i="1"/>
  <c r="N144" i="1"/>
  <c r="N78" i="1"/>
  <c r="N146" i="1" s="1"/>
  <c r="K148" i="1"/>
  <c r="K153" i="1" s="1"/>
  <c r="K94" i="1"/>
  <c r="R57" i="1" l="1"/>
  <c r="R56" i="1" s="1"/>
  <c r="T49" i="1"/>
  <c r="S59" i="1"/>
  <c r="S60" i="1" s="1"/>
  <c r="N141" i="1"/>
  <c r="Q63" i="1"/>
  <c r="P68" i="1"/>
  <c r="P64" i="1"/>
  <c r="P69" i="1" s="1"/>
  <c r="P139" i="1" s="1"/>
  <c r="N85" i="1"/>
  <c r="N143" i="1" s="1"/>
  <c r="N142" i="1"/>
  <c r="N149" i="1" s="1"/>
  <c r="N151" i="1"/>
  <c r="N92" i="1"/>
  <c r="O138" i="1"/>
  <c r="O90" i="1"/>
  <c r="O83" i="1"/>
  <c r="O71" i="1"/>
  <c r="O87" i="1"/>
  <c r="O150" i="1" s="1"/>
  <c r="S79" i="1"/>
  <c r="R147" i="1"/>
  <c r="L94" i="1"/>
  <c r="K100" i="1" s="1"/>
  <c r="K108" i="1" s="1"/>
  <c r="K95" i="1"/>
  <c r="T42" i="1"/>
  <c r="N81" i="1"/>
  <c r="T106" i="1"/>
  <c r="M81" i="1"/>
  <c r="S57" i="1" l="1"/>
  <c r="S56" i="1" s="1"/>
  <c r="U49" i="1"/>
  <c r="T59" i="1"/>
  <c r="T60" i="1" s="1"/>
  <c r="R63" i="1"/>
  <c r="O140" i="1"/>
  <c r="O141" i="1" s="1"/>
  <c r="O142" i="1"/>
  <c r="O149" i="1" s="1"/>
  <c r="O85" i="1"/>
  <c r="O143" i="1" s="1"/>
  <c r="O78" i="1"/>
  <c r="O146" i="1" s="1"/>
  <c r="O144" i="1"/>
  <c r="O151" i="1"/>
  <c r="O92" i="1"/>
  <c r="P87" i="1"/>
  <c r="P150" i="1" s="1"/>
  <c r="P71" i="1"/>
  <c r="P138" i="1"/>
  <c r="P83" i="1"/>
  <c r="P90" i="1"/>
  <c r="Q64" i="1"/>
  <c r="Q69" i="1" s="1"/>
  <c r="Q139" i="1" s="1"/>
  <c r="Q68" i="1"/>
  <c r="S147" i="1"/>
  <c r="T79" i="1"/>
  <c r="T147" i="1" s="1"/>
  <c r="L95" i="1"/>
  <c r="U42" i="1"/>
  <c r="M148" i="1"/>
  <c r="M153" i="1" s="1"/>
  <c r="M94" i="1"/>
  <c r="N148" i="1"/>
  <c r="N153" i="1" s="1"/>
  <c r="N94" i="1"/>
  <c r="T57" i="1" l="1"/>
  <c r="T56" i="1" s="1"/>
  <c r="U59" i="1"/>
  <c r="U60" i="1" s="1"/>
  <c r="O81" i="1"/>
  <c r="O94" i="1" s="1"/>
  <c r="O95" i="1" s="1"/>
  <c r="S63" i="1"/>
  <c r="Q83" i="1"/>
  <c r="Q87" i="1"/>
  <c r="Q150" i="1" s="1"/>
  <c r="Q138" i="1"/>
  <c r="Q71" i="1"/>
  <c r="Q90" i="1"/>
  <c r="R68" i="1"/>
  <c r="R64" i="1"/>
  <c r="R69" i="1" s="1"/>
  <c r="R139" i="1" s="1"/>
  <c r="P144" i="1"/>
  <c r="P78" i="1"/>
  <c r="P92" i="1"/>
  <c r="P151" i="1"/>
  <c r="P142" i="1"/>
  <c r="P149" i="1" s="1"/>
  <c r="P85" i="1"/>
  <c r="P143" i="1" s="1"/>
  <c r="P140" i="1"/>
  <c r="P141" i="1" s="1"/>
  <c r="M100" i="1"/>
  <c r="M95" i="1"/>
  <c r="L100" i="1"/>
  <c r="N95" i="1"/>
  <c r="U57" i="1" l="1"/>
  <c r="U56" i="1" s="1"/>
  <c r="O148" i="1"/>
  <c r="O153" i="1" s="1"/>
  <c r="N100" i="1"/>
  <c r="N108" i="1" s="1"/>
  <c r="P146" i="1"/>
  <c r="P81" i="1"/>
  <c r="Q92" i="1"/>
  <c r="Q151" i="1"/>
  <c r="Q78" i="1"/>
  <c r="Q146" i="1" s="1"/>
  <c r="Q144" i="1"/>
  <c r="Q85" i="1"/>
  <c r="Q143" i="1" s="1"/>
  <c r="Q142" i="1"/>
  <c r="Q149" i="1" s="1"/>
  <c r="Q140" i="1"/>
  <c r="Q141" i="1" s="1"/>
  <c r="S68" i="1"/>
  <c r="S64" i="1"/>
  <c r="S69" i="1" s="1"/>
  <c r="S139" i="1" s="1"/>
  <c r="R83" i="1"/>
  <c r="R71" i="1"/>
  <c r="R90" i="1"/>
  <c r="R138" i="1"/>
  <c r="R87" i="1"/>
  <c r="R150" i="1" s="1"/>
  <c r="T63" i="1"/>
  <c r="M101" i="1"/>
  <c r="M108" i="1"/>
  <c r="L101" i="1"/>
  <c r="L108" i="1"/>
  <c r="U63" i="1" l="1"/>
  <c r="U68" i="1" s="1"/>
  <c r="N101" i="1"/>
  <c r="R151" i="1"/>
  <c r="R92" i="1"/>
  <c r="T64" i="1"/>
  <c r="T69" i="1" s="1"/>
  <c r="T139" i="1" s="1"/>
  <c r="T68" i="1"/>
  <c r="S71" i="1"/>
  <c r="S87" i="1"/>
  <c r="S150" i="1" s="1"/>
  <c r="S83" i="1"/>
  <c r="S138" i="1"/>
  <c r="S90" i="1"/>
  <c r="P148" i="1"/>
  <c r="P153" i="1" s="1"/>
  <c r="P94" i="1"/>
  <c r="R142" i="1"/>
  <c r="R149" i="1" s="1"/>
  <c r="R140" i="1"/>
  <c r="R141" i="1" s="1"/>
  <c r="R85" i="1"/>
  <c r="R143" i="1" s="1"/>
  <c r="R144" i="1"/>
  <c r="R78" i="1"/>
  <c r="Q81" i="1"/>
  <c r="U64" i="1" l="1"/>
  <c r="U69" i="1" s="1"/>
  <c r="U139" i="1" s="1"/>
  <c r="R146" i="1"/>
  <c r="R81" i="1"/>
  <c r="S144" i="1"/>
  <c r="S78" i="1"/>
  <c r="Q94" i="1"/>
  <c r="Q148" i="1"/>
  <c r="Q153" i="1" s="1"/>
  <c r="S142" i="1"/>
  <c r="S149" i="1" s="1"/>
  <c r="S85" i="1"/>
  <c r="S143" i="1" s="1"/>
  <c r="S140" i="1"/>
  <c r="S141" i="1" s="1"/>
  <c r="T138" i="1"/>
  <c r="T83" i="1"/>
  <c r="T90" i="1"/>
  <c r="T87" i="1"/>
  <c r="T150" i="1" s="1"/>
  <c r="T71" i="1"/>
  <c r="P95" i="1"/>
  <c r="O100" i="1"/>
  <c r="U90" i="1"/>
  <c r="U138" i="1"/>
  <c r="U87" i="1"/>
  <c r="U150" i="1" s="1"/>
  <c r="U71" i="1"/>
  <c r="U83" i="1"/>
  <c r="S92" i="1"/>
  <c r="S151" i="1"/>
  <c r="T103" i="1" l="1"/>
  <c r="U144" i="1"/>
  <c r="U78" i="1"/>
  <c r="O108" i="1"/>
  <c r="O101" i="1"/>
  <c r="U140" i="1"/>
  <c r="U141" i="1" s="1"/>
  <c r="U85" i="1"/>
  <c r="U143" i="1" s="1"/>
  <c r="U142" i="1"/>
  <c r="U149" i="1" s="1"/>
  <c r="S146" i="1"/>
  <c r="S81" i="1"/>
  <c r="R94" i="1"/>
  <c r="R148" i="1"/>
  <c r="R153" i="1" s="1"/>
  <c r="T78" i="1"/>
  <c r="T146" i="1" s="1"/>
  <c r="T144" i="1"/>
  <c r="Q95" i="1"/>
  <c r="P100" i="1"/>
  <c r="T151" i="1"/>
  <c r="T92" i="1"/>
  <c r="T140" i="1"/>
  <c r="T141" i="1" s="1"/>
  <c r="T142" i="1"/>
  <c r="T149" i="1" s="1"/>
  <c r="T85" i="1"/>
  <c r="T143" i="1" s="1"/>
  <c r="U92" i="1"/>
  <c r="U151" i="1"/>
  <c r="T81" i="1" l="1"/>
  <c r="T94" i="1" s="1"/>
  <c r="T95" i="1" s="1"/>
  <c r="P108" i="1"/>
  <c r="P101" i="1"/>
  <c r="U146" i="1"/>
  <c r="U81" i="1"/>
  <c r="Q100" i="1"/>
  <c r="R95" i="1"/>
  <c r="S148" i="1"/>
  <c r="S153" i="1" s="1"/>
  <c r="S94" i="1"/>
  <c r="R100" i="1" s="1"/>
  <c r="T148" i="1" l="1"/>
  <c r="T153" i="1" s="1"/>
  <c r="R101" i="1"/>
  <c r="U148" i="1"/>
  <c r="U153" i="1" s="1"/>
  <c r="U94" i="1"/>
  <c r="R108" i="1"/>
  <c r="Q101" i="1"/>
  <c r="Q108" i="1"/>
  <c r="S95" i="1"/>
  <c r="S100" i="1"/>
  <c r="U95" i="1" l="1"/>
  <c r="T100" i="1"/>
  <c r="T102" i="1" s="1"/>
  <c r="S108" i="1"/>
  <c r="S101" i="1"/>
  <c r="T101" i="1" l="1"/>
  <c r="T108" i="1"/>
  <c r="T104" i="1"/>
  <c r="T109" i="1" s="1"/>
  <c r="D111" i="1" l="1"/>
  <c r="D117" i="1" s="1"/>
  <c r="D120" i="1" s="1"/>
  <c r="C129" i="1" l="1"/>
  <c r="G4" i="1"/>
  <c r="K129" i="1"/>
  <c r="K44" i="2"/>
  <c r="L19" i="2"/>
  <c r="N19" i="2"/>
  <c r="M19" i="2"/>
  <c r="S4" i="1" l="1"/>
  <c r="S5" i="1" s="1"/>
  <c r="O5" i="1"/>
  <c r="L20" i="2"/>
  <c r="L21" i="2" s="1"/>
  <c r="X19" i="2"/>
  <c r="N20" i="2"/>
  <c r="N21" i="2" s="1"/>
  <c r="N22" i="2" s="1"/>
  <c r="M20" i="2"/>
  <c r="M21" i="2" s="1"/>
  <c r="M22" i="2" s="1"/>
  <c r="L22" i="2" l="1"/>
  <c r="X22" i="2" s="1"/>
  <c r="X21" i="2"/>
  <c r="X20" i="2"/>
  <c r="X45" i="2" s="1"/>
  <c r="L44" i="2"/>
  <c r="M44" i="2"/>
  <c r="N4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<sst xmlns="http://schemas.openxmlformats.org/spreadsheetml/2006/main" count="290" uniqueCount="164">
  <si>
    <t>Ticker</t>
  </si>
  <si>
    <t>Implied Share Price</t>
  </si>
  <si>
    <t>Base Case</t>
  </si>
  <si>
    <t>Conservative Case</t>
  </si>
  <si>
    <t>10yr Price Target</t>
  </si>
  <si>
    <t>Date</t>
  </si>
  <si>
    <t>Current Share Price</t>
  </si>
  <si>
    <t>Optimistic Case</t>
  </si>
  <si>
    <t>Implied Upside (Downside)</t>
  </si>
  <si>
    <t>10yr CAGR</t>
  </si>
  <si>
    <t>x</t>
  </si>
  <si>
    <t>Assumptions</t>
  </si>
  <si>
    <t>1 = Conservative Case, 2 = Base / Street Case, 3 = Optimistic Case, 4 = Manual</t>
  </si>
  <si>
    <t>Revenue Build Switches</t>
  </si>
  <si>
    <t>Base / Street Case</t>
  </si>
  <si>
    <t>Financials</t>
  </si>
  <si>
    <t>Cash &amp; Securities</t>
  </si>
  <si>
    <t>Non-operating Assets</t>
  </si>
  <si>
    <t>Minority Interest</t>
  </si>
  <si>
    <t>Market Value of Debt</t>
  </si>
  <si>
    <t>Operating Leases</t>
  </si>
  <si>
    <t>Pre-tax Cost of Debt</t>
  </si>
  <si>
    <t>Outstanding Diluted Shares</t>
  </si>
  <si>
    <t>EBIT</t>
  </si>
  <si>
    <t>Market Numbers</t>
  </si>
  <si>
    <t>EBIT - 2033</t>
  </si>
  <si>
    <t>Riskfree Rate</t>
  </si>
  <si>
    <t>Taxes</t>
  </si>
  <si>
    <t>Taxes - 2033</t>
  </si>
  <si>
    <t>Mature Market ERP</t>
  </si>
  <si>
    <t>Beta</t>
  </si>
  <si>
    <t>WACC</t>
  </si>
  <si>
    <t>Terminal Cost of Capital</t>
  </si>
  <si>
    <t>TGR</t>
  </si>
  <si>
    <t>EV/EBITDA</t>
  </si>
  <si>
    <t>Valuation Assumptions</t>
  </si>
  <si>
    <t>Manual</t>
  </si>
  <si>
    <t>Revenue Build (9/30 FYE)</t>
  </si>
  <si>
    <t>Ending</t>
  </si>
  <si>
    <t xml:space="preserve">  % growth</t>
  </si>
  <si>
    <t>Optimstic Case</t>
  </si>
  <si>
    <t>Total Revenue</t>
  </si>
  <si>
    <t>DCF (9/30 FYE)</t>
  </si>
  <si>
    <t>Revenue</t>
  </si>
  <si>
    <t>EBIT (Operating Income)</t>
  </si>
  <si>
    <t xml:space="preserve">  % of sales</t>
  </si>
  <si>
    <t xml:space="preserve">  % of EBIT</t>
  </si>
  <si>
    <t>EBIAT</t>
  </si>
  <si>
    <t>D&amp;A</t>
  </si>
  <si>
    <t xml:space="preserve">  % of CapEx</t>
  </si>
  <si>
    <t>CapEx</t>
  </si>
  <si>
    <t>dNWC</t>
  </si>
  <si>
    <t xml:space="preserve">  % of  change in sales</t>
  </si>
  <si>
    <t xml:space="preserve">Unlevered FCF </t>
  </si>
  <si>
    <t>Projection Period (9/30 YE)</t>
  </si>
  <si>
    <t>Adjusted Unlevered FCF</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</si>
  <si>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</si>
  <si>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</si>
  <si>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</si>
  <si>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</si>
  <si>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</si>
  <si>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</si>
  <si>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</si>
  <si>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</si>
  <si>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</si>
  <si>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</si>
  <si>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</si>
  <si>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</si>
  <si>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</si>
  <si>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</si>
  <si>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</si>
  <si>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</si>
  <si>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</si>
  <si>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</si>
  <si>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</si>
  <si>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</si>
  <si>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Summary Financials (9/30 FYE)</t>
  </si>
  <si>
    <t>EBITDA</t>
  </si>
  <si>
    <t xml:space="preserve">EBIT </t>
  </si>
  <si>
    <t xml:space="preserve">  (+) D&amp;A</t>
  </si>
  <si>
    <t xml:space="preserve">  (-) CapEx</t>
  </si>
  <si>
    <t xml:space="preserve">  (-) dNWC</t>
  </si>
  <si>
    <t>FCF</t>
  </si>
  <si>
    <t>$ in millions</t>
  </si>
  <si>
    <t>Q121A</t>
  </si>
  <si>
    <t>Q221A</t>
  </si>
  <si>
    <t>Q321A</t>
  </si>
  <si>
    <t>Q421A</t>
  </si>
  <si>
    <t>Q122A</t>
  </si>
  <si>
    <t>Q222A</t>
  </si>
  <si>
    <t>Q322A</t>
  </si>
  <si>
    <t>Q422A</t>
  </si>
  <si>
    <t>Q223E</t>
  </si>
  <si>
    <t>Q323E</t>
  </si>
  <si>
    <t>Q423E</t>
  </si>
  <si>
    <t>2017A</t>
  </si>
  <si>
    <t>2018A</t>
  </si>
  <si>
    <t>EPS</t>
  </si>
  <si>
    <t>Shares</t>
  </si>
  <si>
    <t>Revenue y/y</t>
  </si>
  <si>
    <t>Service y/y</t>
  </si>
  <si>
    <t>Tax Rate</t>
  </si>
  <si>
    <t>EPS Consensus</t>
  </si>
  <si>
    <t>Revenue Consensus</t>
  </si>
  <si>
    <t>WACC = % of equity x cost of equity + % of debt x cost of debt x (1 - tax rate)</t>
  </si>
  <si>
    <t>Cost of equity = Risk Free Rate + Beta x Market Risk Premium</t>
  </si>
  <si>
    <t>WACC Calculation</t>
  </si>
  <si>
    <t>Market Value of Debt + Operating Leases</t>
  </si>
  <si>
    <t>D/(D+E)</t>
  </si>
  <si>
    <t>After Tax Cost of Debt</t>
  </si>
  <si>
    <t>10 yr Treasury Yield</t>
  </si>
  <si>
    <t>Equity Risk Premium</t>
  </si>
  <si>
    <t>E/(D+E)</t>
  </si>
  <si>
    <t>Cost of Equity</t>
  </si>
  <si>
    <t>Net Margin</t>
  </si>
  <si>
    <t>G&amp;A</t>
  </si>
  <si>
    <t>Client y/y</t>
  </si>
  <si>
    <t>Other y/y</t>
  </si>
  <si>
    <t>International y/y</t>
  </si>
  <si>
    <t>Data y/y</t>
  </si>
  <si>
    <t>Class C</t>
  </si>
  <si>
    <t>Class B</t>
  </si>
  <si>
    <t>Class A</t>
  </si>
  <si>
    <t>Net Profit</t>
  </si>
  <si>
    <t>Pretax income</t>
  </si>
  <si>
    <t>Investment</t>
  </si>
  <si>
    <t>Interst expense</t>
  </si>
  <si>
    <t>Operating income</t>
  </si>
  <si>
    <t>litigation provision</t>
  </si>
  <si>
    <t>Professional fees</t>
  </si>
  <si>
    <t>Network &amp; processing</t>
  </si>
  <si>
    <t>Marketing</t>
  </si>
  <si>
    <t>Personnel</t>
  </si>
  <si>
    <t>Client</t>
  </si>
  <si>
    <t>Other</t>
  </si>
  <si>
    <t>International</t>
  </si>
  <si>
    <t>Data processing</t>
  </si>
  <si>
    <t xml:space="preserve">Service </t>
  </si>
  <si>
    <t>Visa DCF</t>
  </si>
  <si>
    <t>Operating income y/y</t>
  </si>
  <si>
    <t>Litigation provision</t>
  </si>
  <si>
    <t>Operating margin</t>
  </si>
  <si>
    <t>Q123E</t>
  </si>
  <si>
    <t>Client Incentives</t>
  </si>
  <si>
    <t>Data Processing &amp; Other</t>
  </si>
  <si>
    <t>Service</t>
  </si>
  <si>
    <t>Data &amp; Other</t>
  </si>
  <si>
    <t>Service - 2023</t>
  </si>
  <si>
    <t>Service - 2024</t>
  </si>
  <si>
    <t>Service - 2033</t>
  </si>
  <si>
    <t>Data &amp; Other - 2023</t>
  </si>
  <si>
    <t>Data &amp; Other - 2024</t>
  </si>
  <si>
    <t>Data &amp; Other - 2033</t>
  </si>
  <si>
    <t>International - 2023</t>
  </si>
  <si>
    <t>International - 2033</t>
  </si>
  <si>
    <t>International - 2024</t>
  </si>
  <si>
    <t>Client - 2023</t>
  </si>
  <si>
    <t>Client - 2033</t>
  </si>
  <si>
    <t>EBIT - 2023</t>
  </si>
  <si>
    <t>Book Value of Debt</t>
  </si>
  <si>
    <t>Price Target: $277.51</t>
  </si>
  <si>
    <t>10yr CAGR: 10.51%</t>
  </si>
  <si>
    <t>Recommendation: BUY</t>
  </si>
  <si>
    <t>Implied Upside: 23.72%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</si>
</sst>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 numFmtId="169" formatCode="#,##0.0_);\(#,##0.0\)"/>
  </numFmts>
  <fonts count="25" x14ac:knownFonts="1">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sz val="12"/>
      <color theme="9"/>
      <name val="Calibri"/>
      <family val="2"/>
      <scheme val="minor"/>
    </font>
    <font>
      <i/>
      <sz val="12"/>
      <name val="Calibri"/>
      <family val="2"/>
      <scheme val="minor"/>
    </font>
    <font>
      <sz val="12"/>
      <color rgb="FF7030A0"/>
      <name val="Calibri"/>
      <family val="2"/>
      <scheme val="minor"/>
    </font>
    <font>
      <i/>
      <sz val="12"/>
      <color theme="1"/>
      <name val="Calibri"/>
      <family val="2"/>
      <scheme val="minor"/>
    </font>
    <font>
      <i/>
      <sz val="12"/>
      <color theme="9"/>
      <name val="Calibri"/>
      <family val="2"/>
      <scheme val="minor"/>
    </font>
    <font>
      <i/>
      <sz val="12"/>
      <color rgb="FFFF0000"/>
      <name val="Calibri"/>
      <family val="2"/>
      <scheme val="minor"/>
    </font>
    <font>
      <i/>
      <sz val="12"/>
      <color rgb="FF7030A0"/>
      <name val="Calibri"/>
      <family val="2"/>
      <scheme val="minor"/>
    </font>
    <font>
      <b/>
      <sz val="18"/>
      <color theme="0"/>
      <name val="Calibri"/>
      <family val="2"/>
      <scheme val="minor"/>
    </font>
    <font>
      <b/>
      <sz val="16"/>
      <color theme="1"/>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theme="8" tint="0.39997558519241921"/>
        <bgColor indexed="65"/>
      </patternFill>
    </fill>
    <fill>
      <patternFill patternType="solid">
        <fgColor rgb="FF002060"/>
        <bgColor indexed="64"/>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9">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3" borderId="1" applyNumberFormat="0" applyAlignment="0" applyProtection="0"/>
    <xf numFmtId="0" fontId="1" fillId="4" borderId="0" applyNumberFormat="0" applyBorder="0" applyAlignment="0" applyProtection="0"/>
    <xf numFmtId="0" fontId="8" fillId="0" borderId="0"/>
    <xf numFmtId="9" fontId="8" fillId="0" borderId="0" applyFont="0" applyFill="0" applyBorder="0" applyAlignment="0" applyProtection="0"/>
    <xf numFmtId="0" fontId="1" fillId="0" borderId="0"/>
    <xf numFmtId="9" fontId="1" fillId="0" borderId="0" applyFont="0" applyFill="0" applyBorder="0" applyAlignment="0" applyProtection="0"/>
  </cellStyleXfs>
  <cellXfs count="172">
    <xf numFmtId="0" fontId="0" fillId="0" borderId="0" xfId="0"/>
    <xf numFmtId="0" fontId="9" fillId="0" borderId="2" xfId="5" applyFont="1" applyBorder="1"/>
    <xf numFmtId="0" fontId="10" fillId="0" borderId="2" xfId="5" applyFont="1" applyBorder="1"/>
    <xf numFmtId="0" fontId="11" fillId="0" borderId="2" xfId="5" applyFont="1" applyBorder="1"/>
    <xf numFmtId="0" fontId="12" fillId="0" borderId="2" xfId="5" applyFont="1" applyBorder="1"/>
    <xf numFmtId="0" fontId="9" fillId="0" borderId="0" xfId="5" applyFont="1"/>
    <xf numFmtId="0" fontId="3" fillId="3" borderId="1" xfId="3" applyAlignment="1" applyProtection="1">
      <alignment horizontal="center"/>
    </xf>
    <xf numFmtId="44" fontId="3" fillId="3" borderId="1" xfId="1" applyFont="1" applyFill="1" applyBorder="1" applyProtection="1"/>
    <xf numFmtId="44" fontId="3" fillId="3" borderId="1" xfId="3" applyNumberFormat="1" applyProtection="1"/>
    <xf numFmtId="14" fontId="3" fillId="3" borderId="1" xfId="3" applyNumberFormat="1" applyAlignment="1" applyProtection="1">
      <alignment horizontal="center"/>
    </xf>
    <xf numFmtId="164" fontId="3" fillId="3" borderId="1" xfId="3" applyNumberFormat="1" applyProtection="1"/>
    <xf numFmtId="10" fontId="3" fillId="3" borderId="1" xfId="6" applyNumberFormat="1" applyFont="1" applyFill="1" applyBorder="1" applyAlignment="1" applyProtection="1">
      <alignment horizontal="center"/>
    </xf>
    <xf numFmtId="0" fontId="4" fillId="5" borderId="0" xfId="5" applyFont="1" applyFill="1"/>
    <xf numFmtId="0" fontId="13" fillId="5" borderId="0" xfId="5" applyFont="1" applyFill="1"/>
    <xf numFmtId="0" fontId="14" fillId="5" borderId="0" xfId="5" applyFont="1" applyFill="1"/>
    <xf numFmtId="0" fontId="9" fillId="5" borderId="0" xfId="5" applyFont="1" applyFill="1"/>
    <xf numFmtId="0" fontId="15" fillId="0" borderId="0" xfId="5" applyFont="1"/>
    <xf numFmtId="0" fontId="8" fillId="0" borderId="0" xfId="5"/>
    <xf numFmtId="0" fontId="3" fillId="3" borderId="1" xfId="3" applyAlignment="1" applyProtection="1">
      <alignment horizontal="center"/>
      <protection locked="0"/>
    </xf>
    <xf numFmtId="9" fontId="3" fillId="3" borderId="1" xfId="6" applyFont="1" applyFill="1" applyBorder="1" applyAlignment="1" applyProtection="1">
      <alignment horizontal="center"/>
    </xf>
    <xf numFmtId="0" fontId="8" fillId="0" borderId="0" xfId="5" applyAlignment="1">
      <alignment horizontal="center"/>
    </xf>
    <xf numFmtId="37" fontId="3" fillId="3" borderId="1" xfId="6" applyNumberFormat="1" applyFont="1" applyFill="1" applyBorder="1" applyAlignment="1" applyProtection="1">
      <alignment horizontal="center"/>
      <protection locked="0"/>
    </xf>
    <xf numFmtId="165" fontId="3" fillId="3" borderId="1" xfId="6" applyNumberFormat="1" applyFont="1" applyFill="1" applyBorder="1" applyAlignment="1" applyProtection="1">
      <alignment horizontal="center"/>
    </xf>
    <xf numFmtId="0" fontId="9" fillId="0" borderId="0" xfId="5" applyFont="1" applyAlignment="1">
      <alignment horizontal="center"/>
    </xf>
    <xf numFmtId="165" fontId="3" fillId="3" borderId="1" xfId="6" applyNumberFormat="1" applyFont="1" applyFill="1" applyBorder="1" applyAlignment="1" applyProtection="1">
      <alignment horizontal="center"/>
      <protection locked="0"/>
    </xf>
    <xf numFmtId="9" fontId="3" fillId="3" borderId="1" xfId="6" applyFont="1" applyFill="1" applyBorder="1" applyAlignment="1" applyProtection="1">
      <alignment horizontal="center"/>
      <protection locked="0"/>
    </xf>
    <xf numFmtId="0" fontId="3" fillId="3" borderId="1" xfId="6" applyNumberFormat="1" applyFont="1" applyFill="1" applyBorder="1" applyAlignment="1" applyProtection="1">
      <alignment horizontal="center"/>
      <protection locked="0"/>
    </xf>
    <xf numFmtId="165" fontId="16" fillId="3" borderId="1" xfId="3" applyNumberFormat="1" applyFont="1" applyAlignment="1" applyProtection="1">
      <alignment horizontal="center"/>
    </xf>
    <xf numFmtId="165" fontId="3" fillId="3" borderId="1" xfId="3" applyNumberFormat="1" applyAlignment="1" applyProtection="1">
      <alignment horizontal="center"/>
    </xf>
    <xf numFmtId="166" fontId="3" fillId="3" borderId="1" xfId="3" applyNumberFormat="1" applyAlignment="1" applyProtection="1">
      <alignment horizontal="center"/>
    </xf>
    <xf numFmtId="166" fontId="9" fillId="0" borderId="0" xfId="5" applyNumberFormat="1" applyFont="1"/>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167" fontId="4" fillId="5" borderId="0" xfId="5" applyNumberFormat="1" applyFont="1" applyFill="1"/>
    <xf numFmtId="168" fontId="4" fillId="5" borderId="0" xfId="5" applyNumberFormat="1" applyFont="1" applyFill="1"/>
    <xf numFmtId="17" fontId="4" fillId="5" borderId="0" xfId="5" applyNumberFormat="1" applyFont="1" applyFill="1"/>
    <xf numFmtId="37" fontId="16" fillId="0" borderId="0" xfId="5" applyNumberFormat="1" applyFont="1"/>
    <xf numFmtId="37" fontId="16" fillId="0" borderId="3" xfId="5" applyNumberFormat="1" applyFont="1" applyBorder="1"/>
    <xf numFmtId="37" fontId="9" fillId="0" borderId="0" xfId="5" applyNumberFormat="1" applyFont="1"/>
    <xf numFmtId="0" fontId="17" fillId="0" borderId="0" xfId="5" applyFont="1"/>
    <xf numFmtId="9" fontId="17" fillId="0" borderId="0" xfId="6" applyFont="1" applyProtection="1"/>
    <xf numFmtId="9" fontId="17" fillId="0" borderId="3" xfId="6" applyFont="1" applyBorder="1" applyProtection="1"/>
    <xf numFmtId="0" fontId="9" fillId="0" borderId="3" xfId="5" applyFont="1" applyBorder="1"/>
    <xf numFmtId="9" fontId="18" fillId="3" borderId="4" xfId="3" applyNumberFormat="1" applyFont="1" applyBorder="1" applyProtection="1"/>
    <xf numFmtId="9" fontId="18" fillId="3" borderId="1" xfId="3" applyNumberFormat="1" applyFont="1" applyProtection="1"/>
    <xf numFmtId="9" fontId="3" fillId="3" borderId="1" xfId="3" applyNumberFormat="1" applyProtection="1"/>
    <xf numFmtId="9" fontId="16" fillId="3" borderId="4" xfId="3" applyNumberFormat="1" applyFont="1" applyBorder="1" applyProtection="1"/>
    <xf numFmtId="165" fontId="18" fillId="3" borderId="1" xfId="3" applyNumberFormat="1" applyFont="1" applyProtection="1"/>
    <xf numFmtId="9" fontId="3" fillId="3" borderId="4" xfId="3" applyNumberFormat="1" applyBorder="1" applyProtection="1">
      <protection locked="0"/>
    </xf>
    <xf numFmtId="9" fontId="3" fillId="3" borderId="1" xfId="3" applyNumberFormat="1" applyProtection="1">
      <protection locked="0"/>
    </xf>
    <xf numFmtId="37" fontId="1" fillId="0" borderId="0" xfId="5" applyNumberFormat="1" applyFont="1"/>
    <xf numFmtId="0" fontId="0" fillId="0" borderId="3" xfId="0" applyBorder="1"/>
    <xf numFmtId="0" fontId="15" fillId="0" borderId="5" xfId="5" applyFont="1" applyBorder="1"/>
    <xf numFmtId="0" fontId="9" fillId="0" borderId="5" xfId="5" applyFont="1" applyBorder="1"/>
    <xf numFmtId="37" fontId="9" fillId="0" borderId="5" xfId="5" applyNumberFormat="1" applyFont="1" applyBorder="1"/>
    <xf numFmtId="37" fontId="9" fillId="0" borderId="6" xfId="5" applyNumberFormat="1" applyFont="1" applyBorder="1"/>
    <xf numFmtId="37" fontId="18" fillId="0" borderId="0" xfId="5" applyNumberFormat="1" applyFont="1"/>
    <xf numFmtId="37" fontId="18" fillId="0" borderId="3" xfId="5" applyNumberFormat="1" applyFont="1" applyBorder="1"/>
    <xf numFmtId="0" fontId="19" fillId="0" borderId="0" xfId="5" applyFont="1"/>
    <xf numFmtId="9" fontId="19" fillId="0" borderId="0" xfId="5" applyNumberFormat="1" applyFont="1"/>
    <xf numFmtId="9" fontId="19" fillId="0" borderId="3" xfId="5" applyNumberFormat="1" applyFont="1" applyBorder="1"/>
    <xf numFmtId="0" fontId="1" fillId="0" borderId="0" xfId="5" applyFont="1"/>
    <xf numFmtId="0" fontId="1" fillId="0" borderId="3" xfId="5" applyFont="1" applyBorder="1"/>
    <xf numFmtId="9" fontId="19" fillId="0" borderId="0" xfId="6" applyFont="1" applyProtection="1"/>
    <xf numFmtId="9" fontId="19" fillId="0" borderId="3" xfId="6" applyFont="1" applyBorder="1" applyProtection="1"/>
    <xf numFmtId="9" fontId="20" fillId="0" borderId="0" xfId="6" applyFont="1" applyProtection="1"/>
    <xf numFmtId="9" fontId="22" fillId="0" borderId="0" xfId="5" applyNumberFormat="1" applyFont="1"/>
    <xf numFmtId="0" fontId="9" fillId="0" borderId="7" xfId="5" applyFont="1" applyBorder="1"/>
    <xf numFmtId="37" fontId="1" fillId="0" borderId="7" xfId="5" applyNumberFormat="1" applyFont="1" applyBorder="1"/>
    <xf numFmtId="37" fontId="1" fillId="0" borderId="8" xfId="5" applyNumberFormat="1" applyFont="1" applyBorder="1"/>
    <xf numFmtId="0" fontId="1" fillId="0" borderId="6" xfId="5" applyFont="1" applyBorder="1"/>
    <xf numFmtId="9" fontId="21" fillId="0" borderId="0" xfId="6" applyFont="1" applyProtection="1"/>
    <xf numFmtId="37" fontId="1" fillId="0" borderId="3" xfId="5" applyNumberFormat="1" applyFont="1" applyBorder="1"/>
    <xf numFmtId="37" fontId="19" fillId="0" borderId="0" xfId="5" applyNumberFormat="1" applyFont="1"/>
    <xf numFmtId="9" fontId="1" fillId="0" borderId="0" xfId="6" applyFont="1" applyProtection="1"/>
    <xf numFmtId="9" fontId="1" fillId="0" borderId="3" xfId="6" applyFont="1" applyBorder="1" applyProtection="1"/>
    <xf numFmtId="37" fontId="1" fillId="0" borderId="5" xfId="6" applyNumberFormat="1" applyFont="1" applyBorder="1" applyProtection="1"/>
    <xf numFmtId="37" fontId="1" fillId="0" borderId="6" xfId="6" applyNumberFormat="1" applyFont="1" applyBorder="1" applyProtection="1"/>
    <xf numFmtId="9" fontId="19" fillId="0" borderId="0" xfId="6" applyFont="1" applyBorder="1" applyProtection="1"/>
    <xf numFmtId="9" fontId="9" fillId="0" borderId="0" xfId="6" applyFont="1" applyBorder="1" applyProtection="1"/>
    <xf numFmtId="9" fontId="9" fillId="0" borderId="3" xfId="6" applyFont="1" applyBorder="1" applyProtection="1"/>
    <xf numFmtId="37" fontId="9" fillId="0" borderId="0" xfId="6" applyNumberFormat="1" applyFont="1" applyBorder="1" applyProtection="1"/>
    <xf numFmtId="9" fontId="2" fillId="2" borderId="0" xfId="6" applyFont="1" applyFill="1" applyProtection="1"/>
    <xf numFmtId="37" fontId="4" fillId="5" borderId="0" xfId="5" applyNumberFormat="1" applyFont="1" applyFill="1"/>
    <xf numFmtId="0" fontId="6" fillId="0" borderId="0" xfId="5" applyFont="1"/>
    <xf numFmtId="9" fontId="9" fillId="0" borderId="0" xfId="6" applyFont="1" applyProtection="1"/>
    <xf numFmtId="37" fontId="9" fillId="0" borderId="0" xfId="6" applyNumberFormat="1" applyFont="1" applyProtection="1"/>
    <xf numFmtId="0" fontId="17" fillId="0" borderId="3" xfId="5" applyFont="1" applyBorder="1"/>
    <xf numFmtId="37" fontId="9" fillId="0" borderId="9" xfId="5" applyNumberFormat="1" applyFont="1" applyBorder="1"/>
    <xf numFmtId="0" fontId="9" fillId="0" borderId="9" xfId="5" applyFont="1" applyBorder="1"/>
    <xf numFmtId="0" fontId="9" fillId="0" borderId="10" xfId="5" applyFont="1" applyBorder="1"/>
    <xf numFmtId="165" fontId="18" fillId="0" borderId="0" xfId="6" applyNumberFormat="1" applyFont="1" applyProtection="1"/>
    <xf numFmtId="165" fontId="1" fillId="0" borderId="0" xfId="6" applyNumberFormat="1" applyFont="1" applyProtection="1"/>
    <xf numFmtId="2" fontId="9" fillId="0" borderId="0" xfId="5" applyNumberFormat="1" applyFont="1"/>
    <xf numFmtId="0" fontId="9" fillId="0" borderId="8" xfId="5" applyFont="1" applyBorder="1"/>
    <xf numFmtId="37" fontId="9" fillId="0" borderId="7" xfId="5" applyNumberFormat="1" applyFont="1" applyBorder="1"/>
    <xf numFmtId="0" fontId="13" fillId="0" borderId="5" xfId="5" applyFont="1" applyBorder="1"/>
    <xf numFmtId="3" fontId="18" fillId="0" borderId="0" xfId="5" applyNumberFormat="1" applyFont="1"/>
    <xf numFmtId="3" fontId="1" fillId="0" borderId="5" xfId="5" applyNumberFormat="1" applyFont="1" applyBorder="1"/>
    <xf numFmtId="3" fontId="18" fillId="0" borderId="9" xfId="5" applyNumberFormat="1" applyFont="1" applyBorder="1"/>
    <xf numFmtId="0" fontId="13" fillId="0" borderId="0" xfId="5" applyFont="1"/>
    <xf numFmtId="4" fontId="9" fillId="0" borderId="0" xfId="5" applyNumberFormat="1" applyFont="1"/>
    <xf numFmtId="0" fontId="7" fillId="5" borderId="0" xfId="5" applyFont="1" applyFill="1"/>
    <xf numFmtId="37" fontId="7" fillId="5" borderId="0" xfId="5" applyNumberFormat="1" applyFont="1" applyFill="1"/>
    <xf numFmtId="165" fontId="18" fillId="3" borderId="1" xfId="3" applyNumberFormat="1" applyFont="1" applyAlignment="1" applyProtection="1">
      <alignment horizontal="center"/>
    </xf>
    <xf numFmtId="166" fontId="18" fillId="3" borderId="1" xfId="3" applyNumberFormat="1" applyFont="1" applyAlignment="1" applyProtection="1">
      <alignment horizontal="center"/>
    </xf>
    <xf numFmtId="166" fontId="3" fillId="3" borderId="1" xfId="6" applyNumberFormat="1" applyFont="1" applyFill="1" applyBorder="1" applyAlignment="1" applyProtection="1">
      <alignment horizontal="center"/>
      <protection locked="0"/>
    </xf>
    <xf numFmtId="0" fontId="23" fillId="5" borderId="0" xfId="5" applyFont="1" applyFill="1" applyAlignment="1">
      <alignment horizontal="center" vertical="center"/>
    </xf>
    <xf numFmtId="165" fontId="9" fillId="6" borderId="0" xfId="5" applyNumberFormat="1" applyFont="1" applyFill="1"/>
    <xf numFmtId="165" fontId="9" fillId="6" borderId="0" xfId="6" applyNumberFormat="1" applyFont="1" applyFill="1" applyProtection="1"/>
    <xf numFmtId="166" fontId="9" fillId="6" borderId="0" xfId="5" applyNumberFormat="1" applyFont="1" applyFill="1"/>
    <xf numFmtId="165" fontId="9" fillId="6" borderId="0" xfId="6" applyNumberFormat="1" applyFont="1" applyFill="1" applyAlignment="1" applyProtection="1"/>
    <xf numFmtId="2" fontId="9" fillId="6" borderId="0" xfId="5" applyNumberFormat="1" applyFont="1" applyFill="1"/>
    <xf numFmtId="2" fontId="7" fillId="5" borderId="0" xfId="5" applyNumberFormat="1" applyFont="1" applyFill="1"/>
    <xf numFmtId="37" fontId="9" fillId="0" borderId="3" xfId="5" applyNumberFormat="1" applyFont="1" applyBorder="1"/>
    <xf numFmtId="9" fontId="17" fillId="0" borderId="0" xfId="5" applyNumberFormat="1" applyFont="1"/>
    <xf numFmtId="9" fontId="17" fillId="0" borderId="3" xfId="5" applyNumberFormat="1" applyFont="1" applyBorder="1"/>
    <xf numFmtId="37" fontId="9" fillId="0" borderId="10" xfId="5" applyNumberFormat="1" applyFont="1" applyBorder="1"/>
    <xf numFmtId="0" fontId="0" fillId="0" borderId="0" xfId="0" applyAlignment="1">
      <alignment horizontal="right"/>
    </xf>
    <xf numFmtId="14" fontId="0" fillId="0" borderId="0" xfId="0" applyNumberFormat="1" applyAlignment="1">
      <alignment horizontal="right"/>
    </xf>
    <xf numFmtId="0" fontId="1" fillId="0" borderId="0" xfId="5" applyFont="1" applyAlignment="1">
      <alignment horizontal="left"/>
    </xf>
    <xf numFmtId="0" fontId="1" fillId="0" borderId="0" xfId="5" applyFont="1" applyAlignment="1">
      <alignment horizontal="right"/>
    </xf>
    <xf numFmtId="167" fontId="0" fillId="0" borderId="0" xfId="0" applyNumberFormat="1"/>
    <xf numFmtId="168" fontId="0" fillId="0" borderId="0" xfId="0" applyNumberFormat="1"/>
    <xf numFmtId="37" fontId="0" fillId="0" borderId="0" xfId="0" applyNumberFormat="1"/>
    <xf numFmtId="37" fontId="0" fillId="0" borderId="0" xfId="0" applyNumberFormat="1" applyAlignment="1">
      <alignment horizontal="right"/>
    </xf>
    <xf numFmtId="165" fontId="0" fillId="0" borderId="0" xfId="2" applyNumberFormat="1" applyFont="1"/>
    <xf numFmtId="37" fontId="6" fillId="0" borderId="0" xfId="0" applyNumberFormat="1" applyFont="1"/>
    <xf numFmtId="165" fontId="0" fillId="0" borderId="0" xfId="2" applyNumberFormat="1" applyFont="1" applyBorder="1"/>
    <xf numFmtId="0" fontId="6" fillId="0" borderId="0" xfId="0" applyFont="1"/>
    <xf numFmtId="165" fontId="6" fillId="0" borderId="0" xfId="2" applyNumberFormat="1" applyFont="1" applyBorder="1"/>
    <xf numFmtId="39" fontId="0" fillId="0" borderId="0" xfId="0" applyNumberFormat="1"/>
    <xf numFmtId="9" fontId="0" fillId="0" borderId="0" xfId="2" applyFont="1"/>
    <xf numFmtId="9" fontId="6" fillId="0" borderId="0" xfId="2" applyFont="1"/>
    <xf numFmtId="9" fontId="1" fillId="0" borderId="0" xfId="2" applyFont="1"/>
    <xf numFmtId="9" fontId="1" fillId="0" borderId="0" xfId="4" applyNumberFormat="1" applyFill="1"/>
    <xf numFmtId="3" fontId="0" fillId="0" borderId="0" xfId="0" applyNumberFormat="1"/>
    <xf numFmtId="2" fontId="0" fillId="0" borderId="0" xfId="0" applyNumberFormat="1"/>
    <xf numFmtId="9" fontId="0" fillId="0" borderId="0" xfId="2" applyFont="1" applyAlignment="1">
      <alignment horizontal="right"/>
    </xf>
    <xf numFmtId="0" fontId="1" fillId="0" borderId="2" xfId="7" applyBorder="1"/>
    <xf numFmtId="0" fontId="24" fillId="0" borderId="2" xfId="7" applyFont="1" applyBorder="1"/>
    <xf numFmtId="0" fontId="1" fillId="0" borderId="0" xfId="7"/>
    <xf numFmtId="0" fontId="4" fillId="5" borderId="0" xfId="7" applyFont="1" applyFill="1" applyAlignment="1">
      <alignment horizontal="center" vertical="center"/>
    </xf>
    <xf numFmtId="0" fontId="7" fillId="5" borderId="0" xfId="7" applyFont="1" applyFill="1" applyAlignment="1">
      <alignment horizontal="center" vertical="center"/>
    </xf>
    <xf numFmtId="3" fontId="1" fillId="0" borderId="0" xfId="7" applyNumberFormat="1"/>
    <xf numFmtId="38" fontId="1" fillId="0" borderId="0" xfId="7" applyNumberFormat="1"/>
    <xf numFmtId="10" fontId="1" fillId="0" borderId="0" xfId="8" applyNumberFormat="1" applyFont="1"/>
    <xf numFmtId="0" fontId="1" fillId="0" borderId="9" xfId="7" applyBorder="1"/>
    <xf numFmtId="10" fontId="1" fillId="0" borderId="9" xfId="8" applyNumberFormat="1" applyFont="1" applyBorder="1"/>
    <xf numFmtId="0" fontId="6" fillId="0" borderId="7" xfId="7" applyFont="1" applyBorder="1"/>
    <xf numFmtId="0" fontId="1" fillId="0" borderId="7" xfId="7" applyBorder="1"/>
    <xf numFmtId="10" fontId="1" fillId="0" borderId="7" xfId="7" applyNumberFormat="1" applyBorder="1"/>
    <xf numFmtId="10" fontId="1" fillId="0" borderId="0" xfId="7" applyNumberFormat="1"/>
    <xf numFmtId="0" fontId="6" fillId="0" borderId="0" xfId="7" applyFont="1"/>
    <xf numFmtId="0" fontId="6" fillId="0" borderId="7" xfId="7" applyFont="1" applyBorder="1" applyAlignment="1">
      <alignment vertical="center"/>
    </xf>
    <xf numFmtId="0" fontId="1" fillId="0" borderId="7" xfId="7" applyBorder="1" applyAlignment="1">
      <alignment vertical="center"/>
    </xf>
    <xf numFmtId="10" fontId="6" fillId="0" borderId="7" xfId="7" applyNumberFormat="1" applyFont="1" applyBorder="1" applyAlignment="1">
      <alignment vertical="center"/>
    </xf>
    <xf numFmtId="37" fontId="6" fillId="0" borderId="0" xfId="0" applyNumberFormat="1" applyFont="1" applyAlignment="1">
      <alignment horizontal="right"/>
    </xf>
    <xf numFmtId="165" fontId="6" fillId="0" borderId="0" xfId="2" applyNumberFormat="1" applyFont="1"/>
    <xf numFmtId="37" fontId="0" fillId="0" borderId="0" xfId="0" applyNumberFormat="1" applyFont="1"/>
    <xf numFmtId="0" fontId="0" fillId="0" borderId="0" xfId="0" applyFont="1"/>
    <xf numFmtId="165" fontId="1" fillId="0" borderId="0" xfId="2" applyNumberFormat="1" applyFont="1"/>
    <xf numFmtId="165" fontId="1" fillId="0" borderId="0" xfId="2" applyNumberFormat="1" applyFont="1" applyBorder="1"/>
    <xf numFmtId="9" fontId="5" fillId="0" borderId="0" xfId="2" applyFont="1"/>
    <xf numFmtId="9" fontId="5" fillId="0" borderId="0" xfId="0" applyNumberFormat="1" applyFont="1"/>
    <xf numFmtId="37" fontId="5" fillId="0" borderId="0" xfId="0" applyNumberFormat="1" applyFont="1"/>
    <xf numFmtId="169" fontId="0" fillId="0" borderId="0" xfId="0" applyNumberFormat="1"/>
    <xf numFmtId="169" fontId="6" fillId="0" borderId="0" xfId="0" applyNumberFormat="1" applyFont="1"/>
    <xf numFmtId="9" fontId="3" fillId="3" borderId="1" xfId="6" applyNumberFormat="1" applyFont="1" applyFill="1" applyBorder="1" applyAlignment="1" applyProtection="1">
      <alignment horizontal="center"/>
    </xf>
    <xf numFmtId="9" fontId="19" fillId="0" borderId="0" xfId="2" applyFont="1"/>
    <xf numFmtId="0" fontId="19" fillId="0" borderId="0" xfId="0" applyFont="1"/>
    <xf numFmtId="9" fontId="5" fillId="3" borderId="1" xfId="3" applyNumberFormat="1" applyFont="1" applyProtection="1"/>
  </cellXfs>
  <cellStyles count="9">
    <cellStyle name="60% - Accent5" xfId="4" builtinId="48"/>
    <cellStyle name="Currency" xfId="1" builtinId="4"/>
    <cellStyle name="Input" xfId="3" builtinId="20"/>
    <cellStyle name="Normal" xfId="0" builtinId="0"/>
    <cellStyle name="Normal 2" xfId="5" xr:uid="{2B7BB2F7-5E0C-FB43-9E50-580BA85859FB}"/>
    <cellStyle name="Normal 2 2" xfId="7" xr:uid="{95995DE9-F647-D94C-85E1-A70208FD7A7B}"/>
    <cellStyle name="Percent" xfId="2" builtinId="5"/>
    <cellStyle name="Percent 2" xfId="6" xr:uid="{6FB66C5C-591A-BC4E-BDE4-24A48A0468FC}"/>
    <cellStyle name="Percent 2 2" xfId="8" xr:uid="{5F820FA3-5283-9742-B822-386B684C7A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10</xdr:col>
      <xdr:colOff>7055</xdr:colOff>
      <xdr:row>0</xdr:row>
      <xdr:rowOff>190500</xdr:rowOff>
    </xdr:from>
    <xdr:to>
      <xdr:col>10</xdr:col>
      <xdr:colOff>25400</xdr:colOff>
      <xdr:row>60</xdr:row>
      <xdr:rowOff>101600</xdr:rowOff>
    </xdr:to>
    <xdr:cxnSp macro="">
      <xdr:nvCxnSpPr>
        <xdr:cNvPr id="2" name="Straight Connector 1">
          <a:extLst>
            <a:ext uri="{FF2B5EF4-FFF2-40B4-BE49-F238E27FC236}">
              <a16:creationId xmlns:a16="http://schemas.microsoft.com/office/drawing/2014/main" id="{C85ECB41-716A-4243-AEC7-3FE8BAD22A50}"/>
            </a:ext>
          </a:extLst>
        </xdr:cNvPr>
        <xdr:cNvCxnSpPr/>
      </xdr:nvCxnSpPr>
      <xdr:spPr>
        <a:xfrm>
          <a:off x="10128955" y="190500"/>
          <a:ext cx="18345" cy="12103100"/>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811645</xdr:colOff>
      <xdr:row>0</xdr:row>
      <xdr:rowOff>158173</xdr:rowOff>
    </xdr:from>
    <xdr:to>
      <xdr:col>22</xdr:col>
      <xdr:colOff>823191</xdr:colOff>
      <xdr:row>59</xdr:row>
      <xdr:rowOff>81973</xdr:rowOff>
    </xdr:to>
    <xdr:cxnSp macro="">
      <xdr:nvCxnSpPr>
        <xdr:cNvPr id="3" name="Straight Connector 2">
          <a:extLst>
            <a:ext uri="{FF2B5EF4-FFF2-40B4-BE49-F238E27FC236}">
              <a16:creationId xmlns:a16="http://schemas.microsoft.com/office/drawing/2014/main" id="{063D3872-F3C4-5549-BF14-247C4A9D2DFD}"/>
            </a:ext>
          </a:extLst>
        </xdr:cNvPr>
        <xdr:cNvCxnSpPr/>
      </xdr:nvCxnSpPr>
      <xdr:spPr>
        <a:xfrm>
          <a:off x="20839545" y="158173"/>
          <a:ext cx="11546" cy="11912600"/>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235.85</v>
    <v>174.6</v>
    <v>0.94610000000000005</v>
    <v>3.9</v>
    <v>1.7694000000000001E-2</v>
    <v>0.01</v>
    <v>4.4580000000000003E-5</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224.43</v>
    <v>Software &amp; IT Services</v>
    <v>Stock</v>
    <v>44947.038422997655</v>
    <v>0</v>
    <v>220.41</v>
    <v>462457100000</v>
    <v>VISA INC.</v>
    <v>VISA INC.</v>
    <v>221.14</v>
    <v>31.5322</v>
    <v>220.41</v>
    <v>224.31</v>
    <v>224.32</v>
    <v>2061688000</v>
    <v>V</v>
    <v>VISA INC. (XNYS:V)</v>
    <v>5210962</v>
    <v>6128773</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9347-60EF-4E43-A42A-EBBA9B244F04}">
  <dimension ref="A2:AA154"/>
  <sheetViews>
    <sheetView showGridLines="0" tabSelected="1" topLeftCell="A106" zoomScale="110" zoomScaleNormal="110" workbookViewId="0">
      <selection activeCell="H124" sqref="H124:H125"/>
    </sheetView>
  </sheetViews>
  <sheetFormatPr baseColWidth="10" defaultColWidth="11.83203125" defaultRowHeight="16" customHeight="1" x14ac:dyDescent="0.2"/>
  <cols>
    <col min="1" max="1" width="4.83203125" style="5" customWidth="1"/>
    <col min="2" max="16384" width="11.83203125" style="5"/>
  </cols>
  <sheetData>
    <row r="2" spans="1:27" s="1" customFormat="1" ht="31" customHeight="1" thickBot="1" x14ac:dyDescent="0.35">
      <c r="B2" s="2" t="s">
        <v>138</v>
      </c>
      <c r="E2" s="3" t="s">
        <v>160</v>
      </c>
      <c r="F2" s="4"/>
      <c r="G2" s="4"/>
      <c r="H2" s="3" t="s">
        <v>161</v>
      </c>
      <c r="K2" s="3" t="s">
        <v>162</v>
      </c>
      <c r="N2" s="3" t="s">
        <v>163</v>
      </c>
    </row>
    <row r="4" spans="1:27" ht="16" customHeight="1" x14ac:dyDescent="0.2">
      <c r="B4" s="5" t="s">
        <v>0</v>
      </c>
      <c r="C4" s="6" t="str" cm="1">
        <f t="array" ref="C4">_FV('Financials + KPIs'!B1,"Ticker symbol",TRUE)</f>
        <v>V</v>
      </c>
      <c r="E4" s="5" t="s">
        <v>1</v>
      </c>
      <c r="G4" s="7">
        <f ca="1">D120</f>
        <v>277.51444143909197</v>
      </c>
      <c r="I4" s="5" t="s">
        <v>2</v>
      </c>
      <c r="K4" s="7">
        <v>283.05809755336873</v>
      </c>
      <c r="M4" s="5" t="s">
        <v>3</v>
      </c>
      <c r="O4" s="8">
        <v>228.35877200888748</v>
      </c>
      <c r="Q4" s="5" t="s">
        <v>4</v>
      </c>
      <c r="S4" s="8">
        <f ca="1">G4*(1+((1/T106)^(1/10)-1))^10</f>
        <v>609.29761471465122</v>
      </c>
    </row>
    <row r="5" spans="1:27" ht="16" customHeight="1" x14ac:dyDescent="0.2">
      <c r="B5" s="5" t="s">
        <v>5</v>
      </c>
      <c r="C5" s="9">
        <v>44947</v>
      </c>
      <c r="E5" s="5" t="s">
        <v>6</v>
      </c>
      <c r="G5" s="10" cm="1">
        <f t="array" ref="G5">_FV('Financials + KPIs'!B1,"Price")</f>
        <v>224.31</v>
      </c>
      <c r="I5" s="5" t="s">
        <v>7</v>
      </c>
      <c r="K5" s="7">
        <v>349.94054794702595</v>
      </c>
      <c r="M5" s="5" t="s">
        <v>8</v>
      </c>
      <c r="O5" s="11">
        <f ca="1">G4/G5-1</f>
        <v>0.23719157166016647</v>
      </c>
      <c r="Q5" s="5" t="s">
        <v>9</v>
      </c>
      <c r="S5" s="11">
        <f ca="1">(S4/G5)^(1/10)-1</f>
        <v>0.10509110758833429</v>
      </c>
    </row>
    <row r="7" spans="1:27" ht="16" customHeight="1" x14ac:dyDescent="0.2">
      <c r="A7" s="5" t="s">
        <v>10</v>
      </c>
      <c r="B7" s="12" t="s">
        <v>11</v>
      </c>
      <c r="C7" s="13"/>
      <c r="D7" s="13"/>
      <c r="E7" s="14" t="s">
        <v>12</v>
      </c>
      <c r="F7" s="13"/>
      <c r="G7" s="13"/>
      <c r="H7" s="13"/>
      <c r="I7" s="13"/>
      <c r="J7" s="15"/>
      <c r="K7" s="15"/>
      <c r="L7" s="15"/>
      <c r="M7" s="15"/>
      <c r="N7" s="15"/>
      <c r="O7" s="15"/>
      <c r="P7" s="15"/>
      <c r="Q7" s="15"/>
      <c r="R7" s="15"/>
      <c r="S7" s="15"/>
      <c r="T7" s="15"/>
      <c r="U7" s="15"/>
      <c r="V7"/>
      <c r="W7"/>
      <c r="X7"/>
      <c r="Y7"/>
      <c r="Z7"/>
      <c r="AA7"/>
    </row>
    <row r="8" spans="1:27" ht="16" customHeight="1" x14ac:dyDescent="0.2">
      <c r="B8" s="16" t="s">
        <v>13</v>
      </c>
      <c r="F8" s="16" t="s">
        <v>3</v>
      </c>
      <c r="J8" s="16" t="s">
        <v>14</v>
      </c>
      <c r="N8" s="16" t="s">
        <v>7</v>
      </c>
      <c r="R8" s="16" t="s">
        <v>15</v>
      </c>
      <c r="S8" s="17"/>
      <c r="T8" s="17"/>
    </row>
    <row r="9" spans="1:27" ht="16" customHeight="1" x14ac:dyDescent="0.2">
      <c r="B9" s="5" t="s">
        <v>145</v>
      </c>
      <c r="D9" s="18">
        <v>2</v>
      </c>
      <c r="F9" s="5" t="s">
        <v>147</v>
      </c>
      <c r="H9" s="19">
        <v>0.8</v>
      </c>
      <c r="J9" s="5" t="s">
        <v>147</v>
      </c>
      <c r="L9" s="20"/>
      <c r="N9" s="5" t="s">
        <v>147</v>
      </c>
      <c r="P9" s="19">
        <v>1.2</v>
      </c>
      <c r="R9" s="5" t="s">
        <v>16</v>
      </c>
      <c r="S9" s="17"/>
      <c r="T9" s="21">
        <v>18522</v>
      </c>
    </row>
    <row r="10" spans="1:27" ht="16" customHeight="1" x14ac:dyDescent="0.2">
      <c r="F10" s="5" t="s">
        <v>148</v>
      </c>
      <c r="H10" s="19">
        <v>0.09</v>
      </c>
      <c r="J10" s="5" t="s">
        <v>148</v>
      </c>
      <c r="L10" s="19">
        <v>0.11</v>
      </c>
      <c r="N10" s="5" t="s">
        <v>148</v>
      </c>
      <c r="P10" s="19">
        <v>0.13</v>
      </c>
      <c r="R10" s="5" t="s">
        <v>17</v>
      </c>
      <c r="S10" s="17"/>
      <c r="T10" s="21">
        <v>2136</v>
      </c>
    </row>
    <row r="11" spans="1:27" ht="16" customHeight="1" x14ac:dyDescent="0.2">
      <c r="B11" s="17"/>
      <c r="C11" s="17"/>
      <c r="D11" s="17"/>
      <c r="F11" s="5" t="s">
        <v>149</v>
      </c>
      <c r="H11" s="19">
        <v>0.03</v>
      </c>
      <c r="J11" s="5" t="s">
        <v>149</v>
      </c>
      <c r="L11" s="168">
        <v>0.04</v>
      </c>
      <c r="N11" s="5" t="s">
        <v>149</v>
      </c>
      <c r="P11" s="19">
        <v>0.05</v>
      </c>
      <c r="R11" s="5" t="s">
        <v>159</v>
      </c>
      <c r="S11" s="17"/>
      <c r="T11" s="21">
        <v>22450</v>
      </c>
    </row>
    <row r="12" spans="1:27" ht="16" customHeight="1" x14ac:dyDescent="0.2">
      <c r="B12" s="5" t="s">
        <v>146</v>
      </c>
      <c r="D12" s="18">
        <v>2</v>
      </c>
      <c r="F12" s="5" t="s">
        <v>150</v>
      </c>
      <c r="H12" s="19">
        <v>0.7</v>
      </c>
      <c r="J12" s="5" t="s">
        <v>150</v>
      </c>
      <c r="L12" s="23"/>
      <c r="N12" s="5" t="s">
        <v>150</v>
      </c>
      <c r="P12" s="19">
        <v>1.3</v>
      </c>
      <c r="R12" s="5" t="s">
        <v>18</v>
      </c>
      <c r="S12" s="17"/>
      <c r="T12" s="21">
        <v>0</v>
      </c>
    </row>
    <row r="13" spans="1:27" ht="16" customHeight="1" x14ac:dyDescent="0.2">
      <c r="F13" s="5" t="s">
        <v>151</v>
      </c>
      <c r="H13" s="19">
        <v>0.11</v>
      </c>
      <c r="J13" s="5" t="s">
        <v>151</v>
      </c>
      <c r="L13" s="19">
        <v>0.13</v>
      </c>
      <c r="N13" s="5" t="s">
        <v>151</v>
      </c>
      <c r="P13" s="19">
        <v>0.15</v>
      </c>
      <c r="R13" s="5" t="s">
        <v>19</v>
      </c>
      <c r="S13" s="17"/>
      <c r="T13" s="21">
        <v>16198</v>
      </c>
    </row>
    <row r="14" spans="1:27" ht="16" customHeight="1" x14ac:dyDescent="0.2">
      <c r="F14" s="5" t="s">
        <v>152</v>
      </c>
      <c r="H14" s="19">
        <v>0.03</v>
      </c>
      <c r="J14" s="5" t="s">
        <v>152</v>
      </c>
      <c r="L14" s="19">
        <v>0.04</v>
      </c>
      <c r="N14" s="5" t="s">
        <v>152</v>
      </c>
      <c r="P14" s="19">
        <v>0.05</v>
      </c>
      <c r="R14" s="5" t="s">
        <v>20</v>
      </c>
      <c r="T14" s="21">
        <v>481</v>
      </c>
    </row>
    <row r="15" spans="1:27" ht="16" customHeight="1" x14ac:dyDescent="0.2">
      <c r="B15" s="5" t="s">
        <v>135</v>
      </c>
      <c r="D15" s="18">
        <v>2</v>
      </c>
      <c r="F15" s="5" t="s">
        <v>153</v>
      </c>
      <c r="H15" s="19">
        <v>0.8</v>
      </c>
      <c r="J15" s="5" t="s">
        <v>153</v>
      </c>
      <c r="L15"/>
      <c r="N15" s="5" t="s">
        <v>153</v>
      </c>
      <c r="P15" s="19">
        <v>1.2</v>
      </c>
      <c r="R15" s="5" t="s">
        <v>21</v>
      </c>
      <c r="S15" s="17"/>
      <c r="T15" s="24">
        <v>4.3799999999999999E-2</v>
      </c>
    </row>
    <row r="16" spans="1:27" ht="16" customHeight="1" x14ac:dyDescent="0.2">
      <c r="F16" s="5" t="s">
        <v>155</v>
      </c>
      <c r="H16" s="19">
        <v>0.09</v>
      </c>
      <c r="J16" s="5" t="s">
        <v>155</v>
      </c>
      <c r="L16" s="19">
        <v>0.12</v>
      </c>
      <c r="N16" s="5" t="s">
        <v>155</v>
      </c>
      <c r="P16" s="19">
        <v>0.15</v>
      </c>
      <c r="R16" s="5" t="s">
        <v>22</v>
      </c>
      <c r="T16" s="21">
        <v>2136</v>
      </c>
    </row>
    <row r="17" spans="2:24" ht="16" customHeight="1" x14ac:dyDescent="0.2">
      <c r="F17" s="5" t="s">
        <v>154</v>
      </c>
      <c r="H17" s="22">
        <v>0.02</v>
      </c>
      <c r="J17" s="5" t="s">
        <v>154</v>
      </c>
      <c r="L17" s="22">
        <v>2.5000000000000001E-2</v>
      </c>
      <c r="N17" s="5" t="s">
        <v>154</v>
      </c>
      <c r="P17" s="168">
        <v>0.03</v>
      </c>
      <c r="R17"/>
      <c r="S17"/>
      <c r="T17"/>
    </row>
    <row r="18" spans="2:24" ht="16" customHeight="1" x14ac:dyDescent="0.2">
      <c r="B18" s="5" t="s">
        <v>143</v>
      </c>
      <c r="D18" s="18">
        <v>1</v>
      </c>
      <c r="F18" s="5" t="s">
        <v>156</v>
      </c>
      <c r="H18" s="168">
        <v>1.2</v>
      </c>
      <c r="J18" s="5" t="s">
        <v>156</v>
      </c>
      <c r="N18" s="5" t="s">
        <v>156</v>
      </c>
      <c r="P18" s="168">
        <v>0.8</v>
      </c>
      <c r="R18" s="16" t="s">
        <v>24</v>
      </c>
      <c r="S18" s="17"/>
      <c r="T18" s="17"/>
    </row>
    <row r="19" spans="2:24" ht="16" customHeight="1" x14ac:dyDescent="0.2">
      <c r="F19" s="5" t="s">
        <v>157</v>
      </c>
      <c r="H19" s="168">
        <v>0.05</v>
      </c>
      <c r="J19" s="5" t="s">
        <v>157</v>
      </c>
      <c r="N19" s="5" t="s">
        <v>157</v>
      </c>
      <c r="P19" s="168">
        <v>1.2</v>
      </c>
      <c r="R19" s="5" t="s">
        <v>26</v>
      </c>
      <c r="S19" s="17"/>
      <c r="T19" s="24">
        <v>3.39E-2</v>
      </c>
    </row>
    <row r="20" spans="2:24" ht="16" customHeight="1" x14ac:dyDescent="0.2">
      <c r="B20" s="5" t="s">
        <v>23</v>
      </c>
      <c r="D20" s="18">
        <v>2</v>
      </c>
      <c r="F20" s="5" t="s">
        <v>158</v>
      </c>
      <c r="H20" s="19">
        <v>0.95</v>
      </c>
      <c r="J20" s="5" t="s">
        <v>158</v>
      </c>
      <c r="N20" s="5" t="s">
        <v>158</v>
      </c>
      <c r="P20" s="19">
        <v>1.03</v>
      </c>
      <c r="R20" s="5" t="s">
        <v>29</v>
      </c>
      <c r="S20" s="17"/>
      <c r="T20" s="24">
        <v>5.11E-2</v>
      </c>
    </row>
    <row r="21" spans="2:24" ht="16" customHeight="1" x14ac:dyDescent="0.2">
      <c r="F21" s="5" t="s">
        <v>25</v>
      </c>
      <c r="H21" s="19">
        <v>0.64</v>
      </c>
      <c r="J21" s="5" t="s">
        <v>25</v>
      </c>
      <c r="L21" s="19">
        <v>0.67</v>
      </c>
      <c r="N21" s="5" t="s">
        <v>25</v>
      </c>
      <c r="P21" s="19">
        <v>0.7</v>
      </c>
      <c r="R21" s="5" t="s">
        <v>30</v>
      </c>
      <c r="T21" s="26">
        <v>0.97</v>
      </c>
    </row>
    <row r="22" spans="2:24" ht="16" customHeight="1" x14ac:dyDescent="0.2">
      <c r="B22" s="5" t="s">
        <v>27</v>
      </c>
      <c r="F22" s="5" t="s">
        <v>27</v>
      </c>
      <c r="J22" s="5" t="s">
        <v>28</v>
      </c>
      <c r="L22" s="25">
        <v>0.21</v>
      </c>
      <c r="N22" s="5" t="s">
        <v>27</v>
      </c>
      <c r="R22" s="5" t="s">
        <v>32</v>
      </c>
      <c r="S22" s="17"/>
      <c r="T22" s="24">
        <f>K105-1%</f>
        <v>7.6823170123360568E-2</v>
      </c>
    </row>
    <row r="24" spans="2:24" ht="16" customHeight="1" x14ac:dyDescent="0.2">
      <c r="B24" s="5" t="s">
        <v>31</v>
      </c>
      <c r="D24" s="18">
        <v>3</v>
      </c>
      <c r="F24" s="5" t="s">
        <v>31</v>
      </c>
      <c r="H24" s="22">
        <f>L24-0.5%</f>
        <v>7.6823170123360554E-2</v>
      </c>
      <c r="J24" s="5" t="s">
        <v>31</v>
      </c>
      <c r="L24" s="27">
        <f>WACC!F22</f>
        <v>8.1823170123360559E-2</v>
      </c>
      <c r="N24" s="5" t="s">
        <v>31</v>
      </c>
      <c r="P24" s="22">
        <f>L24+0.5%</f>
        <v>8.6823170123360563E-2</v>
      </c>
    </row>
    <row r="25" spans="2:24" ht="16" customHeight="1" x14ac:dyDescent="0.2">
      <c r="B25" s="5" t="s">
        <v>33</v>
      </c>
      <c r="D25" s="18">
        <v>2</v>
      </c>
      <c r="F25" s="5" t="s">
        <v>33</v>
      </c>
      <c r="H25" s="28">
        <f>L25-0.5%</f>
        <v>3.0000000000000002E-2</v>
      </c>
      <c r="J25" s="5" t="s">
        <v>33</v>
      </c>
      <c r="L25" s="28">
        <v>3.5000000000000003E-2</v>
      </c>
      <c r="N25" s="5" t="s">
        <v>33</v>
      </c>
      <c r="P25" s="28">
        <f>L25+0.5%</f>
        <v>0.04</v>
      </c>
    </row>
    <row r="26" spans="2:24" ht="16" customHeight="1" x14ac:dyDescent="0.2">
      <c r="B26" s="5" t="s">
        <v>34</v>
      </c>
      <c r="D26" s="18">
        <v>1</v>
      </c>
      <c r="F26" s="5" t="s">
        <v>34</v>
      </c>
      <c r="H26" s="29">
        <f>L26-2</f>
        <v>20</v>
      </c>
      <c r="I26" s="30"/>
      <c r="J26" s="30" t="s">
        <v>34</v>
      </c>
      <c r="K26" s="30"/>
      <c r="L26" s="29">
        <v>22</v>
      </c>
      <c r="M26" s="30"/>
      <c r="N26" s="30" t="s">
        <v>34</v>
      </c>
      <c r="O26" s="30"/>
      <c r="P26" s="29">
        <f>L26+2</f>
        <v>24</v>
      </c>
    </row>
    <row r="27" spans="2:24" ht="16" customHeight="1" x14ac:dyDescent="0.2">
      <c r="B27" s="17"/>
      <c r="C27" s="17"/>
      <c r="D27" s="17"/>
      <c r="E27" s="17"/>
      <c r="F27" s="17"/>
      <c r="G27" s="17"/>
      <c r="H27" s="17"/>
      <c r="I27" s="17"/>
      <c r="J27" s="17"/>
      <c r="K27" s="17"/>
      <c r="L27" s="17"/>
      <c r="M27" s="17"/>
      <c r="N27" s="17"/>
      <c r="O27" s="17"/>
      <c r="P27" s="17"/>
    </row>
    <row r="28" spans="2:24" s="17" customFormat="1" ht="16" customHeight="1" x14ac:dyDescent="0.2">
      <c r="B28" s="16" t="s">
        <v>35</v>
      </c>
      <c r="F28" s="16" t="s">
        <v>36</v>
      </c>
      <c r="V28" s="5"/>
      <c r="W28" s="5"/>
      <c r="X28" s="5"/>
    </row>
    <row r="29" spans="2:24" s="17" customFormat="1" ht="16" customHeight="1" x14ac:dyDescent="0.2">
      <c r="B29" s="5" t="s">
        <v>31</v>
      </c>
      <c r="D29" s="22">
        <f>CHOOSE(D24,H24,L24,P24,H29)</f>
        <v>8.6823170123360563E-2</v>
      </c>
      <c r="F29" s="5" t="s">
        <v>31</v>
      </c>
      <c r="G29" s="5"/>
      <c r="H29" s="24"/>
      <c r="V29" s="5"/>
      <c r="W29" s="5"/>
      <c r="X29" s="5"/>
    </row>
    <row r="30" spans="2:24" s="17" customFormat="1" ht="16" customHeight="1" x14ac:dyDescent="0.2">
      <c r="B30" s="5" t="s">
        <v>33</v>
      </c>
      <c r="D30" s="22">
        <f>CHOOSE(D25,H25,L25,P25,H30)</f>
        <v>3.5000000000000003E-2</v>
      </c>
      <c r="F30" s="5" t="s">
        <v>33</v>
      </c>
      <c r="G30" s="5"/>
      <c r="H30" s="31"/>
      <c r="V30" s="5"/>
      <c r="W30" s="5"/>
      <c r="X30" s="5"/>
    </row>
    <row r="31" spans="2:24" s="17" customFormat="1" ht="16" customHeight="1" x14ac:dyDescent="0.2">
      <c r="B31" s="5" t="s">
        <v>34</v>
      </c>
      <c r="D31" s="29">
        <f>CHOOSE(D26,H26,L26,P26,H31)</f>
        <v>20</v>
      </c>
      <c r="F31" s="30" t="s">
        <v>34</v>
      </c>
      <c r="G31" s="30"/>
      <c r="H31" s="32"/>
      <c r="V31" s="5"/>
    </row>
    <row r="33" spans="1:21" ht="16" customHeight="1" x14ac:dyDescent="0.2">
      <c r="A33" s="5" t="s">
        <v>10</v>
      </c>
      <c r="B33" s="12" t="s">
        <v>37</v>
      </c>
      <c r="C33" s="12"/>
      <c r="D33" s="12"/>
      <c r="E33" s="33">
        <v>2017</v>
      </c>
      <c r="F33" s="33">
        <f>E33+1</f>
        <v>2018</v>
      </c>
      <c r="G33" s="33">
        <f t="shared" ref="G33:J33" si="0">F33+1</f>
        <v>2019</v>
      </c>
      <c r="H33" s="33">
        <f t="shared" si="0"/>
        <v>2020</v>
      </c>
      <c r="I33" s="33">
        <f t="shared" si="0"/>
        <v>2021</v>
      </c>
      <c r="J33" s="33">
        <f t="shared" si="0"/>
        <v>2022</v>
      </c>
      <c r="K33" s="34">
        <v>2023</v>
      </c>
      <c r="L33" s="34">
        <f>K33+1</f>
        <v>2024</v>
      </c>
      <c r="M33" s="34">
        <f t="shared" ref="M33:U33" si="1">L33+1</f>
        <v>2025</v>
      </c>
      <c r="N33" s="34">
        <f t="shared" si="1"/>
        <v>2026</v>
      </c>
      <c r="O33" s="34">
        <f t="shared" si="1"/>
        <v>2027</v>
      </c>
      <c r="P33" s="34">
        <f t="shared" si="1"/>
        <v>2028</v>
      </c>
      <c r="Q33" s="34">
        <f t="shared" si="1"/>
        <v>2029</v>
      </c>
      <c r="R33" s="34">
        <f t="shared" si="1"/>
        <v>2030</v>
      </c>
      <c r="S33" s="34">
        <f t="shared" si="1"/>
        <v>2031</v>
      </c>
      <c r="T33" s="34">
        <f t="shared" si="1"/>
        <v>2032</v>
      </c>
      <c r="U33" s="34">
        <f t="shared" si="1"/>
        <v>2033</v>
      </c>
    </row>
    <row r="34" spans="1:21" ht="16" customHeight="1" x14ac:dyDescent="0.2">
      <c r="B34" s="12" t="s">
        <v>38</v>
      </c>
      <c r="C34" s="12"/>
      <c r="D34" s="12"/>
      <c r="E34" s="35">
        <f>EDATE(F34,-12)</f>
        <v>43008</v>
      </c>
      <c r="F34" s="35">
        <f t="shared" ref="F34:I34" si="2">EDATE(G34,-12)</f>
        <v>43373</v>
      </c>
      <c r="G34" s="35">
        <f t="shared" si="2"/>
        <v>43738</v>
      </c>
      <c r="H34" s="35">
        <f t="shared" si="2"/>
        <v>44104</v>
      </c>
      <c r="I34" s="35">
        <f t="shared" si="2"/>
        <v>44469</v>
      </c>
      <c r="J34" s="35">
        <f>EDATE(K34,-12)</f>
        <v>44834</v>
      </c>
      <c r="K34" s="35">
        <v>45199</v>
      </c>
      <c r="L34" s="35">
        <f>EDATE(K34,12)</f>
        <v>45565</v>
      </c>
      <c r="M34" s="35">
        <f t="shared" ref="M34:U34" si="3">EDATE(L34,12)</f>
        <v>45930</v>
      </c>
      <c r="N34" s="35">
        <f t="shared" si="3"/>
        <v>46295</v>
      </c>
      <c r="O34" s="35">
        <f t="shared" si="3"/>
        <v>46660</v>
      </c>
      <c r="P34" s="35">
        <f t="shared" si="3"/>
        <v>47026</v>
      </c>
      <c r="Q34" s="35">
        <f t="shared" si="3"/>
        <v>47391</v>
      </c>
      <c r="R34" s="35">
        <f t="shared" si="3"/>
        <v>47756</v>
      </c>
      <c r="S34" s="35">
        <f t="shared" si="3"/>
        <v>48121</v>
      </c>
      <c r="T34" s="35">
        <f t="shared" si="3"/>
        <v>48487</v>
      </c>
      <c r="U34" s="35">
        <f t="shared" si="3"/>
        <v>48852</v>
      </c>
    </row>
    <row r="35" spans="1:21" ht="16" customHeight="1" x14ac:dyDescent="0.2">
      <c r="B35" s="16" t="s">
        <v>137</v>
      </c>
      <c r="E35" s="36">
        <f>'Financials + KPIs'!R3</f>
        <v>7975</v>
      </c>
      <c r="F35" s="36">
        <f>'Financials + KPIs'!S3</f>
        <v>8918</v>
      </c>
      <c r="G35" s="36">
        <f>'Financials + KPIs'!T3</f>
        <v>9700</v>
      </c>
      <c r="H35" s="36">
        <f>'Financials + KPIs'!U3</f>
        <v>9804</v>
      </c>
      <c r="I35" s="36">
        <f>'Financials + KPIs'!V3</f>
        <v>11475</v>
      </c>
      <c r="J35" s="37">
        <f>'Financials + KPIs'!W3</f>
        <v>13361</v>
      </c>
      <c r="K35" s="38">
        <f ca="1">J35*(1+K36)</f>
        <v>14129.470000000001</v>
      </c>
      <c r="L35" s="38">
        <f t="shared" ref="L35:U35" ca="1" si="4">K35*(1+L36)</f>
        <v>15683.711700000003</v>
      </c>
      <c r="M35" s="38">
        <f t="shared" ca="1" si="4"/>
        <v>17286.935562666669</v>
      </c>
      <c r="N35" s="38">
        <f t="shared" ca="1" si="4"/>
        <v>18919.590588029634</v>
      </c>
      <c r="O35" s="38">
        <f t="shared" ca="1" si="4"/>
        <v>20559.288438992204</v>
      </c>
      <c r="P35" s="38">
        <f t="shared" ca="1" si="4"/>
        <v>22181.18786029048</v>
      </c>
      <c r="Q35" s="38">
        <f t="shared" ca="1" si="4"/>
        <v>23758.516774800024</v>
      </c>
      <c r="R35" s="38">
        <f t="shared" ca="1" si="4"/>
        <v>25263.22283720403</v>
      </c>
      <c r="S35" s="38">
        <f t="shared" ca="1" si="4"/>
        <v>26666.735217048699</v>
      </c>
      <c r="T35" s="38">
        <f t="shared" ca="1" si="4"/>
        <v>27940.81256630769</v>
      </c>
      <c r="U35" s="38">
        <f t="shared" ca="1" si="4"/>
        <v>29058.445068959998</v>
      </c>
    </row>
    <row r="36" spans="1:21" s="39" customFormat="1" ht="16" customHeight="1" x14ac:dyDescent="0.2">
      <c r="B36" s="39" t="s">
        <v>39</v>
      </c>
      <c r="F36" s="40">
        <f t="shared" ref="F36:H36" si="5">F35/E35-1</f>
        <v>0.1182445141065831</v>
      </c>
      <c r="G36" s="40">
        <f t="shared" si="5"/>
        <v>8.768782238169992E-2</v>
      </c>
      <c r="H36" s="40">
        <f t="shared" si="5"/>
        <v>1.0721649484536133E-2</v>
      </c>
      <c r="I36" s="40">
        <f>I35/H35-1</f>
        <v>0.17044063647490826</v>
      </c>
      <c r="J36" s="41">
        <f>J35/I35-1</f>
        <v>0.16435729847494551</v>
      </c>
      <c r="K36" s="40">
        <f ca="1">OFFSET(K36,$D$9,0)</f>
        <v>5.7515904498166348E-2</v>
      </c>
      <c r="L36" s="40">
        <f t="shared" ref="L36:U36" ca="1" si="6">OFFSET(L36,$D$9,0)</f>
        <v>0.11</v>
      </c>
      <c r="M36" s="40">
        <f t="shared" ca="1" si="6"/>
        <v>0.10222222222222223</v>
      </c>
      <c r="N36" s="40">
        <f t="shared" ca="1" si="6"/>
        <v>9.4444444444444456E-2</v>
      </c>
      <c r="O36" s="40">
        <f t="shared" ca="1" si="6"/>
        <v>8.6666666666666684E-2</v>
      </c>
      <c r="P36" s="40">
        <f t="shared" ca="1" si="6"/>
        <v>7.8888888888888911E-2</v>
      </c>
      <c r="Q36" s="40">
        <f t="shared" ca="1" si="6"/>
        <v>7.1111111111111139E-2</v>
      </c>
      <c r="R36" s="40">
        <f t="shared" ca="1" si="6"/>
        <v>6.3333333333333366E-2</v>
      </c>
      <c r="S36" s="40">
        <f t="shared" ca="1" si="6"/>
        <v>5.5555555555555587E-2</v>
      </c>
      <c r="T36" s="40">
        <f t="shared" ca="1" si="6"/>
        <v>4.7777777777777808E-2</v>
      </c>
      <c r="U36" s="40">
        <f t="shared" ca="1" si="6"/>
        <v>0.04</v>
      </c>
    </row>
    <row r="37" spans="1:21" ht="16" customHeight="1" x14ac:dyDescent="0.2">
      <c r="B37" s="5" t="s">
        <v>3</v>
      </c>
      <c r="J37" s="42"/>
      <c r="K37" s="43">
        <f>K38*H9</f>
        <v>4.6012723598533083E-2</v>
      </c>
      <c r="L37" s="44">
        <f>H10</f>
        <v>0.09</v>
      </c>
      <c r="M37" s="45">
        <f>L37-($L$37-$U$37)/($U$33-$L$33)</f>
        <v>8.3333333333333329E-2</v>
      </c>
      <c r="N37" s="45">
        <f t="shared" ref="N37:T37" si="7">M37-($L$37-$U$37)/($U$33-$L$33)</f>
        <v>7.6666666666666661E-2</v>
      </c>
      <c r="O37" s="45">
        <f t="shared" si="7"/>
        <v>6.9999999999999993E-2</v>
      </c>
      <c r="P37" s="45">
        <f t="shared" si="7"/>
        <v>6.3333333333333325E-2</v>
      </c>
      <c r="Q37" s="45">
        <f t="shared" si="7"/>
        <v>5.6666666666666657E-2</v>
      </c>
      <c r="R37" s="45">
        <f t="shared" si="7"/>
        <v>4.9999999999999989E-2</v>
      </c>
      <c r="S37" s="45">
        <f t="shared" si="7"/>
        <v>4.3333333333333321E-2</v>
      </c>
      <c r="T37" s="45">
        <f t="shared" si="7"/>
        <v>3.6666666666666653E-2</v>
      </c>
      <c r="U37" s="44">
        <f>H11</f>
        <v>0.03</v>
      </c>
    </row>
    <row r="38" spans="1:21" ht="16" customHeight="1" x14ac:dyDescent="0.2">
      <c r="B38" s="5" t="s">
        <v>14</v>
      </c>
      <c r="J38" s="42"/>
      <c r="K38" s="46">
        <f>'Financials + KPIs'!X29</f>
        <v>5.7515904498166348E-2</v>
      </c>
      <c r="L38" s="44">
        <f>L10</f>
        <v>0.11</v>
      </c>
      <c r="M38" s="45">
        <f>L38-($L$38-$U$38)/($U$33-$L$33)</f>
        <v>0.10222222222222223</v>
      </c>
      <c r="N38" s="45">
        <f t="shared" ref="N38:T38" si="8">M38-($L$38-$U$38)/($U$33-$L$33)</f>
        <v>9.4444444444444456E-2</v>
      </c>
      <c r="O38" s="45">
        <f t="shared" si="8"/>
        <v>8.6666666666666684E-2</v>
      </c>
      <c r="P38" s="45">
        <f t="shared" si="8"/>
        <v>7.8888888888888911E-2</v>
      </c>
      <c r="Q38" s="45">
        <f t="shared" si="8"/>
        <v>7.1111111111111139E-2</v>
      </c>
      <c r="R38" s="45">
        <f t="shared" si="8"/>
        <v>6.3333333333333366E-2</v>
      </c>
      <c r="S38" s="45">
        <f t="shared" si="8"/>
        <v>5.5555555555555587E-2</v>
      </c>
      <c r="T38" s="45">
        <f t="shared" si="8"/>
        <v>4.7777777777777808E-2</v>
      </c>
      <c r="U38" s="44">
        <f>L11</f>
        <v>0.04</v>
      </c>
    </row>
    <row r="39" spans="1:21" ht="16" customHeight="1" x14ac:dyDescent="0.2">
      <c r="B39" s="5" t="s">
        <v>40</v>
      </c>
      <c r="J39" s="42"/>
      <c r="K39" s="43">
        <f>K38*P9</f>
        <v>6.901908539779962E-2</v>
      </c>
      <c r="L39" s="44">
        <f>P10</f>
        <v>0.13</v>
      </c>
      <c r="M39" s="45">
        <f>L39-($L$39-$U$39)/($U$33-$L$33)</f>
        <v>0.12111111111111111</v>
      </c>
      <c r="N39" s="45">
        <f t="shared" ref="N39:T39" si="9">M39-($L$39-$U$39)/($U$33-$L$33)</f>
        <v>0.11222222222222222</v>
      </c>
      <c r="O39" s="45">
        <f t="shared" si="9"/>
        <v>0.10333333333333333</v>
      </c>
      <c r="P39" s="45">
        <f t="shared" si="9"/>
        <v>9.4444444444444442E-2</v>
      </c>
      <c r="Q39" s="45">
        <f t="shared" si="9"/>
        <v>8.5555555555555551E-2</v>
      </c>
      <c r="R39" s="45">
        <f t="shared" si="9"/>
        <v>7.6666666666666661E-2</v>
      </c>
      <c r="S39" s="45">
        <f t="shared" si="9"/>
        <v>6.777777777777777E-2</v>
      </c>
      <c r="T39" s="45">
        <f t="shared" si="9"/>
        <v>5.888888888888888E-2</v>
      </c>
      <c r="U39" s="44">
        <f>P11</f>
        <v>0.05</v>
      </c>
    </row>
    <row r="40" spans="1:21" ht="16" customHeight="1" x14ac:dyDescent="0.2">
      <c r="B40" s="5" t="s">
        <v>36</v>
      </c>
      <c r="J40" s="42"/>
      <c r="K40" s="48"/>
      <c r="L40" s="49"/>
      <c r="M40" s="49"/>
      <c r="N40" s="49"/>
      <c r="O40" s="49"/>
      <c r="P40" s="49"/>
      <c r="Q40" s="49"/>
      <c r="R40" s="49"/>
      <c r="S40" s="49"/>
      <c r="T40" s="49"/>
      <c r="U40" s="49"/>
    </row>
    <row r="41" spans="1:21" ht="16" customHeight="1" x14ac:dyDescent="0.2">
      <c r="J41" s="42"/>
    </row>
    <row r="42" spans="1:21" ht="16" customHeight="1" x14ac:dyDescent="0.2">
      <c r="B42" s="16" t="s">
        <v>144</v>
      </c>
      <c r="E42" s="36">
        <f>'Financials + KPIs'!R4+'Financials + KPIs'!R6</f>
        <v>8628</v>
      </c>
      <c r="F42" s="36">
        <f>'Financials + KPIs'!S4+'Financials + KPIs'!S6</f>
        <v>9971</v>
      </c>
      <c r="G42" s="36">
        <f>'Financials + KPIs'!T4+'Financials + KPIs'!T6</f>
        <v>11646</v>
      </c>
      <c r="H42" s="36">
        <f>'Financials + KPIs'!U4+'Financials + KPIs'!U6</f>
        <v>12407</v>
      </c>
      <c r="I42" s="36">
        <f>'Financials + KPIs'!V4+'Financials + KPIs'!V6</f>
        <v>14467</v>
      </c>
      <c r="J42" s="37">
        <f>'Financials + KPIs'!W4+'Financials + KPIs'!W6</f>
        <v>16429</v>
      </c>
      <c r="K42" s="50">
        <f ca="1">J42*(1+K43)</f>
        <v>17286.761203544178</v>
      </c>
      <c r="L42" s="38">
        <f t="shared" ref="L42:U42" ca="1" si="10">K42*(1+L43)</f>
        <v>19534.040160004919</v>
      </c>
      <c r="M42" s="38">
        <f t="shared" ca="1" si="10"/>
        <v>21878.12497920551</v>
      </c>
      <c r="N42" s="38">
        <f t="shared" ca="1" si="10"/>
        <v>24284.71872691812</v>
      </c>
      <c r="O42" s="38">
        <f t="shared" ca="1" si="10"/>
        <v>26713.190599609934</v>
      </c>
      <c r="P42" s="38">
        <f t="shared" ca="1" si="10"/>
        <v>29117.37775357483</v>
      </c>
      <c r="Q42" s="38">
        <f t="shared" ca="1" si="10"/>
        <v>31446.76797386082</v>
      </c>
      <c r="R42" s="38">
        <f t="shared" ca="1" si="10"/>
        <v>33648.041732031081</v>
      </c>
      <c r="S42" s="38">
        <f t="shared" ca="1" si="10"/>
        <v>35666.924235952945</v>
      </c>
      <c r="T42" s="38">
        <f t="shared" ca="1" si="10"/>
        <v>37450.270447750598</v>
      </c>
      <c r="U42" s="38">
        <f t="shared" ca="1" si="10"/>
        <v>38948.281265660626</v>
      </c>
    </row>
    <row r="43" spans="1:21" s="39" customFormat="1" ht="16" customHeight="1" x14ac:dyDescent="0.2">
      <c r="B43" s="39" t="s">
        <v>39</v>
      </c>
      <c r="F43" s="40">
        <f>F42/E42-1</f>
        <v>0.1556560037088548</v>
      </c>
      <c r="G43" s="40">
        <f t="shared" ref="F43:H43" si="11">G42/F42-1</f>
        <v>0.16798716277203884</v>
      </c>
      <c r="H43" s="40">
        <f t="shared" si="11"/>
        <v>6.5344324231495721E-2</v>
      </c>
      <c r="I43" s="40">
        <f>I42/H42-1</f>
        <v>0.16603530265172894</v>
      </c>
      <c r="J43" s="41">
        <f>J42/I42-1</f>
        <v>0.1356189949540334</v>
      </c>
      <c r="K43" s="40">
        <f ca="1">OFFSET(K43,$D$12,0)</f>
        <v>5.2210189515136562E-2</v>
      </c>
      <c r="L43" s="40">
        <f ca="1">OFFSET(L43,$D$12,0)</f>
        <v>0.13</v>
      </c>
      <c r="M43" s="40">
        <f t="shared" ref="L43:U43" ca="1" si="12">OFFSET(M43,$D$12,0)</f>
        <v>0.12000000000000001</v>
      </c>
      <c r="N43" s="40">
        <f t="shared" ca="1" si="12"/>
        <v>0.11000000000000001</v>
      </c>
      <c r="O43" s="40">
        <f t="shared" ca="1" si="12"/>
        <v>0.10000000000000002</v>
      </c>
      <c r="P43" s="40">
        <f t="shared" ca="1" si="12"/>
        <v>9.0000000000000024E-2</v>
      </c>
      <c r="Q43" s="40">
        <f t="shared" ca="1" si="12"/>
        <v>8.0000000000000029E-2</v>
      </c>
      <c r="R43" s="40">
        <f t="shared" ca="1" si="12"/>
        <v>7.0000000000000034E-2</v>
      </c>
      <c r="S43" s="40">
        <f t="shared" ca="1" si="12"/>
        <v>6.0000000000000032E-2</v>
      </c>
      <c r="T43" s="40">
        <f t="shared" ca="1" si="12"/>
        <v>5.0000000000000031E-2</v>
      </c>
      <c r="U43" s="40">
        <f t="shared" ca="1" si="12"/>
        <v>0.04</v>
      </c>
    </row>
    <row r="44" spans="1:21" ht="16" customHeight="1" x14ac:dyDescent="0.2">
      <c r="B44" s="5" t="s">
        <v>3</v>
      </c>
      <c r="J44" s="42"/>
      <c r="K44" s="43">
        <f>K45*H12</f>
        <v>3.6547132660595588E-2</v>
      </c>
      <c r="L44" s="44">
        <f>H13</f>
        <v>0.11</v>
      </c>
      <c r="M44" s="45">
        <f>L44-($L$44-$U$44)/($U$33-$L$33)</f>
        <v>0.10111111111111111</v>
      </c>
      <c r="N44" s="45">
        <f t="shared" ref="N44:T44" si="13">M44-($L$44-$U$44)/($U$33-$L$33)</f>
        <v>9.2222222222222219E-2</v>
      </c>
      <c r="O44" s="45">
        <f t="shared" si="13"/>
        <v>8.3333333333333329E-2</v>
      </c>
      <c r="P44" s="45">
        <f t="shared" si="13"/>
        <v>7.4444444444444438E-2</v>
      </c>
      <c r="Q44" s="45">
        <f t="shared" si="13"/>
        <v>6.5555555555555547E-2</v>
      </c>
      <c r="R44" s="45">
        <f t="shared" si="13"/>
        <v>5.6666666666666657E-2</v>
      </c>
      <c r="S44" s="45">
        <f t="shared" si="13"/>
        <v>4.7777777777777766E-2</v>
      </c>
      <c r="T44" s="45">
        <f t="shared" si="13"/>
        <v>3.8888888888888876E-2</v>
      </c>
      <c r="U44" s="44">
        <f>H14</f>
        <v>0.03</v>
      </c>
    </row>
    <row r="45" spans="1:21" ht="16" customHeight="1" x14ac:dyDescent="0.2">
      <c r="B45" s="5" t="s">
        <v>14</v>
      </c>
      <c r="J45" s="42"/>
      <c r="K45" s="46">
        <f>'Financials + KPIs'!K56</f>
        <v>5.2210189515136562E-2</v>
      </c>
      <c r="L45" s="44">
        <f>L13</f>
        <v>0.13</v>
      </c>
      <c r="M45" s="45">
        <f>L45-($L$45-$U$45)/($U$33-$L$33)</f>
        <v>0.12000000000000001</v>
      </c>
      <c r="N45" s="45">
        <f t="shared" ref="N45:T45" si="14">M45-($L$45-$U$45)/($U$33-$L$33)</f>
        <v>0.11000000000000001</v>
      </c>
      <c r="O45" s="45">
        <f t="shared" si="14"/>
        <v>0.10000000000000002</v>
      </c>
      <c r="P45" s="45">
        <f t="shared" si="14"/>
        <v>9.0000000000000024E-2</v>
      </c>
      <c r="Q45" s="45">
        <f t="shared" si="14"/>
        <v>8.0000000000000029E-2</v>
      </c>
      <c r="R45" s="45">
        <f t="shared" si="14"/>
        <v>7.0000000000000034E-2</v>
      </c>
      <c r="S45" s="45">
        <f t="shared" si="14"/>
        <v>6.0000000000000032E-2</v>
      </c>
      <c r="T45" s="45">
        <f t="shared" si="14"/>
        <v>5.0000000000000031E-2</v>
      </c>
      <c r="U45" s="44">
        <f>L14</f>
        <v>0.04</v>
      </c>
    </row>
    <row r="46" spans="1:21" ht="16" customHeight="1" x14ac:dyDescent="0.2">
      <c r="B46" s="5" t="s">
        <v>40</v>
      </c>
      <c r="J46" s="42"/>
      <c r="K46" s="43">
        <f>K45*P12</f>
        <v>6.7873246369677537E-2</v>
      </c>
      <c r="L46" s="44">
        <f>P13</f>
        <v>0.15</v>
      </c>
      <c r="M46" s="45">
        <f>L46-($L$46-$U$46)/($U$33-$L$33)</f>
        <v>0.1388888888888889</v>
      </c>
      <c r="N46" s="45">
        <f t="shared" ref="N46:T46" si="15">M46-($L$46-$U$46)/($U$33-$L$33)</f>
        <v>0.1277777777777778</v>
      </c>
      <c r="O46" s="45">
        <f t="shared" si="15"/>
        <v>0.11666666666666668</v>
      </c>
      <c r="P46" s="45">
        <f t="shared" si="15"/>
        <v>0.10555555555555557</v>
      </c>
      <c r="Q46" s="45">
        <f t="shared" si="15"/>
        <v>9.4444444444444456E-2</v>
      </c>
      <c r="R46" s="45">
        <f t="shared" si="15"/>
        <v>8.3333333333333343E-2</v>
      </c>
      <c r="S46" s="45">
        <f t="shared" si="15"/>
        <v>7.2222222222222229E-2</v>
      </c>
      <c r="T46" s="45">
        <f t="shared" si="15"/>
        <v>6.1111111111111116E-2</v>
      </c>
      <c r="U46" s="44">
        <f>P14</f>
        <v>0.05</v>
      </c>
    </row>
    <row r="47" spans="1:21" ht="16" customHeight="1" x14ac:dyDescent="0.2">
      <c r="B47" s="5" t="s">
        <v>36</v>
      </c>
      <c r="J47" s="42"/>
      <c r="K47" s="48"/>
      <c r="L47" s="49"/>
      <c r="M47" s="49"/>
      <c r="N47" s="49"/>
      <c r="O47" s="49"/>
      <c r="P47" s="49"/>
      <c r="Q47" s="49"/>
      <c r="R47" s="49"/>
      <c r="S47" s="49"/>
      <c r="T47" s="49"/>
      <c r="U47" s="49"/>
    </row>
    <row r="48" spans="1:21" ht="16" customHeight="1" x14ac:dyDescent="0.2">
      <c r="J48" s="42"/>
    </row>
    <row r="49" spans="2:21" ht="16" customHeight="1" x14ac:dyDescent="0.2">
      <c r="B49" s="16" t="s">
        <v>135</v>
      </c>
      <c r="E49" s="36">
        <f>'Financials + KPIs'!R5</f>
        <v>6321</v>
      </c>
      <c r="F49" s="36">
        <f>'Financials + KPIs'!S5</f>
        <v>7211</v>
      </c>
      <c r="G49" s="36">
        <f>'Financials + KPIs'!T5</f>
        <v>7804</v>
      </c>
      <c r="H49" s="36">
        <f>'Financials + KPIs'!U5</f>
        <v>6299</v>
      </c>
      <c r="I49" s="36">
        <f>'Financials + KPIs'!V5</f>
        <v>6530</v>
      </c>
      <c r="J49" s="37">
        <f>'Financials + KPIs'!W5</f>
        <v>9815</v>
      </c>
      <c r="K49" s="50">
        <f ca="1">J49*(1+K50)</f>
        <v>12081.55</v>
      </c>
      <c r="L49" s="38">
        <f t="shared" ref="L49" ca="1" si="16">K49*(1+L50)</f>
        <v>13531.336000000001</v>
      </c>
      <c r="M49" s="38">
        <f t="shared" ref="M49" ca="1" si="17">L49*(1+M50)</f>
        <v>15012.265551111113</v>
      </c>
      <c r="N49" s="38">
        <f t="shared" ref="N49" ca="1" si="18">M49*(1+N50)</f>
        <v>16496.811811165433</v>
      </c>
      <c r="O49" s="38">
        <f t="shared" ref="O49" ca="1" si="19">N49*(1+O50)</f>
        <v>17954.030187818382</v>
      </c>
      <c r="P49" s="38">
        <f t="shared" ref="P49" ca="1" si="20">O49*(1+P50)</f>
        <v>19350.454757982032</v>
      </c>
      <c r="Q49" s="38">
        <f t="shared" ref="Q49" ca="1" si="21">P49*(1+Q50)</f>
        <v>20651.235327824157</v>
      </c>
      <c r="R49" s="38">
        <f t="shared" ref="R49" ca="1" si="22">Q49*(1+R50)</f>
        <v>21821.471996400858</v>
      </c>
      <c r="S49" s="38">
        <f t="shared" ref="S49" ca="1" si="23">R49*(1+S50)</f>
        <v>22827.6843162349</v>
      </c>
      <c r="T49" s="38">
        <f t="shared" ref="T49" ca="1" si="24">S49*(1+T50)</f>
        <v>23639.335314145475</v>
      </c>
      <c r="U49" s="38">
        <f t="shared" ref="U49" ca="1" si="25">T49*(1+U50)</f>
        <v>24230.318696999111</v>
      </c>
    </row>
    <row r="50" spans="2:21" s="39" customFormat="1" ht="16" customHeight="1" x14ac:dyDescent="0.2">
      <c r="B50" s="39" t="s">
        <v>39</v>
      </c>
      <c r="F50" s="40">
        <f t="shared" ref="F50" si="26">F49/E49-1</f>
        <v>0.14080050624901119</v>
      </c>
      <c r="G50" s="40">
        <f t="shared" ref="G50" si="27">G49/F49-1</f>
        <v>8.223547358202743E-2</v>
      </c>
      <c r="H50" s="40">
        <f t="shared" ref="H50" si="28">H49/G49-1</f>
        <v>-0.19284982060481803</v>
      </c>
      <c r="I50" s="40">
        <f>I49/H49-1</f>
        <v>3.6672487696459699E-2</v>
      </c>
      <c r="J50" s="41">
        <f>J49/I49-1</f>
        <v>0.50306278713629404</v>
      </c>
      <c r="K50" s="40">
        <f ca="1">OFFSET(K50,$D$15,0)</f>
        <v>0.23092715231788064</v>
      </c>
      <c r="L50" s="40">
        <f t="shared" ref="L50:U50" ca="1" si="29">OFFSET(L50,$D$15,0)</f>
        <v>0.12</v>
      </c>
      <c r="M50" s="40">
        <f t="shared" ca="1" si="29"/>
        <v>0.10944444444444444</v>
      </c>
      <c r="N50" s="40">
        <f t="shared" ca="1" si="29"/>
        <v>9.8888888888888887E-2</v>
      </c>
      <c r="O50" s="40">
        <f t="shared" ca="1" si="29"/>
        <v>8.8333333333333333E-2</v>
      </c>
      <c r="P50" s="40">
        <f t="shared" ca="1" si="29"/>
        <v>7.7777777777777779E-2</v>
      </c>
      <c r="Q50" s="40">
        <f t="shared" ca="1" si="29"/>
        <v>6.7222222222222225E-2</v>
      </c>
      <c r="R50" s="40">
        <f t="shared" ca="1" si="29"/>
        <v>5.6666666666666671E-2</v>
      </c>
      <c r="S50" s="40">
        <f t="shared" ca="1" si="29"/>
        <v>4.6111111111111117E-2</v>
      </c>
      <c r="T50" s="40">
        <f t="shared" ca="1" si="29"/>
        <v>3.5555555555555562E-2</v>
      </c>
      <c r="U50" s="40">
        <f t="shared" ca="1" si="29"/>
        <v>2.5000000000000001E-2</v>
      </c>
    </row>
    <row r="51" spans="2:21" ht="16" customHeight="1" x14ac:dyDescent="0.2">
      <c r="B51" s="5" t="s">
        <v>3</v>
      </c>
      <c r="J51" s="42"/>
      <c r="K51" s="43">
        <f>K52*H15</f>
        <v>0.18474172185430451</v>
      </c>
      <c r="L51" s="44">
        <f>H16</f>
        <v>0.09</v>
      </c>
      <c r="M51" s="45">
        <f>L51-($L$51-$U$51)/($U$33-$L$33)</f>
        <v>8.2222222222222224E-2</v>
      </c>
      <c r="N51" s="45">
        <f t="shared" ref="N51:T51" si="30">M51-($L$51-$U$51)/($U$33-$L$33)</f>
        <v>7.4444444444444452E-2</v>
      </c>
      <c r="O51" s="45">
        <f t="shared" si="30"/>
        <v>6.666666666666668E-2</v>
      </c>
      <c r="P51" s="45">
        <f t="shared" si="30"/>
        <v>5.88888888888889E-2</v>
      </c>
      <c r="Q51" s="45">
        <f t="shared" si="30"/>
        <v>5.1111111111111121E-2</v>
      </c>
      <c r="R51" s="45">
        <f t="shared" si="30"/>
        <v>4.3333333333333342E-2</v>
      </c>
      <c r="S51" s="45">
        <f t="shared" si="30"/>
        <v>3.5555555555555562E-2</v>
      </c>
      <c r="T51" s="45">
        <f t="shared" si="30"/>
        <v>2.7777777777777787E-2</v>
      </c>
      <c r="U51" s="44">
        <f>H17</f>
        <v>0.02</v>
      </c>
    </row>
    <row r="52" spans="2:21" ht="16" customHeight="1" x14ac:dyDescent="0.2">
      <c r="B52" s="5" t="s">
        <v>14</v>
      </c>
      <c r="J52" s="42"/>
      <c r="K52" s="46">
        <f>'Financials + KPIs'!X31</f>
        <v>0.23092715231788064</v>
      </c>
      <c r="L52" s="44">
        <f>L16</f>
        <v>0.12</v>
      </c>
      <c r="M52" s="45">
        <f>L52-($L$52-$U$52)/($U$33-$L$33)</f>
        <v>0.10944444444444444</v>
      </c>
      <c r="N52" s="45">
        <f t="shared" ref="N52:T52" si="31">M52-($L$52-$U$52)/($U$33-$L$33)</f>
        <v>9.8888888888888887E-2</v>
      </c>
      <c r="O52" s="45">
        <f t="shared" si="31"/>
        <v>8.8333333333333333E-2</v>
      </c>
      <c r="P52" s="45">
        <f t="shared" si="31"/>
        <v>7.7777777777777779E-2</v>
      </c>
      <c r="Q52" s="45">
        <f t="shared" si="31"/>
        <v>6.7222222222222225E-2</v>
      </c>
      <c r="R52" s="45">
        <f t="shared" si="31"/>
        <v>5.6666666666666671E-2</v>
      </c>
      <c r="S52" s="45">
        <f t="shared" si="31"/>
        <v>4.6111111111111117E-2</v>
      </c>
      <c r="T52" s="45">
        <f t="shared" si="31"/>
        <v>3.5555555555555562E-2</v>
      </c>
      <c r="U52" s="47">
        <f>L17</f>
        <v>2.5000000000000001E-2</v>
      </c>
    </row>
    <row r="53" spans="2:21" ht="16" customHeight="1" x14ac:dyDescent="0.2">
      <c r="B53" s="5" t="s">
        <v>40</v>
      </c>
      <c r="J53" s="42"/>
      <c r="K53" s="43">
        <f>K52*P15</f>
        <v>0.27711258278145673</v>
      </c>
      <c r="L53" s="44">
        <f>P16</f>
        <v>0.15</v>
      </c>
      <c r="M53" s="45">
        <f>L53-($L$53-$U$53)/($U$33-$L$33)</f>
        <v>0.13666666666666666</v>
      </c>
      <c r="N53" s="45">
        <f t="shared" ref="N53:T53" si="32">M53-($L$53-$U$53)/($U$33-$L$33)</f>
        <v>0.12333333333333332</v>
      </c>
      <c r="O53" s="45">
        <f t="shared" si="32"/>
        <v>0.10999999999999999</v>
      </c>
      <c r="P53" s="45">
        <f t="shared" si="32"/>
        <v>9.6666666666666651E-2</v>
      </c>
      <c r="Q53" s="45">
        <f t="shared" si="32"/>
        <v>8.3333333333333315E-2</v>
      </c>
      <c r="R53" s="45">
        <f t="shared" si="32"/>
        <v>6.9999999999999979E-2</v>
      </c>
      <c r="S53" s="45">
        <f t="shared" si="32"/>
        <v>5.6666666666666643E-2</v>
      </c>
      <c r="T53" s="45">
        <f t="shared" si="32"/>
        <v>4.3333333333333307E-2</v>
      </c>
      <c r="U53" s="44">
        <f>P17</f>
        <v>0.03</v>
      </c>
    </row>
    <row r="54" spans="2:21" ht="16" customHeight="1" x14ac:dyDescent="0.2">
      <c r="B54" s="5" t="s">
        <v>36</v>
      </c>
      <c r="J54" s="42"/>
      <c r="K54" s="48"/>
      <c r="L54" s="49"/>
      <c r="M54" s="49"/>
      <c r="N54" s="49"/>
      <c r="O54" s="49"/>
      <c r="P54" s="49"/>
      <c r="Q54" s="49"/>
      <c r="R54" s="49"/>
      <c r="S54" s="49"/>
      <c r="T54" s="49"/>
      <c r="U54" s="49"/>
    </row>
    <row r="55" spans="2:21" ht="16" customHeight="1" x14ac:dyDescent="0.2">
      <c r="J55" s="42"/>
    </row>
    <row r="56" spans="2:21" ht="16" customHeight="1" x14ac:dyDescent="0.2">
      <c r="B56" s="16" t="s">
        <v>143</v>
      </c>
      <c r="E56" s="36">
        <f>'Financials + KPIs'!R7</f>
        <v>-4565</v>
      </c>
      <c r="F56" s="36">
        <f>'Financials + KPIs'!S7</f>
        <v>-5491</v>
      </c>
      <c r="G56" s="36">
        <f>'Financials + KPIs'!T7</f>
        <v>-6173</v>
      </c>
      <c r="H56" s="36">
        <f>'Financials + KPIs'!U7</f>
        <v>-6664</v>
      </c>
      <c r="I56" s="36">
        <f>'Financials + KPIs'!V7</f>
        <v>-8367</v>
      </c>
      <c r="J56" s="37">
        <f>'Financials + KPIs'!W7</f>
        <v>-10297</v>
      </c>
      <c r="K56" s="50">
        <f ca="1">J56*(1+K57)</f>
        <v>-11443.876000000002</v>
      </c>
      <c r="L56" s="38">
        <f t="shared" ref="L56:U56" ca="1" si="33">K56*(1+L57)</f>
        <v>-12648.248537059188</v>
      </c>
      <c r="M56" s="38">
        <f t="shared" ca="1" si="33"/>
        <v>-13901.736766952519</v>
      </c>
      <c r="N56" s="38">
        <f t="shared" ca="1" si="33"/>
        <v>-15194.121979322577</v>
      </c>
      <c r="O56" s="38">
        <f t="shared" ca="1" si="33"/>
        <v>-16513.393785083113</v>
      </c>
      <c r="P56" s="38">
        <f t="shared" ca="1" si="33"/>
        <v>-17845.856434442689</v>
      </c>
      <c r="Q56" s="38">
        <f t="shared" ca="1" si="33"/>
        <v>-19176.298047418008</v>
      </c>
      <c r="R56" s="38">
        <f t="shared" ca="1" si="33"/>
        <v>-20488.223145468739</v>
      </c>
      <c r="S56" s="38">
        <f t="shared" ca="1" si="33"/>
        <v>-21764.146194006389</v>
      </c>
      <c r="T56" s="38">
        <f t="shared" ca="1" si="33"/>
        <v>-22985.941017180663</v>
      </c>
      <c r="U56" s="38">
        <f t="shared" ca="1" si="33"/>
        <v>-24135.238068039696</v>
      </c>
    </row>
    <row r="57" spans="2:21" s="39" customFormat="1" ht="16" customHeight="1" x14ac:dyDescent="0.2">
      <c r="B57" s="39" t="s">
        <v>39</v>
      </c>
      <c r="F57" s="40">
        <f t="shared" ref="F57:H57" si="34">F56/E56-1</f>
        <v>0.20284775465498361</v>
      </c>
      <c r="G57" s="40">
        <f t="shared" si="34"/>
        <v>0.12420324166818419</v>
      </c>
      <c r="H57" s="40">
        <f t="shared" si="34"/>
        <v>7.9539931961768895E-2</v>
      </c>
      <c r="I57" s="40">
        <f>I56/H56-1</f>
        <v>0.25555222088835539</v>
      </c>
      <c r="J57" s="41">
        <f>J56/I56-1</f>
        <v>0.23066810087247513</v>
      </c>
      <c r="K57" s="40">
        <f ca="1">OFFSET(K57,$D$18,0)</f>
        <v>0.11137962513353425</v>
      </c>
      <c r="L57" s="40">
        <f t="shared" ref="L57:U57" ca="1" si="35">OFFSET(L57,$D$18,0)</f>
        <v>0.10524166262018082</v>
      </c>
      <c r="M57" s="40">
        <f t="shared" ca="1" si="35"/>
        <v>9.9103700106827397E-2</v>
      </c>
      <c r="N57" s="40">
        <f t="shared" ca="1" si="35"/>
        <v>9.2965737593473971E-2</v>
      </c>
      <c r="O57" s="40">
        <f t="shared" ca="1" si="35"/>
        <v>8.6827775080120545E-2</v>
      </c>
      <c r="P57" s="40">
        <f t="shared" ca="1" si="35"/>
        <v>8.0689812566767119E-2</v>
      </c>
      <c r="Q57" s="40">
        <f t="shared" ca="1" si="35"/>
        <v>7.4551850053413693E-2</v>
      </c>
      <c r="R57" s="40">
        <f t="shared" ca="1" si="35"/>
        <v>6.8413887540060267E-2</v>
      </c>
      <c r="S57" s="40">
        <f t="shared" ca="1" si="35"/>
        <v>6.2275925026706841E-2</v>
      </c>
      <c r="T57" s="40">
        <f t="shared" ca="1" si="35"/>
        <v>5.6137962513353415E-2</v>
      </c>
      <c r="U57" s="40">
        <f t="shared" ca="1" si="35"/>
        <v>0.05</v>
      </c>
    </row>
    <row r="58" spans="2:21" ht="16" customHeight="1" x14ac:dyDescent="0.2">
      <c r="B58" s="5" t="s">
        <v>3</v>
      </c>
      <c r="J58" s="42"/>
      <c r="K58" s="43">
        <f>K59*H18</f>
        <v>0.11137962513353425</v>
      </c>
      <c r="L58" s="45">
        <f>K58-($K$58-$U$58)/($U$33-$K$33)</f>
        <v>0.10524166262018082</v>
      </c>
      <c r="M58" s="45">
        <f t="shared" ref="M58:T58" si="36">L58-($K$58-$U$58)/($U$33-$K$33)</f>
        <v>9.9103700106827397E-2</v>
      </c>
      <c r="N58" s="45">
        <f t="shared" si="36"/>
        <v>9.2965737593473971E-2</v>
      </c>
      <c r="O58" s="45">
        <f t="shared" si="36"/>
        <v>8.6827775080120545E-2</v>
      </c>
      <c r="P58" s="45">
        <f t="shared" si="36"/>
        <v>8.0689812566767119E-2</v>
      </c>
      <c r="Q58" s="45">
        <f t="shared" si="36"/>
        <v>7.4551850053413693E-2</v>
      </c>
      <c r="R58" s="45">
        <f t="shared" si="36"/>
        <v>6.8413887540060267E-2</v>
      </c>
      <c r="S58" s="45">
        <f t="shared" si="36"/>
        <v>6.2275925026706841E-2</v>
      </c>
      <c r="T58" s="45">
        <f t="shared" si="36"/>
        <v>5.6137962513353415E-2</v>
      </c>
      <c r="U58" s="44">
        <f>H19</f>
        <v>0.05</v>
      </c>
    </row>
    <row r="59" spans="2:21" ht="16" customHeight="1" x14ac:dyDescent="0.2">
      <c r="B59" s="5" t="s">
        <v>14</v>
      </c>
      <c r="J59" s="42"/>
      <c r="K59" s="46">
        <f>'Financials + KPIs'!X33</f>
        <v>9.2816354277945212E-2</v>
      </c>
      <c r="L59" s="171">
        <f ca="1">SUM(L49,L42,L35)/(SUM(K35,K42,K49))-1</f>
        <v>0.12072585109313283</v>
      </c>
      <c r="M59" s="171">
        <f t="shared" ref="M59:U59" ca="1" si="37">SUM(M49,M42,M35)/(SUM(L35,L42,L49))-1</f>
        <v>0.11135056000569477</v>
      </c>
      <c r="N59" s="171">
        <f t="shared" ca="1" si="37"/>
        <v>0.10195769026418033</v>
      </c>
      <c r="O59" s="171">
        <f t="shared" ca="1" si="37"/>
        <v>9.2550826451574641E-2</v>
      </c>
      <c r="P59" s="171">
        <f t="shared" ca="1" si="37"/>
        <v>8.3133548149935121E-2</v>
      </c>
      <c r="Q59" s="171">
        <f t="shared" ca="1" si="37"/>
        <v>7.3709439667089427E-2</v>
      </c>
      <c r="R59" s="171">
        <f t="shared" ca="1" si="37"/>
        <v>6.4282101053862561E-2</v>
      </c>
      <c r="S59" s="171">
        <f t="shared" ca="1" si="37"/>
        <v>5.485516027318238E-2</v>
      </c>
      <c r="T59" s="171">
        <f t="shared" ca="1" si="37"/>
        <v>4.5432286383964682E-2</v>
      </c>
      <c r="U59" s="171">
        <f t="shared" ca="1" si="37"/>
        <v>3.6017203598830427E-2</v>
      </c>
    </row>
    <row r="60" spans="2:21" ht="16" customHeight="1" x14ac:dyDescent="0.2">
      <c r="B60" s="5" t="s">
        <v>40</v>
      </c>
      <c r="J60" s="42"/>
      <c r="K60" s="43">
        <f>K59*P18</f>
        <v>7.4253083422356175E-2</v>
      </c>
      <c r="L60" s="45">
        <f ca="1">L59*$P$18</f>
        <v>9.6580680874506275E-2</v>
      </c>
      <c r="M60" s="45">
        <f t="shared" ref="M60:U60" ca="1" si="38">M59*$P$18</f>
        <v>8.9080448004555821E-2</v>
      </c>
      <c r="N60" s="45">
        <f t="shared" ca="1" si="38"/>
        <v>8.1566152211344278E-2</v>
      </c>
      <c r="O60" s="45">
        <f t="shared" ca="1" si="38"/>
        <v>7.4040661161259722E-2</v>
      </c>
      <c r="P60" s="45">
        <f t="shared" ca="1" si="38"/>
        <v>6.6506838519948097E-2</v>
      </c>
      <c r="Q60" s="45">
        <f t="shared" ca="1" si="38"/>
        <v>5.8967551733671547E-2</v>
      </c>
      <c r="R60" s="45">
        <f t="shared" ca="1" si="38"/>
        <v>5.1425680843090051E-2</v>
      </c>
      <c r="S60" s="45">
        <f t="shared" ca="1" si="38"/>
        <v>4.3884128218545905E-2</v>
      </c>
      <c r="T60" s="45">
        <f t="shared" ca="1" si="38"/>
        <v>3.6345829107171747E-2</v>
      </c>
      <c r="U60" s="45">
        <f ca="1">U59*$P$18</f>
        <v>2.8813762879064342E-2</v>
      </c>
    </row>
    <row r="61" spans="2:21" ht="16" customHeight="1" x14ac:dyDescent="0.2">
      <c r="B61" s="5" t="s">
        <v>36</v>
      </c>
      <c r="J61" s="42"/>
      <c r="K61" s="48"/>
      <c r="L61" s="49"/>
      <c r="M61" s="49"/>
      <c r="N61" s="49"/>
      <c r="O61" s="49"/>
      <c r="P61" s="49"/>
      <c r="Q61" s="49"/>
      <c r="R61" s="49"/>
      <c r="S61" s="49"/>
      <c r="T61" s="49"/>
      <c r="U61" s="49"/>
    </row>
    <row r="62" spans="2:21" customFormat="1" ht="16" customHeight="1" x14ac:dyDescent="0.2">
      <c r="J62" s="51"/>
    </row>
    <row r="63" spans="2:21" ht="16" customHeight="1" x14ac:dyDescent="0.2">
      <c r="B63" s="52" t="s">
        <v>41</v>
      </c>
      <c r="C63" s="53"/>
      <c r="D63" s="53"/>
      <c r="E63" s="54">
        <f>E42+E35+E56+E49</f>
        <v>18359</v>
      </c>
      <c r="F63" s="54">
        <f t="shared" ref="F63:U63" si="39">F42+F35+F56+F49</f>
        <v>20609</v>
      </c>
      <c r="G63" s="54">
        <f t="shared" si="39"/>
        <v>22977</v>
      </c>
      <c r="H63" s="54">
        <f t="shared" si="39"/>
        <v>21846</v>
      </c>
      <c r="I63" s="54">
        <f t="shared" si="39"/>
        <v>24105</v>
      </c>
      <c r="J63" s="55">
        <f>J42+J35+J56+J49</f>
        <v>29308</v>
      </c>
      <c r="K63" s="54">
        <f t="shared" ca="1" si="39"/>
        <v>32053.905203544175</v>
      </c>
      <c r="L63" s="54">
        <f t="shared" ca="1" si="39"/>
        <v>36100.839322945736</v>
      </c>
      <c r="M63" s="54">
        <f t="shared" ca="1" si="39"/>
        <v>40275.589326030778</v>
      </c>
      <c r="N63" s="54">
        <f t="shared" ca="1" si="39"/>
        <v>44506.999146790607</v>
      </c>
      <c r="O63" s="54">
        <f t="shared" ca="1" si="39"/>
        <v>48713.115441337402</v>
      </c>
      <c r="P63" s="54">
        <f t="shared" ca="1" si="39"/>
        <v>52803.163937404664</v>
      </c>
      <c r="Q63" s="54">
        <f t="shared" ca="1" si="39"/>
        <v>56680.222029066994</v>
      </c>
      <c r="R63" s="54">
        <f t="shared" ca="1" si="39"/>
        <v>60244.513420167219</v>
      </c>
      <c r="S63" s="54">
        <f t="shared" ca="1" si="39"/>
        <v>63397.197575230151</v>
      </c>
      <c r="T63" s="54">
        <f t="shared" ca="1" si="39"/>
        <v>66044.477311023089</v>
      </c>
      <c r="U63" s="54">
        <f t="shared" ca="1" si="39"/>
        <v>68101.806963580035</v>
      </c>
    </row>
    <row r="64" spans="2:21" s="39" customFormat="1" ht="16" customHeight="1" x14ac:dyDescent="0.2">
      <c r="B64" s="39" t="s">
        <v>39</v>
      </c>
      <c r="F64" s="40">
        <f>F63/E63-1</f>
        <v>0.12255569475461625</v>
      </c>
      <c r="G64" s="40">
        <f t="shared" ref="G64:U64" si="40">G63/F63-1</f>
        <v>0.1149012567324954</v>
      </c>
      <c r="H64" s="40">
        <f t="shared" si="40"/>
        <v>-4.92231361796579E-2</v>
      </c>
      <c r="I64" s="40">
        <f t="shared" si="40"/>
        <v>0.10340565778632249</v>
      </c>
      <c r="J64" s="41">
        <f t="shared" si="40"/>
        <v>0.21584733457788841</v>
      </c>
      <c r="K64" s="40">
        <f t="shared" ca="1" si="40"/>
        <v>9.3691319897099001E-2</v>
      </c>
      <c r="L64" s="40">
        <f t="shared" ca="1" si="40"/>
        <v>0.12625401160024952</v>
      </c>
      <c r="M64" s="40">
        <f t="shared" ca="1" si="40"/>
        <v>0.1156413557518472</v>
      </c>
      <c r="N64" s="40">
        <f t="shared" ca="1" si="40"/>
        <v>0.10506140050506962</v>
      </c>
      <c r="O64" s="40">
        <f t="shared" ca="1" si="40"/>
        <v>9.4504603212506089E-2</v>
      </c>
      <c r="P64" s="40">
        <f t="shared" ca="1" si="40"/>
        <v>8.3961956836710483E-2</v>
      </c>
      <c r="Q64" s="40">
        <f t="shared" ca="1" si="40"/>
        <v>7.3424730689592321E-2</v>
      </c>
      <c r="R64" s="40">
        <f t="shared" ca="1" si="40"/>
        <v>6.2884217166128353E-2</v>
      </c>
      <c r="S64" s="40">
        <f t="shared" ca="1" si="40"/>
        <v>5.2331473458420374E-2</v>
      </c>
      <c r="T64" s="40">
        <f t="shared" ca="1" si="40"/>
        <v>4.1757046636825779E-2</v>
      </c>
      <c r="U64" s="40">
        <f t="shared" ca="1" si="40"/>
        <v>3.1150669008528364E-2</v>
      </c>
    </row>
    <row r="65" spans="1:21" ht="16" customHeight="1" x14ac:dyDescent="0.2">
      <c r="J65" s="42"/>
    </row>
    <row r="66" spans="1:21" ht="16" customHeight="1" x14ac:dyDescent="0.2">
      <c r="A66" s="5" t="s">
        <v>10</v>
      </c>
      <c r="B66" s="12" t="s">
        <v>42</v>
      </c>
      <c r="C66" s="12"/>
      <c r="D66" s="12"/>
      <c r="E66" s="33">
        <v>2017</v>
      </c>
      <c r="F66" s="33">
        <f>E66+1</f>
        <v>2018</v>
      </c>
      <c r="G66" s="33">
        <f t="shared" ref="G66:J66" si="41">F66+1</f>
        <v>2019</v>
      </c>
      <c r="H66" s="33">
        <f t="shared" si="41"/>
        <v>2020</v>
      </c>
      <c r="I66" s="33">
        <f t="shared" si="41"/>
        <v>2021</v>
      </c>
      <c r="J66" s="33">
        <f t="shared" si="41"/>
        <v>2022</v>
      </c>
      <c r="K66" s="34">
        <v>2023</v>
      </c>
      <c r="L66" s="34">
        <f>K66+1</f>
        <v>2024</v>
      </c>
      <c r="M66" s="34">
        <f t="shared" ref="M66:U66" si="42">L66+1</f>
        <v>2025</v>
      </c>
      <c r="N66" s="34">
        <f t="shared" si="42"/>
        <v>2026</v>
      </c>
      <c r="O66" s="34">
        <f t="shared" si="42"/>
        <v>2027</v>
      </c>
      <c r="P66" s="34">
        <f t="shared" si="42"/>
        <v>2028</v>
      </c>
      <c r="Q66" s="34">
        <f t="shared" si="42"/>
        <v>2029</v>
      </c>
      <c r="R66" s="34">
        <f t="shared" si="42"/>
        <v>2030</v>
      </c>
      <c r="S66" s="34">
        <f t="shared" si="42"/>
        <v>2031</v>
      </c>
      <c r="T66" s="34">
        <f t="shared" si="42"/>
        <v>2032</v>
      </c>
      <c r="U66" s="34">
        <f t="shared" si="42"/>
        <v>2033</v>
      </c>
    </row>
    <row r="67" spans="1:21" ht="16" customHeight="1" x14ac:dyDescent="0.2">
      <c r="B67" s="12" t="s">
        <v>38</v>
      </c>
      <c r="C67" s="12"/>
      <c r="D67" s="12"/>
      <c r="E67" s="35">
        <f>EDATE(F67,-12)</f>
        <v>43008</v>
      </c>
      <c r="F67" s="35">
        <f t="shared" ref="F67:I67" si="43">EDATE(G67,-12)</f>
        <v>43373</v>
      </c>
      <c r="G67" s="35">
        <f t="shared" si="43"/>
        <v>43738</v>
      </c>
      <c r="H67" s="35">
        <f t="shared" si="43"/>
        <v>44104</v>
      </c>
      <c r="I67" s="35">
        <f t="shared" si="43"/>
        <v>44469</v>
      </c>
      <c r="J67" s="35">
        <f>EDATE(K67,-12)</f>
        <v>44834</v>
      </c>
      <c r="K67" s="35">
        <v>45199</v>
      </c>
      <c r="L67" s="35">
        <f>EDATE(K67,12)</f>
        <v>45565</v>
      </c>
      <c r="M67" s="35">
        <f t="shared" ref="M67:U67" si="44">EDATE(L67,12)</f>
        <v>45930</v>
      </c>
      <c r="N67" s="35">
        <f t="shared" si="44"/>
        <v>46295</v>
      </c>
      <c r="O67" s="35">
        <f t="shared" si="44"/>
        <v>46660</v>
      </c>
      <c r="P67" s="35">
        <f t="shared" si="44"/>
        <v>47026</v>
      </c>
      <c r="Q67" s="35">
        <f t="shared" si="44"/>
        <v>47391</v>
      </c>
      <c r="R67" s="35">
        <f t="shared" si="44"/>
        <v>47756</v>
      </c>
      <c r="S67" s="35">
        <f t="shared" si="44"/>
        <v>48121</v>
      </c>
      <c r="T67" s="35">
        <f t="shared" si="44"/>
        <v>48487</v>
      </c>
      <c r="U67" s="35">
        <f t="shared" si="44"/>
        <v>48852</v>
      </c>
    </row>
    <row r="68" spans="1:21" ht="16" customHeight="1" x14ac:dyDescent="0.2">
      <c r="B68" s="5" t="s">
        <v>43</v>
      </c>
      <c r="E68" s="56">
        <f>E63</f>
        <v>18359</v>
      </c>
      <c r="F68" s="56">
        <f t="shared" ref="F68:U69" si="45">F63</f>
        <v>20609</v>
      </c>
      <c r="G68" s="56">
        <f t="shared" si="45"/>
        <v>22977</v>
      </c>
      <c r="H68" s="56">
        <f t="shared" si="45"/>
        <v>21846</v>
      </c>
      <c r="I68" s="56">
        <f t="shared" si="45"/>
        <v>24105</v>
      </c>
      <c r="J68" s="57">
        <f t="shared" si="45"/>
        <v>29308</v>
      </c>
      <c r="K68" s="56">
        <f t="shared" ca="1" si="45"/>
        <v>32053.905203544175</v>
      </c>
      <c r="L68" s="56">
        <f t="shared" ca="1" si="45"/>
        <v>36100.839322945736</v>
      </c>
      <c r="M68" s="56">
        <f t="shared" ca="1" si="45"/>
        <v>40275.589326030778</v>
      </c>
      <c r="N68" s="56">
        <f t="shared" ca="1" si="45"/>
        <v>44506.999146790607</v>
      </c>
      <c r="O68" s="56">
        <f t="shared" ca="1" si="45"/>
        <v>48713.115441337402</v>
      </c>
      <c r="P68" s="56">
        <f t="shared" ca="1" si="45"/>
        <v>52803.163937404664</v>
      </c>
      <c r="Q68" s="56">
        <f t="shared" ca="1" si="45"/>
        <v>56680.222029066994</v>
      </c>
      <c r="R68" s="56">
        <f t="shared" ca="1" si="45"/>
        <v>60244.513420167219</v>
      </c>
      <c r="S68" s="56">
        <f t="shared" ca="1" si="45"/>
        <v>63397.197575230151</v>
      </c>
      <c r="T68" s="56">
        <f t="shared" ca="1" si="45"/>
        <v>66044.477311023089</v>
      </c>
      <c r="U68" s="56">
        <f t="shared" ca="1" si="45"/>
        <v>68101.806963580035</v>
      </c>
    </row>
    <row r="69" spans="1:21" s="39" customFormat="1" ht="16" customHeight="1" x14ac:dyDescent="0.2">
      <c r="B69" s="39" t="s">
        <v>39</v>
      </c>
      <c r="E69" s="58"/>
      <c r="F69" s="59">
        <f>F64</f>
        <v>0.12255569475461625</v>
      </c>
      <c r="G69" s="59">
        <f t="shared" si="45"/>
        <v>0.1149012567324954</v>
      </c>
      <c r="H69" s="59">
        <f t="shared" si="45"/>
        <v>-4.92231361796579E-2</v>
      </c>
      <c r="I69" s="59">
        <f t="shared" si="45"/>
        <v>0.10340565778632249</v>
      </c>
      <c r="J69" s="60">
        <f t="shared" si="45"/>
        <v>0.21584733457788841</v>
      </c>
      <c r="K69" s="59">
        <f t="shared" ca="1" si="45"/>
        <v>9.3691319897099001E-2</v>
      </c>
      <c r="L69" s="59">
        <f t="shared" ca="1" si="45"/>
        <v>0.12625401160024952</v>
      </c>
      <c r="M69" s="59">
        <f t="shared" ca="1" si="45"/>
        <v>0.1156413557518472</v>
      </c>
      <c r="N69" s="59">
        <f t="shared" ca="1" si="45"/>
        <v>0.10506140050506962</v>
      </c>
      <c r="O69" s="59">
        <f t="shared" ca="1" si="45"/>
        <v>9.4504603212506089E-2</v>
      </c>
      <c r="P69" s="59">
        <f t="shared" ca="1" si="45"/>
        <v>8.3961956836710483E-2</v>
      </c>
      <c r="Q69" s="59">
        <f t="shared" ca="1" si="45"/>
        <v>7.3424730689592321E-2</v>
      </c>
      <c r="R69" s="59">
        <f t="shared" ca="1" si="45"/>
        <v>6.2884217166128353E-2</v>
      </c>
      <c r="S69" s="59">
        <f t="shared" ca="1" si="45"/>
        <v>5.2331473458420374E-2</v>
      </c>
      <c r="T69" s="59">
        <f t="shared" ca="1" si="45"/>
        <v>4.1757046636825779E-2</v>
      </c>
      <c r="U69" s="59">
        <f t="shared" ca="1" si="45"/>
        <v>3.1150669008528364E-2</v>
      </c>
    </row>
    <row r="70" spans="1:21" ht="16" customHeight="1" x14ac:dyDescent="0.2">
      <c r="E70" s="61"/>
      <c r="F70" s="61"/>
      <c r="G70" s="61"/>
      <c r="H70" s="61"/>
      <c r="I70" s="61"/>
      <c r="J70" s="62"/>
      <c r="K70" s="61"/>
      <c r="L70" s="61"/>
      <c r="M70" s="61"/>
      <c r="N70" s="61"/>
      <c r="O70" s="61"/>
      <c r="P70" s="61"/>
      <c r="Q70" s="61"/>
      <c r="R70" s="61"/>
      <c r="S70" s="61"/>
      <c r="T70" s="61"/>
      <c r="U70" s="61"/>
    </row>
    <row r="71" spans="1:21" s="38" customFormat="1" ht="16" customHeight="1" x14ac:dyDescent="0.2">
      <c r="B71" s="38" t="s">
        <v>44</v>
      </c>
      <c r="E71" s="36">
        <f>'Financials + KPIs'!R16</f>
        <v>12145</v>
      </c>
      <c r="F71" s="36">
        <f>'Financials + KPIs'!S16</f>
        <v>12954</v>
      </c>
      <c r="G71" s="36">
        <f>'Financials + KPIs'!T16</f>
        <v>15001</v>
      </c>
      <c r="H71" s="36">
        <f>'Financials + KPIs'!U16</f>
        <v>14081</v>
      </c>
      <c r="I71" s="36">
        <f>'Financials + KPIs'!V16</f>
        <v>15802</v>
      </c>
      <c r="J71" s="37">
        <f>'Financials + KPIs'!W16</f>
        <v>18813</v>
      </c>
      <c r="K71" s="50">
        <f ca="1">K68*K72</f>
        <v>21360.679820452995</v>
      </c>
      <c r="L71" s="50">
        <f t="shared" ref="L71:U71" ca="1" si="46">L68*L72</f>
        <v>24070.552439101677</v>
      </c>
      <c r="M71" s="50">
        <f t="shared" ca="1" si="46"/>
        <v>26868.608322587028</v>
      </c>
      <c r="N71" s="50">
        <f t="shared" ca="1" si="46"/>
        <v>29707.490378301383</v>
      </c>
      <c r="O71" s="50">
        <f t="shared" ca="1" si="46"/>
        <v>32532.528165621236</v>
      </c>
      <c r="P71" s="50">
        <f t="shared" ca="1" si="46"/>
        <v>35283.039049053681</v>
      </c>
      <c r="Q71" s="50">
        <f t="shared" ca="1" si="46"/>
        <v>37894.099103207627</v>
      </c>
      <c r="R71" s="50">
        <f t="shared" ca="1" si="46"/>
        <v>40298.73589327441</v>
      </c>
      <c r="S71" s="50">
        <f t="shared" ca="1" si="46"/>
        <v>42430.459539188865</v>
      </c>
      <c r="T71" s="50">
        <f t="shared" ca="1" si="46"/>
        <v>44226.015007687092</v>
      </c>
      <c r="U71" s="50">
        <f t="shared" ca="1" si="46"/>
        <v>45628.210665598628</v>
      </c>
    </row>
    <row r="72" spans="1:21" s="39" customFormat="1" ht="16" customHeight="1" x14ac:dyDescent="0.2">
      <c r="B72" s="39" t="s">
        <v>45</v>
      </c>
      <c r="E72" s="63">
        <f>E71/E68</f>
        <v>0.66152840568658422</v>
      </c>
      <c r="F72" s="63">
        <f t="shared" ref="F72:J72" si="47">F71/F68</f>
        <v>0.62856033771653164</v>
      </c>
      <c r="G72" s="63">
        <f t="shared" si="47"/>
        <v>0.65287026156591377</v>
      </c>
      <c r="H72" s="63">
        <f t="shared" si="47"/>
        <v>0.64455735603771858</v>
      </c>
      <c r="I72" s="63">
        <f t="shared" si="47"/>
        <v>0.65554864136071356</v>
      </c>
      <c r="J72" s="64">
        <f t="shared" si="47"/>
        <v>0.64190664664937902</v>
      </c>
      <c r="K72" s="63">
        <f ca="1">OFFSET(K72,$D$20,0)</f>
        <v>0.66639867076449588</v>
      </c>
      <c r="L72" s="63">
        <f t="shared" ref="L72:U72" ca="1" si="48">OFFSET(L72,$D$20,0)</f>
        <v>0.6667588036880463</v>
      </c>
      <c r="M72" s="63">
        <f t="shared" ca="1" si="48"/>
        <v>0.66711893661159671</v>
      </c>
      <c r="N72" s="63">
        <f t="shared" ca="1" si="48"/>
        <v>0.66747906953514713</v>
      </c>
      <c r="O72" s="63">
        <f t="shared" ca="1" si="48"/>
        <v>0.66783920245869755</v>
      </c>
      <c r="P72" s="63">
        <f t="shared" ca="1" si="48"/>
        <v>0.66819933538224796</v>
      </c>
      <c r="Q72" s="63">
        <f t="shared" ca="1" si="48"/>
        <v>0.66855946830579838</v>
      </c>
      <c r="R72" s="63">
        <f t="shared" ca="1" si="48"/>
        <v>0.66891960122934879</v>
      </c>
      <c r="S72" s="63">
        <f t="shared" ca="1" si="48"/>
        <v>0.66927973415289921</v>
      </c>
      <c r="T72" s="63">
        <f t="shared" ca="1" si="48"/>
        <v>0.66963986707644962</v>
      </c>
      <c r="U72" s="63">
        <f t="shared" ca="1" si="48"/>
        <v>0.67</v>
      </c>
    </row>
    <row r="73" spans="1:21" ht="16" customHeight="1" x14ac:dyDescent="0.2">
      <c r="B73" s="5" t="s">
        <v>3</v>
      </c>
      <c r="J73" s="42"/>
      <c r="K73" s="43">
        <f>K74*H20</f>
        <v>0.63307873722627106</v>
      </c>
      <c r="L73" s="45">
        <f>K73-($K$73-$U$73)/($U$66-$K$66)</f>
        <v>0.63377086350364398</v>
      </c>
      <c r="M73" s="45">
        <f t="shared" ref="M73:T73" si="49">L73-($K$73-$U$73)/($U$66-$K$66)</f>
        <v>0.6344629897810169</v>
      </c>
      <c r="N73" s="45">
        <f t="shared" si="49"/>
        <v>0.63515511605838981</v>
      </c>
      <c r="O73" s="45">
        <f t="shared" si="49"/>
        <v>0.63584724233576273</v>
      </c>
      <c r="P73" s="45">
        <f t="shared" si="49"/>
        <v>0.63653936861313565</v>
      </c>
      <c r="Q73" s="45">
        <f t="shared" si="49"/>
        <v>0.63723149489050857</v>
      </c>
      <c r="R73" s="45">
        <f t="shared" si="49"/>
        <v>0.63792362116788148</v>
      </c>
      <c r="S73" s="45">
        <f t="shared" si="49"/>
        <v>0.6386157474452544</v>
      </c>
      <c r="T73" s="45">
        <f t="shared" si="49"/>
        <v>0.63930787372262732</v>
      </c>
      <c r="U73" s="44">
        <f>H21</f>
        <v>0.64</v>
      </c>
    </row>
    <row r="74" spans="1:21" ht="16" customHeight="1" x14ac:dyDescent="0.2">
      <c r="B74" s="5" t="s">
        <v>14</v>
      </c>
      <c r="J74" s="42"/>
      <c r="K74" s="46">
        <f>'Financials + KPIs'!X42</f>
        <v>0.66639867076449588</v>
      </c>
      <c r="L74" s="45">
        <f>K74-($K$74-$U$74)/($U$66-$K$66)</f>
        <v>0.6667588036880463</v>
      </c>
      <c r="M74" s="45">
        <f t="shared" ref="M74:T74" si="50">L74-($K$74-$U$74)/($U$66-$K$66)</f>
        <v>0.66711893661159671</v>
      </c>
      <c r="N74" s="45">
        <f t="shared" si="50"/>
        <v>0.66747906953514713</v>
      </c>
      <c r="O74" s="45">
        <f t="shared" si="50"/>
        <v>0.66783920245869755</v>
      </c>
      <c r="P74" s="45">
        <f t="shared" si="50"/>
        <v>0.66819933538224796</v>
      </c>
      <c r="Q74" s="45">
        <f t="shared" si="50"/>
        <v>0.66855946830579838</v>
      </c>
      <c r="R74" s="45">
        <f t="shared" si="50"/>
        <v>0.66891960122934879</v>
      </c>
      <c r="S74" s="45">
        <f t="shared" si="50"/>
        <v>0.66927973415289921</v>
      </c>
      <c r="T74" s="45">
        <f t="shared" si="50"/>
        <v>0.66963986707644962</v>
      </c>
      <c r="U74" s="44">
        <f>L21</f>
        <v>0.67</v>
      </c>
    </row>
    <row r="75" spans="1:21" ht="16" customHeight="1" x14ac:dyDescent="0.2">
      <c r="B75" s="5" t="s">
        <v>40</v>
      </c>
      <c r="J75" s="42"/>
      <c r="K75" s="43">
        <f>K74*P20</f>
        <v>0.6863906308874308</v>
      </c>
      <c r="L75" s="45">
        <f>K75-($K$75-$U$75)/($U$66-$K$66)</f>
        <v>0.68775156779868774</v>
      </c>
      <c r="M75" s="45">
        <f t="shared" ref="M75:T75" si="51">L75-($K$75-$U$75)/($U$66-$K$66)</f>
        <v>0.68911250470994467</v>
      </c>
      <c r="N75" s="45">
        <f t="shared" si="51"/>
        <v>0.69047344162120161</v>
      </c>
      <c r="O75" s="45">
        <f t="shared" si="51"/>
        <v>0.69183437853245855</v>
      </c>
      <c r="P75" s="45">
        <f t="shared" si="51"/>
        <v>0.69319531544371549</v>
      </c>
      <c r="Q75" s="45">
        <f t="shared" si="51"/>
        <v>0.69455625235497243</v>
      </c>
      <c r="R75" s="45">
        <f t="shared" si="51"/>
        <v>0.69591718926622936</v>
      </c>
      <c r="S75" s="45">
        <f t="shared" si="51"/>
        <v>0.6972781261774863</v>
      </c>
      <c r="T75" s="45">
        <f t="shared" si="51"/>
        <v>0.69863906308874324</v>
      </c>
      <c r="U75" s="44">
        <f>P21</f>
        <v>0.7</v>
      </c>
    </row>
    <row r="76" spans="1:21" ht="16" customHeight="1" x14ac:dyDescent="0.2">
      <c r="B76" s="5" t="s">
        <v>36</v>
      </c>
      <c r="J76" s="42"/>
      <c r="K76" s="48"/>
      <c r="L76" s="48"/>
      <c r="M76" s="48"/>
      <c r="N76" s="48"/>
      <c r="O76" s="48"/>
      <c r="P76" s="49"/>
      <c r="Q76" s="49"/>
      <c r="R76" s="49"/>
      <c r="S76" s="49"/>
      <c r="T76" s="49"/>
      <c r="U76" s="49"/>
    </row>
    <row r="77" spans="1:21" ht="16" customHeight="1" x14ac:dyDescent="0.2">
      <c r="J77" s="42"/>
    </row>
    <row r="78" spans="1:21" ht="16" customHeight="1" x14ac:dyDescent="0.2">
      <c r="B78" s="5" t="s">
        <v>27</v>
      </c>
      <c r="E78" s="36">
        <f>'Financials + KPIs'!R20</f>
        <v>4995</v>
      </c>
      <c r="F78" s="36">
        <f>'Financials + KPIs'!S20</f>
        <v>2505</v>
      </c>
      <c r="G78" s="36">
        <f>'Financials + KPIs'!T20</f>
        <v>2804</v>
      </c>
      <c r="H78" s="36">
        <f>'Financials + KPIs'!U20</f>
        <v>2924</v>
      </c>
      <c r="I78" s="36">
        <f>'Financials + KPIs'!V20</f>
        <v>3752</v>
      </c>
      <c r="J78" s="37">
        <f>'Financials + KPIs'!W20</f>
        <v>3179</v>
      </c>
      <c r="K78" s="50">
        <f t="shared" ref="K78:U78" ca="1" si="52">K71*K79</f>
        <v>4485.7427622951282</v>
      </c>
      <c r="L78" s="50">
        <f t="shared" ca="1" si="52"/>
        <v>5054.8160122113513</v>
      </c>
      <c r="M78" s="50">
        <f t="shared" ca="1" si="52"/>
        <v>5642.4077477432747</v>
      </c>
      <c r="N78" s="50">
        <f t="shared" ca="1" si="52"/>
        <v>6238.5729794432891</v>
      </c>
      <c r="O78" s="50">
        <f t="shared" ca="1" si="52"/>
        <v>6831.8309147804584</v>
      </c>
      <c r="P78" s="50">
        <f t="shared" ca="1" si="52"/>
        <v>7409.4382003012715</v>
      </c>
      <c r="Q78" s="50">
        <f t="shared" ca="1" si="52"/>
        <v>7957.7608116736001</v>
      </c>
      <c r="R78" s="50">
        <f t="shared" ca="1" si="52"/>
        <v>8462.7345375876248</v>
      </c>
      <c r="S78" s="50">
        <f t="shared" ca="1" si="52"/>
        <v>8910.3965032296601</v>
      </c>
      <c r="T78" s="50">
        <f t="shared" ca="1" si="52"/>
        <v>9287.4631516142872</v>
      </c>
      <c r="U78" s="50">
        <f t="shared" ca="1" si="52"/>
        <v>9581.9242397757116</v>
      </c>
    </row>
    <row r="79" spans="1:21" s="39" customFormat="1" ht="16" customHeight="1" x14ac:dyDescent="0.2">
      <c r="B79" s="39" t="s">
        <v>46</v>
      </c>
      <c r="E79" s="63">
        <f t="shared" ref="E79:J79" si="53">E78/E71</f>
        <v>0.41128036228900783</v>
      </c>
      <c r="F79" s="63">
        <f t="shared" si="53"/>
        <v>0.19337656322371469</v>
      </c>
      <c r="G79" s="63">
        <f t="shared" si="53"/>
        <v>0.18692087194187054</v>
      </c>
      <c r="H79" s="63">
        <f t="shared" si="53"/>
        <v>0.20765570627086144</v>
      </c>
      <c r="I79" s="63">
        <f t="shared" si="53"/>
        <v>0.23743829894950005</v>
      </c>
      <c r="J79" s="64">
        <f t="shared" si="53"/>
        <v>0.16897889757082868</v>
      </c>
      <c r="K79" s="65">
        <f>'Financials + KPIs'!X45</f>
        <v>0.20999999999999996</v>
      </c>
      <c r="L79" s="59">
        <f>K79-($K$79-$U$79)/($U$66-$K$66)</f>
        <v>0.20999999999999996</v>
      </c>
      <c r="M79" s="59">
        <f t="shared" ref="M79:T79" si="54">L79-($K$79-$U$79)/($U$66-$K$66)</f>
        <v>0.20999999999999996</v>
      </c>
      <c r="N79" s="59">
        <f t="shared" si="54"/>
        <v>0.20999999999999996</v>
      </c>
      <c r="O79" s="59">
        <f t="shared" si="54"/>
        <v>0.20999999999999996</v>
      </c>
      <c r="P79" s="59">
        <f t="shared" si="54"/>
        <v>0.20999999999999996</v>
      </c>
      <c r="Q79" s="59">
        <f t="shared" si="54"/>
        <v>0.20999999999999996</v>
      </c>
      <c r="R79" s="59">
        <f t="shared" si="54"/>
        <v>0.20999999999999996</v>
      </c>
      <c r="S79" s="59">
        <f t="shared" si="54"/>
        <v>0.20999999999999996</v>
      </c>
      <c r="T79" s="59">
        <f t="shared" si="54"/>
        <v>0.20999999999999996</v>
      </c>
      <c r="U79" s="66">
        <f>L22</f>
        <v>0.21</v>
      </c>
    </row>
    <row r="80" spans="1:21" ht="16" customHeight="1" x14ac:dyDescent="0.2">
      <c r="E80" s="61"/>
      <c r="F80" s="61"/>
      <c r="G80" s="61"/>
      <c r="H80" s="61"/>
      <c r="I80" s="61"/>
      <c r="J80" s="62"/>
      <c r="K80" s="61"/>
      <c r="L80" s="61"/>
      <c r="M80" s="61"/>
      <c r="N80" s="61"/>
      <c r="O80" s="61"/>
      <c r="P80" s="61"/>
      <c r="Q80" s="61"/>
      <c r="R80" s="61"/>
      <c r="S80" s="61"/>
      <c r="T80" s="61"/>
      <c r="U80" s="61"/>
    </row>
    <row r="81" spans="2:21" ht="16" customHeight="1" x14ac:dyDescent="0.2">
      <c r="B81" s="67" t="s">
        <v>47</v>
      </c>
      <c r="C81" s="67"/>
      <c r="D81" s="67"/>
      <c r="E81" s="68">
        <f>E71-E78</f>
        <v>7150</v>
      </c>
      <c r="F81" s="68">
        <f t="shared" ref="F81:J81" si="55">F71-F78</f>
        <v>10449</v>
      </c>
      <c r="G81" s="68">
        <f t="shared" si="55"/>
        <v>12197</v>
      </c>
      <c r="H81" s="68">
        <f t="shared" si="55"/>
        <v>11157</v>
      </c>
      <c r="I81" s="68">
        <f t="shared" si="55"/>
        <v>12050</v>
      </c>
      <c r="J81" s="69">
        <f t="shared" si="55"/>
        <v>15634</v>
      </c>
      <c r="K81" s="68">
        <f ca="1">K71-K78</f>
        <v>16874.937058157866</v>
      </c>
      <c r="L81" s="68">
        <f t="shared" ref="L81:U81" ca="1" si="56">L71-L78</f>
        <v>19015.736426890326</v>
      </c>
      <c r="M81" s="68">
        <f t="shared" ca="1" si="56"/>
        <v>21226.200574843751</v>
      </c>
      <c r="N81" s="68">
        <f t="shared" ca="1" si="56"/>
        <v>23468.917398858095</v>
      </c>
      <c r="O81" s="68">
        <f ca="1">O71-O78</f>
        <v>25700.697250840778</v>
      </c>
      <c r="P81" s="68">
        <f t="shared" ca="1" si="56"/>
        <v>27873.600848752409</v>
      </c>
      <c r="Q81" s="68">
        <f t="shared" ca="1" si="56"/>
        <v>29936.338291534026</v>
      </c>
      <c r="R81" s="68">
        <f t="shared" ca="1" si="56"/>
        <v>31836.001355686785</v>
      </c>
      <c r="S81" s="68">
        <f t="shared" ca="1" si="56"/>
        <v>33520.063035959203</v>
      </c>
      <c r="T81" s="68">
        <f t="shared" ca="1" si="56"/>
        <v>34938.551856072809</v>
      </c>
      <c r="U81" s="68">
        <f t="shared" ca="1" si="56"/>
        <v>36046.286425822916</v>
      </c>
    </row>
    <row r="82" spans="2:21" ht="16" customHeight="1" x14ac:dyDescent="0.2">
      <c r="E82" s="61"/>
      <c r="F82" s="61"/>
      <c r="G82" s="61"/>
      <c r="H82" s="61"/>
      <c r="I82" s="61"/>
      <c r="J82" s="70"/>
      <c r="K82" s="61"/>
      <c r="L82" s="61"/>
      <c r="M82" s="61"/>
      <c r="N82" s="61"/>
      <c r="O82" s="61"/>
      <c r="P82" s="61"/>
      <c r="Q82" s="61"/>
      <c r="R82" s="61"/>
      <c r="S82" s="61"/>
      <c r="T82" s="61"/>
      <c r="U82" s="61"/>
    </row>
    <row r="83" spans="2:21" ht="16" customHeight="1" x14ac:dyDescent="0.2">
      <c r="B83" s="5" t="s">
        <v>48</v>
      </c>
      <c r="E83" s="36">
        <f>'Financials + KPIs'!R51</f>
        <v>271</v>
      </c>
      <c r="F83" s="36">
        <f>'Financials + KPIs'!S51</f>
        <v>613</v>
      </c>
      <c r="G83" s="36">
        <f>'Financials + KPIs'!T51</f>
        <v>656</v>
      </c>
      <c r="H83" s="36">
        <f>'Financials + KPIs'!U51</f>
        <v>767</v>
      </c>
      <c r="I83" s="36">
        <f>'Financials + KPIs'!V51</f>
        <v>804</v>
      </c>
      <c r="J83" s="37">
        <f>'Financials + KPIs'!W51</f>
        <v>861</v>
      </c>
      <c r="K83" s="50">
        <f ca="1">K68*K84</f>
        <v>1000.9517745842172</v>
      </c>
      <c r="L83" s="50">
        <f t="shared" ref="L83:U83" ca="1" si="57">L68*L84</f>
        <v>1138.0324004778408</v>
      </c>
      <c r="M83" s="50">
        <f ca="1">M68*M84</f>
        <v>1293.5872658276753</v>
      </c>
      <c r="N83" s="50">
        <f t="shared" ca="1" si="57"/>
        <v>1402.8692002172418</v>
      </c>
      <c r="O83" s="50">
        <f t="shared" ca="1" si="57"/>
        <v>1517.5799666862181</v>
      </c>
      <c r="P83" s="50">
        <f t="shared" ca="1" si="57"/>
        <v>1663.7522264926263</v>
      </c>
      <c r="Q83" s="50">
        <f t="shared" ca="1" si="57"/>
        <v>1789.1031008849827</v>
      </c>
      <c r="R83" s="50">
        <f t="shared" ca="1" si="57"/>
        <v>1902.1052209071415</v>
      </c>
      <c r="S83" s="50">
        <f t="shared" ca="1" si="57"/>
        <v>1994.7309876376223</v>
      </c>
      <c r="T83" s="50">
        <f t="shared" ca="1" si="57"/>
        <v>2077.2831415473925</v>
      </c>
      <c r="U83" s="50">
        <f t="shared" ca="1" si="57"/>
        <v>2146.0694921489321</v>
      </c>
    </row>
    <row r="84" spans="2:21" s="39" customFormat="1" ht="16" customHeight="1" x14ac:dyDescent="0.2">
      <c r="B84" s="39" t="s">
        <v>45</v>
      </c>
      <c r="E84" s="63">
        <f t="shared" ref="E84:J84" si="58">E83/E68</f>
        <v>1.476115256822267E-2</v>
      </c>
      <c r="F84" s="63">
        <f t="shared" si="58"/>
        <v>2.9744286476781987E-2</v>
      </c>
      <c r="G84" s="63">
        <f t="shared" si="58"/>
        <v>2.8550289419854637E-2</v>
      </c>
      <c r="H84" s="63">
        <f t="shared" si="58"/>
        <v>3.5109402178888582E-2</v>
      </c>
      <c r="I84" s="63">
        <f t="shared" si="58"/>
        <v>3.3354075917859362E-2</v>
      </c>
      <c r="J84" s="64">
        <f t="shared" si="58"/>
        <v>2.9377644329193393E-2</v>
      </c>
      <c r="K84" s="71">
        <f>AVERAGE(F84:J84)</f>
        <v>3.1227139664515596E-2</v>
      </c>
      <c r="L84" s="71">
        <f t="shared" ref="L84:U84" si="59">AVERAGE(G84:K84)</f>
        <v>3.1523710302062316E-2</v>
      </c>
      <c r="M84" s="71">
        <f t="shared" si="59"/>
        <v>3.2118394478503842E-2</v>
      </c>
      <c r="N84" s="71">
        <f t="shared" si="59"/>
        <v>3.1520192938426908E-2</v>
      </c>
      <c r="O84" s="71">
        <f t="shared" si="59"/>
        <v>3.1153416342540409E-2</v>
      </c>
      <c r="P84" s="71">
        <f t="shared" si="59"/>
        <v>3.150857074520981E-2</v>
      </c>
      <c r="Q84" s="71">
        <f t="shared" si="59"/>
        <v>3.1564856961348656E-2</v>
      </c>
      <c r="R84" s="71">
        <f t="shared" si="59"/>
        <v>3.1573086293205918E-2</v>
      </c>
      <c r="S84" s="71">
        <f t="shared" si="59"/>
        <v>3.1464024656146339E-2</v>
      </c>
      <c r="T84" s="71">
        <f t="shared" si="59"/>
        <v>3.1452790999690228E-2</v>
      </c>
      <c r="U84" s="71">
        <f t="shared" si="59"/>
        <v>3.151266593112019E-2</v>
      </c>
    </row>
    <row r="85" spans="2:21" s="39" customFormat="1" ht="16" customHeight="1" x14ac:dyDescent="0.2">
      <c r="B85" s="39" t="s">
        <v>49</v>
      </c>
      <c r="E85" s="63">
        <f>E83/E87</f>
        <v>0.38330975954738333</v>
      </c>
      <c r="F85" s="63">
        <f t="shared" ref="F85:U85" si="60">F83/F87</f>
        <v>0.85376044568245124</v>
      </c>
      <c r="G85" s="63">
        <f t="shared" si="60"/>
        <v>0.86772486772486768</v>
      </c>
      <c r="H85" s="63">
        <f t="shared" si="60"/>
        <v>1.0421195652173914</v>
      </c>
      <c r="I85" s="63">
        <f t="shared" si="60"/>
        <v>1.1404255319148937</v>
      </c>
      <c r="J85" s="64">
        <f t="shared" si="60"/>
        <v>0.8876288659793814</v>
      </c>
      <c r="K85" s="63">
        <f t="shared" ca="1" si="60"/>
        <v>0.95335022130979929</v>
      </c>
      <c r="L85" s="63">
        <f t="shared" ca="1" si="60"/>
        <v>0.97480846831558099</v>
      </c>
      <c r="M85" s="63">
        <f t="shared" ca="1" si="60"/>
        <v>0.99667506515653137</v>
      </c>
      <c r="N85" s="63">
        <f t="shared" ca="1" si="60"/>
        <v>0.98708584547993883</v>
      </c>
      <c r="O85" s="63">
        <f t="shared" ca="1" si="60"/>
        <v>0.9594617210740457</v>
      </c>
      <c r="P85" s="63">
        <f t="shared" ca="1" si="60"/>
        <v>0.97416253549439435</v>
      </c>
      <c r="Q85" s="63">
        <f t="shared" ca="1" si="60"/>
        <v>0.97838861504477104</v>
      </c>
      <c r="R85" s="63">
        <f t="shared" ca="1" si="60"/>
        <v>0.97910667685878461</v>
      </c>
      <c r="S85" s="63">
        <f t="shared" ca="1" si="60"/>
        <v>0.97559578225451404</v>
      </c>
      <c r="T85" s="63">
        <f t="shared" ca="1" si="60"/>
        <v>0.97332495015765219</v>
      </c>
      <c r="U85" s="63">
        <f t="shared" ca="1" si="60"/>
        <v>0.9761135591406731</v>
      </c>
    </row>
    <row r="86" spans="2:21" ht="16" customHeight="1" x14ac:dyDescent="0.2">
      <c r="E86" s="50"/>
      <c r="F86" s="50"/>
      <c r="G86" s="50"/>
      <c r="H86" s="50"/>
      <c r="I86" s="50"/>
      <c r="J86" s="72"/>
      <c r="K86" s="50"/>
      <c r="L86" s="50"/>
      <c r="M86" s="50"/>
      <c r="N86" s="50"/>
      <c r="O86" s="50"/>
      <c r="P86" s="50"/>
      <c r="Q86" s="50"/>
      <c r="R86" s="50"/>
      <c r="S86" s="50"/>
      <c r="T86" s="50"/>
      <c r="U86" s="50"/>
    </row>
    <row r="87" spans="2:21" ht="16" customHeight="1" x14ac:dyDescent="0.2">
      <c r="B87" s="5" t="s">
        <v>50</v>
      </c>
      <c r="E87" s="36">
        <f>-'Financials + KPIs'!R52</f>
        <v>707</v>
      </c>
      <c r="F87" s="36">
        <f>-'Financials + KPIs'!S52</f>
        <v>718</v>
      </c>
      <c r="G87" s="36">
        <f>-'Financials + KPIs'!T52</f>
        <v>756</v>
      </c>
      <c r="H87" s="36">
        <f>-'Financials + KPIs'!U52</f>
        <v>736</v>
      </c>
      <c r="I87" s="36">
        <f>-'Financials + KPIs'!V52</f>
        <v>705</v>
      </c>
      <c r="J87" s="37">
        <f>-'Financials + KPIs'!W52</f>
        <v>970</v>
      </c>
      <c r="K87" s="50">
        <f ca="1">K68*K88</f>
        <v>1049.9308147314621</v>
      </c>
      <c r="L87" s="50">
        <f t="shared" ref="L87:U87" ca="1" si="61">L68*L88</f>
        <v>1167.4420539701532</v>
      </c>
      <c r="M87" s="50">
        <f t="shared" ca="1" si="61"/>
        <v>1297.9027077641526</v>
      </c>
      <c r="N87" s="50">
        <f ca="1">N68*N88</f>
        <v>1421.223094871897</v>
      </c>
      <c r="O87" s="50">
        <f t="shared" ca="1" si="61"/>
        <v>1581.6993355268</v>
      </c>
      <c r="P87" s="50">
        <f t="shared" ca="1" si="61"/>
        <v>1707.8795025188074</v>
      </c>
      <c r="Q87" s="50">
        <f t="shared" ca="1" si="61"/>
        <v>1828.6221582853491</v>
      </c>
      <c r="R87" s="50">
        <f t="shared" ca="1" si="61"/>
        <v>1942.6945662443684</v>
      </c>
      <c r="S87" s="50">
        <f t="shared" ca="1" si="61"/>
        <v>2044.6285479299413</v>
      </c>
      <c r="T87" s="50">
        <f t="shared" ca="1" si="61"/>
        <v>2134.213390102585</v>
      </c>
      <c r="U87" s="50">
        <f t="shared" ca="1" si="61"/>
        <v>2198.5858838373642</v>
      </c>
    </row>
    <row r="88" spans="2:21" s="39" customFormat="1" ht="16" customHeight="1" x14ac:dyDescent="0.2">
      <c r="B88" s="39" t="s">
        <v>45</v>
      </c>
      <c r="E88" s="63">
        <f t="shared" ref="E88:J88" si="62">E87/E68</f>
        <v>3.8509722751783868E-2</v>
      </c>
      <c r="F88" s="63">
        <f t="shared" si="62"/>
        <v>3.4839147945072542E-2</v>
      </c>
      <c r="G88" s="63">
        <f t="shared" si="62"/>
        <v>3.2902467685076382E-2</v>
      </c>
      <c r="H88" s="63">
        <f t="shared" si="62"/>
        <v>3.3690378101254234E-2</v>
      </c>
      <c r="I88" s="63">
        <f t="shared" si="62"/>
        <v>2.924704418170504E-2</v>
      </c>
      <c r="J88" s="64">
        <f t="shared" si="62"/>
        <v>3.3096765388289887E-2</v>
      </c>
      <c r="K88" s="71">
        <f>AVERAGE(F88:J88)</f>
        <v>3.2755160660279614E-2</v>
      </c>
      <c r="L88" s="71">
        <f t="shared" ref="L88:U88" si="63">AVERAGE(G88:K88)</f>
        <v>3.2338363203321029E-2</v>
      </c>
      <c r="M88" s="71">
        <f t="shared" si="63"/>
        <v>3.2225542306969959E-2</v>
      </c>
      <c r="N88" s="71">
        <f t="shared" si="63"/>
        <v>3.193257514811311E-2</v>
      </c>
      <c r="O88" s="71">
        <f t="shared" si="63"/>
        <v>3.2469681341394718E-2</v>
      </c>
      <c r="P88" s="71">
        <f t="shared" si="63"/>
        <v>3.2344264532015686E-2</v>
      </c>
      <c r="Q88" s="71">
        <f t="shared" si="63"/>
        <v>3.2262085306362903E-2</v>
      </c>
      <c r="R88" s="71">
        <f t="shared" si="63"/>
        <v>3.2246829726971279E-2</v>
      </c>
      <c r="S88" s="71">
        <f t="shared" si="63"/>
        <v>3.2251087210971544E-2</v>
      </c>
      <c r="T88" s="71">
        <f t="shared" si="63"/>
        <v>3.2314789623543227E-2</v>
      </c>
      <c r="U88" s="71">
        <f t="shared" si="63"/>
        <v>3.2283811279972929E-2</v>
      </c>
    </row>
    <row r="89" spans="2:21" ht="16" customHeight="1" x14ac:dyDescent="0.2">
      <c r="B89" s="39"/>
      <c r="E89" s="50"/>
      <c r="F89" s="50"/>
      <c r="G89" s="50"/>
      <c r="H89" s="50"/>
      <c r="I89" s="50"/>
      <c r="J89" s="72"/>
      <c r="K89" s="50"/>
      <c r="L89" s="50"/>
      <c r="M89" s="50"/>
      <c r="N89" s="50"/>
      <c r="O89" s="50"/>
      <c r="P89" s="50"/>
      <c r="Q89" s="50"/>
      <c r="R89" s="50"/>
      <c r="S89" s="50"/>
      <c r="T89" s="50"/>
      <c r="U89" s="50"/>
    </row>
    <row r="90" spans="2:21" ht="16" customHeight="1" x14ac:dyDescent="0.2">
      <c r="B90" s="5" t="s">
        <v>51</v>
      </c>
      <c r="E90" s="36">
        <f>'Financials + KPIs'!R53</f>
        <v>93</v>
      </c>
      <c r="F90" s="36">
        <f>'Financials + KPIs'!S53</f>
        <v>-2220</v>
      </c>
      <c r="G90" s="36">
        <f>'Financials + KPIs'!T53</f>
        <v>279</v>
      </c>
      <c r="H90" s="36">
        <f>'Financials + KPIs'!U53</f>
        <v>709</v>
      </c>
      <c r="I90" s="36">
        <f>'Financials + KPIs'!V53</f>
        <v>-1732</v>
      </c>
      <c r="J90" s="37">
        <f>'Financials + KPIs'!W53</f>
        <v>-1280</v>
      </c>
      <c r="K90" s="50">
        <f ca="1">K68*K91</f>
        <v>-927.33901171720981</v>
      </c>
      <c r="L90" s="50">
        <f t="shared" ref="L90:U90" ca="1" si="64">L68*L91</f>
        <v>-1248.9681105761047</v>
      </c>
      <c r="M90" s="50">
        <f ca="1">M68*M91</f>
        <v>-902.55329055666618</v>
      </c>
      <c r="N90" s="50">
        <f t="shared" ca="1" si="64"/>
        <v>-1253.6778838751707</v>
      </c>
      <c r="O90" s="50">
        <f t="shared" ca="1" si="64"/>
        <v>-1864.3418439283666</v>
      </c>
      <c r="P90" s="50">
        <f t="shared" ca="1" si="64"/>
        <v>-1725.3499969227296</v>
      </c>
      <c r="Q90" s="50">
        <f t="shared" ca="1" si="64"/>
        <v>-1748.1294694490248</v>
      </c>
      <c r="R90" s="50">
        <f t="shared" ca="1" si="64"/>
        <v>-1877.2506785394494</v>
      </c>
      <c r="S90" s="50">
        <f t="shared" ca="1" si="64"/>
        <v>-1939.1831898290761</v>
      </c>
      <c r="T90" s="50">
        <f t="shared" ca="1" si="64"/>
        <v>-2110.180783491187</v>
      </c>
      <c r="U90" s="50">
        <f t="shared" ca="1" si="64"/>
        <v>-2218.8502245604755</v>
      </c>
    </row>
    <row r="91" spans="2:21" s="39" customFormat="1" ht="16" customHeight="1" x14ac:dyDescent="0.2">
      <c r="B91" s="39" t="s">
        <v>45</v>
      </c>
      <c r="E91" s="63">
        <f t="shared" ref="E91:J91" si="65">E90/E68</f>
        <v>5.0656353831908052E-3</v>
      </c>
      <c r="F91" s="63">
        <f t="shared" si="65"/>
        <v>-0.10771992818671454</v>
      </c>
      <c r="G91" s="63">
        <f t="shared" si="65"/>
        <v>1.2142577359968664E-2</v>
      </c>
      <c r="H91" s="63">
        <f t="shared" si="65"/>
        <v>3.2454453904604962E-2</v>
      </c>
      <c r="I91" s="63">
        <f t="shared" si="65"/>
        <v>-7.1852312798174653E-2</v>
      </c>
      <c r="J91" s="64">
        <f t="shared" si="65"/>
        <v>-4.3674082161867064E-2</v>
      </c>
      <c r="K91" s="71">
        <f>AVERAGE(E91:J91)</f>
        <v>-2.8930609416498637E-2</v>
      </c>
      <c r="L91" s="71">
        <f t="shared" ref="L91:U91" si="66">AVERAGE(F91:K91)</f>
        <v>-3.4596650216446881E-2</v>
      </c>
      <c r="M91" s="71">
        <f t="shared" si="66"/>
        <v>-2.2409437221402272E-2</v>
      </c>
      <c r="N91" s="71">
        <f t="shared" si="66"/>
        <v>-2.8168106318297425E-2</v>
      </c>
      <c r="O91" s="71">
        <f t="shared" si="66"/>
        <v>-3.8271866355447819E-2</v>
      </c>
      <c r="P91" s="71">
        <f t="shared" si="66"/>
        <v>-3.2675125281660014E-2</v>
      </c>
      <c r="Q91" s="71">
        <f t="shared" si="66"/>
        <v>-3.0841965801625505E-2</v>
      </c>
      <c r="R91" s="71">
        <f t="shared" si="66"/>
        <v>-3.1160525199146655E-2</v>
      </c>
      <c r="S91" s="71">
        <f t="shared" si="66"/>
        <v>-3.0587837696263286E-2</v>
      </c>
      <c r="T91" s="71">
        <f t="shared" si="66"/>
        <v>-3.1950904442073449E-2</v>
      </c>
      <c r="U91" s="71">
        <f t="shared" si="66"/>
        <v>-3.2581370796036117E-2</v>
      </c>
    </row>
    <row r="92" spans="2:21" s="39" customFormat="1" ht="16" customHeight="1" x14ac:dyDescent="0.2">
      <c r="B92" s="39" t="s">
        <v>52</v>
      </c>
      <c r="E92" s="73"/>
      <c r="F92" s="63">
        <f t="shared" ref="F92:U92" si="67">F90/(F68-E68)</f>
        <v>-0.98666666666666669</v>
      </c>
      <c r="G92" s="63">
        <f t="shared" si="67"/>
        <v>0.11782094594594594</v>
      </c>
      <c r="H92" s="63">
        <f t="shared" si="67"/>
        <v>-0.62687886825817862</v>
      </c>
      <c r="I92" s="63">
        <f t="shared" si="67"/>
        <v>-0.76671093404161128</v>
      </c>
      <c r="J92" s="64">
        <f t="shared" si="67"/>
        <v>-0.24601191620219104</v>
      </c>
      <c r="K92" s="63">
        <f t="shared" ca="1" si="67"/>
        <v>-0.33771705247518435</v>
      </c>
      <c r="L92" s="63">
        <f t="shared" ca="1" si="67"/>
        <v>-0.30862081608602893</v>
      </c>
      <c r="M92" s="63">
        <f t="shared" ca="1" si="67"/>
        <v>-0.21619337442713946</v>
      </c>
      <c r="N92" s="63">
        <f t="shared" ca="1" si="67"/>
        <v>-0.29627900321175915</v>
      </c>
      <c r="O92" s="63">
        <f t="shared" ca="1" si="67"/>
        <v>-0.44324543435602931</v>
      </c>
      <c r="P92" s="63">
        <f t="shared" ca="1" si="67"/>
        <v>-0.42184096315281339</v>
      </c>
      <c r="Q92" s="63">
        <f t="shared" ca="1" si="67"/>
        <v>-0.45089070839779344</v>
      </c>
      <c r="R92" s="63">
        <f t="shared" ca="1" si="67"/>
        <v>-0.52668271826114077</v>
      </c>
      <c r="S92" s="63">
        <f t="shared" ca="1" si="67"/>
        <v>-0.61508958539818182</v>
      </c>
      <c r="T92" s="63">
        <f t="shared" ca="1" si="67"/>
        <v>-0.79711288344793163</v>
      </c>
      <c r="U92" s="63">
        <f t="shared" ca="1" si="67"/>
        <v>-1.0785098157715194</v>
      </c>
    </row>
    <row r="93" spans="2:21" ht="16" customHeight="1" x14ac:dyDescent="0.2">
      <c r="B93" s="39"/>
      <c r="E93" s="50"/>
      <c r="F93" s="74"/>
      <c r="G93" s="74"/>
      <c r="H93" s="74"/>
      <c r="I93" s="74"/>
      <c r="J93" s="75"/>
      <c r="K93" s="74"/>
      <c r="L93" s="74"/>
      <c r="M93" s="74"/>
      <c r="N93" s="74"/>
      <c r="O93" s="74"/>
      <c r="P93" s="74"/>
      <c r="Q93" s="74"/>
      <c r="R93" s="74"/>
      <c r="S93" s="74"/>
      <c r="T93" s="74"/>
      <c r="U93" s="74"/>
    </row>
    <row r="94" spans="2:21" ht="16" customHeight="1" x14ac:dyDescent="0.2">
      <c r="B94" s="53" t="s">
        <v>53</v>
      </c>
      <c r="C94" s="53"/>
      <c r="D94" s="53"/>
      <c r="E94" s="76">
        <f>E81+E83-E87-E90</f>
        <v>6621</v>
      </c>
      <c r="F94" s="76">
        <f t="shared" ref="F94:U94" si="68">F81+F83-F87-F90</f>
        <v>12564</v>
      </c>
      <c r="G94" s="76">
        <f t="shared" si="68"/>
        <v>11818</v>
      </c>
      <c r="H94" s="76">
        <f t="shared" si="68"/>
        <v>10479</v>
      </c>
      <c r="I94" s="76">
        <f t="shared" si="68"/>
        <v>13881</v>
      </c>
      <c r="J94" s="77">
        <f t="shared" si="68"/>
        <v>16805</v>
      </c>
      <c r="K94" s="76">
        <f ca="1">K81+K83-K87-K90</f>
        <v>17753.29702972783</v>
      </c>
      <c r="L94" s="76">
        <f t="shared" ca="1" si="68"/>
        <v>20235.294883974118</v>
      </c>
      <c r="M94" s="76">
        <f t="shared" ca="1" si="68"/>
        <v>22124.43842346394</v>
      </c>
      <c r="N94" s="76">
        <f t="shared" ca="1" si="68"/>
        <v>24704.241388078612</v>
      </c>
      <c r="O94" s="76">
        <f t="shared" ca="1" si="68"/>
        <v>27500.919725928565</v>
      </c>
      <c r="P94" s="76">
        <f t="shared" ca="1" si="68"/>
        <v>29554.823569648957</v>
      </c>
      <c r="Q94" s="76">
        <f t="shared" ca="1" si="68"/>
        <v>31644.948703582682</v>
      </c>
      <c r="R94" s="76">
        <f t="shared" ca="1" si="68"/>
        <v>33672.66268888901</v>
      </c>
      <c r="S94" s="76">
        <f t="shared" ca="1" si="68"/>
        <v>35409.348665495963</v>
      </c>
      <c r="T94" s="76">
        <f t="shared" ca="1" si="68"/>
        <v>36991.802391008801</v>
      </c>
      <c r="U94" s="76">
        <f t="shared" ca="1" si="68"/>
        <v>38212.620258694966</v>
      </c>
    </row>
    <row r="95" spans="2:21" s="39" customFormat="1" ht="16" customHeight="1" x14ac:dyDescent="0.2">
      <c r="B95" s="39" t="s">
        <v>45</v>
      </c>
      <c r="E95" s="78">
        <f t="shared" ref="E95:U95" si="69">E94/E68</f>
        <v>0.36064055776458415</v>
      </c>
      <c r="F95" s="78">
        <f t="shared" si="69"/>
        <v>0.60963656654859533</v>
      </c>
      <c r="G95" s="78">
        <f t="shared" si="69"/>
        <v>0.51434042738390562</v>
      </c>
      <c r="H95" s="78">
        <f t="shared" si="69"/>
        <v>0.47967591321065639</v>
      </c>
      <c r="I95" s="78">
        <f t="shared" si="69"/>
        <v>0.57585563161169884</v>
      </c>
      <c r="J95" s="64">
        <f t="shared" si="69"/>
        <v>0.57339293025795002</v>
      </c>
      <c r="K95" s="78">
        <f t="shared" ca="1" si="69"/>
        <v>0.55385753832468632</v>
      </c>
      <c r="L95" s="78">
        <f t="shared" ca="1" si="69"/>
        <v>0.56052145222874472</v>
      </c>
      <c r="M95" s="78">
        <f t="shared" ca="1" si="69"/>
        <v>0.54932624931609753</v>
      </c>
      <c r="N95" s="78">
        <f t="shared" ca="1" si="69"/>
        <v>0.55506418904137755</v>
      </c>
      <c r="O95" s="78">
        <f t="shared" ca="1" si="69"/>
        <v>0.56454857129896463</v>
      </c>
      <c r="P95" s="78">
        <f t="shared" ca="1" si="69"/>
        <v>0.55971690644683003</v>
      </c>
      <c r="Q95" s="78">
        <f t="shared" ca="1" si="69"/>
        <v>0.55830671741819193</v>
      </c>
      <c r="R95" s="78">
        <f t="shared" ca="1" si="69"/>
        <v>0.55893326673656696</v>
      </c>
      <c r="S95" s="78">
        <f t="shared" ca="1" si="69"/>
        <v>0.55853176512222857</v>
      </c>
      <c r="T95" s="78">
        <f t="shared" ca="1" si="69"/>
        <v>0.56010440080861568</v>
      </c>
      <c r="U95" s="78">
        <f t="shared" ca="1" si="69"/>
        <v>0.56111022544718347</v>
      </c>
    </row>
    <row r="96" spans="2:21" ht="16" customHeight="1" x14ac:dyDescent="0.2">
      <c r="E96" s="38"/>
      <c r="F96" s="79"/>
      <c r="G96" s="79"/>
      <c r="H96" s="79"/>
      <c r="I96" s="79"/>
      <c r="J96" s="80"/>
      <c r="K96" s="81"/>
      <c r="L96" s="81"/>
      <c r="M96" s="81"/>
      <c r="N96" s="81"/>
      <c r="O96" s="81"/>
      <c r="P96" s="81"/>
      <c r="Q96" s="81"/>
      <c r="R96" s="81"/>
      <c r="S96" s="81"/>
      <c r="T96" s="81"/>
      <c r="U96" s="81"/>
    </row>
    <row r="97" spans="1:21" ht="16" customHeight="1" x14ac:dyDescent="0.2">
      <c r="J97" s="42"/>
      <c r="K97" s="82">
        <v>1</v>
      </c>
      <c r="L97" s="82">
        <v>0</v>
      </c>
      <c r="U97" s="17"/>
    </row>
    <row r="98" spans="1:21" ht="16" customHeight="1" x14ac:dyDescent="0.2">
      <c r="A98" s="5" t="s">
        <v>10</v>
      </c>
      <c r="B98" s="12" t="s">
        <v>54</v>
      </c>
      <c r="C98" s="12"/>
      <c r="D98" s="12"/>
      <c r="E98" s="83"/>
      <c r="F98" s="83"/>
      <c r="G98" s="83"/>
      <c r="H98" s="83"/>
      <c r="I98" s="83"/>
      <c r="J98" s="83"/>
      <c r="K98" s="83">
        <v>1</v>
      </c>
      <c r="L98" s="83">
        <f>K98+1</f>
        <v>2</v>
      </c>
      <c r="M98" s="83">
        <f t="shared" ref="M98:T98" si="70">L98+1</f>
        <v>3</v>
      </c>
      <c r="N98" s="83">
        <f t="shared" si="70"/>
        <v>4</v>
      </c>
      <c r="O98" s="83">
        <f t="shared" si="70"/>
        <v>5</v>
      </c>
      <c r="P98" s="83">
        <f t="shared" si="70"/>
        <v>6</v>
      </c>
      <c r="Q98" s="83">
        <f t="shared" si="70"/>
        <v>7</v>
      </c>
      <c r="R98" s="83">
        <f t="shared" si="70"/>
        <v>8</v>
      </c>
      <c r="S98" s="83">
        <f t="shared" si="70"/>
        <v>9</v>
      </c>
      <c r="T98" s="83">
        <f t="shared" si="70"/>
        <v>10</v>
      </c>
      <c r="U98" s="83"/>
    </row>
    <row r="99" spans="1:21" s="84" customFormat="1" ht="16" customHeight="1" x14ac:dyDescent="0.2">
      <c r="B99" s="12" t="s">
        <v>38</v>
      </c>
      <c r="C99" s="12"/>
      <c r="D99" s="12"/>
      <c r="E99" s="83"/>
      <c r="F99" s="83"/>
      <c r="G99" s="83"/>
      <c r="H99" s="83"/>
      <c r="I99" s="83"/>
      <c r="J99" s="83"/>
      <c r="K99" s="35">
        <v>45192</v>
      </c>
      <c r="L99" s="35">
        <f>EDATE(K99,12)</f>
        <v>45558</v>
      </c>
      <c r="M99" s="35">
        <f t="shared" ref="M99:T99" si="71">EDATE(L99,12)</f>
        <v>45923</v>
      </c>
      <c r="N99" s="35">
        <f t="shared" si="71"/>
        <v>46288</v>
      </c>
      <c r="O99" s="35">
        <f t="shared" si="71"/>
        <v>46653</v>
      </c>
      <c r="P99" s="35">
        <f t="shared" si="71"/>
        <v>47019</v>
      </c>
      <c r="Q99" s="35">
        <f t="shared" si="71"/>
        <v>47384</v>
      </c>
      <c r="R99" s="35">
        <f t="shared" si="71"/>
        <v>47749</v>
      </c>
      <c r="S99" s="35">
        <f t="shared" si="71"/>
        <v>48114</v>
      </c>
      <c r="T99" s="35">
        <f t="shared" si="71"/>
        <v>48480</v>
      </c>
      <c r="U99" s="83"/>
    </row>
    <row r="100" spans="1:21" ht="16" customHeight="1" x14ac:dyDescent="0.2">
      <c r="B100" s="5" t="s">
        <v>55</v>
      </c>
      <c r="E100" s="85"/>
      <c r="F100" s="85"/>
      <c r="G100" s="85"/>
      <c r="H100" s="85"/>
      <c r="I100" s="85"/>
      <c r="J100" s="80"/>
      <c r="K100" s="86">
        <f t="shared" ref="K100:T100" ca="1" si="72">$K$97*K94+$L$97*L94</f>
        <v>17753.29702972783</v>
      </c>
      <c r="L100" s="86">
        <f t="shared" ca="1" si="72"/>
        <v>20235.294883974118</v>
      </c>
      <c r="M100" s="86">
        <f t="shared" ca="1" si="72"/>
        <v>22124.43842346394</v>
      </c>
      <c r="N100" s="86">
        <f t="shared" ca="1" si="72"/>
        <v>24704.241388078612</v>
      </c>
      <c r="O100" s="86">
        <f t="shared" ca="1" si="72"/>
        <v>27500.919725928565</v>
      </c>
      <c r="P100" s="86">
        <f t="shared" ca="1" si="72"/>
        <v>29554.823569648957</v>
      </c>
      <c r="Q100" s="86">
        <f t="shared" ca="1" si="72"/>
        <v>31644.948703582682</v>
      </c>
      <c r="R100" s="86">
        <f t="shared" ca="1" si="72"/>
        <v>33672.66268888901</v>
      </c>
      <c r="S100" s="86">
        <f t="shared" ca="1" si="72"/>
        <v>35409.348665495963</v>
      </c>
      <c r="T100" s="86">
        <f t="shared" ca="1" si="72"/>
        <v>36991.802391008801</v>
      </c>
      <c r="U100" s="17"/>
    </row>
    <row r="101" spans="1:21" s="39" customFormat="1" ht="16" customHeight="1" x14ac:dyDescent="0.2">
      <c r="B101" s="39" t="s">
        <v>39</v>
      </c>
      <c r="J101" s="87"/>
      <c r="L101" s="40">
        <f ca="1">L100/K100-1</f>
        <v>0.13980489652655459</v>
      </c>
      <c r="M101" s="40">
        <f t="shared" ref="M101:T101" ca="1" si="73">M100/L100-1</f>
        <v>9.3358834171770821E-2</v>
      </c>
      <c r="N101" s="40">
        <f t="shared" ca="1" si="73"/>
        <v>0.11660422358466183</v>
      </c>
      <c r="O101" s="40">
        <f t="shared" ca="1" si="73"/>
        <v>0.11320640427354034</v>
      </c>
      <c r="P101" s="40">
        <f t="shared" ca="1" si="73"/>
        <v>7.4684914693377236E-2</v>
      </c>
      <c r="Q101" s="40">
        <f t="shared" ca="1" si="73"/>
        <v>7.072027105856793E-2</v>
      </c>
      <c r="R101" s="40">
        <f t="shared" ca="1" si="73"/>
        <v>6.4077019188745199E-2</v>
      </c>
      <c r="S101" s="40">
        <f t="shared" ca="1" si="73"/>
        <v>5.1575546390633553E-2</v>
      </c>
      <c r="T101" s="40">
        <f t="shared" ca="1" si="73"/>
        <v>4.4690280537547311E-2</v>
      </c>
    </row>
    <row r="102" spans="1:21" ht="16" customHeight="1" x14ac:dyDescent="0.2">
      <c r="B102" s="5" t="s">
        <v>56</v>
      </c>
      <c r="J102" s="42"/>
      <c r="T102" s="38">
        <f ca="1">T100*(1+D30)/(T105-D30)</f>
        <v>915437.91065491131</v>
      </c>
    </row>
    <row r="103" spans="1:21" ht="16" customHeight="1" x14ac:dyDescent="0.2">
      <c r="B103" s="5" t="s">
        <v>57</v>
      </c>
      <c r="J103" s="42"/>
      <c r="T103" s="88">
        <f ca="1">(T71+T83)*D31</f>
        <v>926065.96298468974</v>
      </c>
    </row>
    <row r="104" spans="1:21" ht="16" customHeight="1" x14ac:dyDescent="0.2">
      <c r="B104" s="89" t="s">
        <v>58</v>
      </c>
      <c r="C104" s="89"/>
      <c r="D104" s="89"/>
      <c r="E104" s="89"/>
      <c r="F104" s="89"/>
      <c r="G104" s="89"/>
      <c r="H104" s="89"/>
      <c r="I104" s="89"/>
      <c r="J104" s="90"/>
      <c r="K104" s="89"/>
      <c r="L104" s="89"/>
      <c r="M104" s="89"/>
      <c r="N104" s="89"/>
      <c r="O104" s="89"/>
      <c r="P104" s="89"/>
      <c r="Q104" s="89"/>
      <c r="R104" s="89"/>
      <c r="S104" s="89"/>
      <c r="T104" s="88">
        <f ca="1">AVERAGE(T102:T103)</f>
        <v>920751.93681980052</v>
      </c>
    </row>
    <row r="105" spans="1:21" ht="16" customHeight="1" x14ac:dyDescent="0.2">
      <c r="B105" s="5" t="s">
        <v>31</v>
      </c>
      <c r="J105" s="42"/>
      <c r="K105" s="91">
        <f>D29</f>
        <v>8.6823170123360563E-2</v>
      </c>
      <c r="L105" s="92">
        <f t="shared" ref="L105:S105" si="74">K105-($K$105-$T$105)/($T$98-$K$98)</f>
        <v>8.5712059012249459E-2</v>
      </c>
      <c r="M105" s="92">
        <f t="shared" si="74"/>
        <v>8.4600947901138354E-2</v>
      </c>
      <c r="N105" s="92">
        <f t="shared" si="74"/>
        <v>8.348983679002725E-2</v>
      </c>
      <c r="O105" s="92">
        <f t="shared" si="74"/>
        <v>8.2378725678916145E-2</v>
      </c>
      <c r="P105" s="92">
        <f t="shared" si="74"/>
        <v>8.1267614567805041E-2</v>
      </c>
      <c r="Q105" s="92">
        <f t="shared" si="74"/>
        <v>8.0156503456693937E-2</v>
      </c>
      <c r="R105" s="92">
        <f t="shared" si="74"/>
        <v>7.9045392345582832E-2</v>
      </c>
      <c r="S105" s="92">
        <f t="shared" si="74"/>
        <v>7.7934281234471728E-2</v>
      </c>
      <c r="T105" s="91">
        <f>T22</f>
        <v>7.6823170123360568E-2</v>
      </c>
    </row>
    <row r="106" spans="1:21" ht="16" customHeight="1" x14ac:dyDescent="0.2">
      <c r="B106" s="5" t="s">
        <v>59</v>
      </c>
      <c r="J106" s="42"/>
      <c r="K106" s="93">
        <f>1/(1+K105)</f>
        <v>0.92011288265642543</v>
      </c>
      <c r="L106" s="93">
        <f>K106*(1/(1+L105))</f>
        <v>0.84747413001336502</v>
      </c>
      <c r="M106" s="93">
        <f t="shared" ref="M106:T106" si="75">L106*(1/(1+M105))</f>
        <v>0.78136952733938836</v>
      </c>
      <c r="N106" s="93">
        <f t="shared" si="75"/>
        <v>0.72115999689881016</v>
      </c>
      <c r="O106" s="93">
        <f t="shared" si="75"/>
        <v>0.66627325518289959</v>
      </c>
      <c r="P106" s="93">
        <f t="shared" si="75"/>
        <v>0.61619644036894283</v>
      </c>
      <c r="Q106" s="93">
        <f t="shared" si="75"/>
        <v>0.57046959250534901</v>
      </c>
      <c r="R106" s="93">
        <f t="shared" si="75"/>
        <v>0.52867988367503849</v>
      </c>
      <c r="S106" s="93">
        <f t="shared" si="75"/>
        <v>0.49045650822941061</v>
      </c>
      <c r="T106" s="93">
        <f t="shared" si="75"/>
        <v>0.4554661543670388</v>
      </c>
    </row>
    <row r="107" spans="1:21" ht="16" customHeight="1" x14ac:dyDescent="0.2">
      <c r="J107" s="42"/>
    </row>
    <row r="108" spans="1:21" ht="16" customHeight="1" x14ac:dyDescent="0.2">
      <c r="B108" s="67" t="s">
        <v>60</v>
      </c>
      <c r="C108" s="67"/>
      <c r="D108" s="67"/>
      <c r="E108" s="67"/>
      <c r="F108" s="67"/>
      <c r="G108" s="67"/>
      <c r="H108" s="67"/>
      <c r="I108" s="67"/>
      <c r="J108" s="94"/>
      <c r="K108" s="95">
        <f t="shared" ref="K108:T108" ca="1" si="76">K106*K100</f>
        <v>16335.037306678629</v>
      </c>
      <c r="L108" s="95">
        <f t="shared" ca="1" si="76"/>
        <v>17148.888927359862</v>
      </c>
      <c r="M108" s="95">
        <f t="shared" ca="1" si="76"/>
        <v>17287.361993591421</v>
      </c>
      <c r="N108" s="95">
        <f t="shared" ca="1" si="76"/>
        <v>17815.710642814229</v>
      </c>
      <c r="O108" s="95">
        <f t="shared" ca="1" si="76"/>
        <v>18323.127306318042</v>
      </c>
      <c r="P108" s="95">
        <f t="shared" ca="1" si="76"/>
        <v>18211.57707934982</v>
      </c>
      <c r="Q108" s="95">
        <f t="shared" ca="1" si="76"/>
        <v>18052.480991785484</v>
      </c>
      <c r="R108" s="95">
        <f t="shared" ca="1" si="76"/>
        <v>17802.059393390649</v>
      </c>
      <c r="S108" s="95">
        <f t="shared" ca="1" si="76"/>
        <v>17366.74550515689</v>
      </c>
      <c r="T108" s="95">
        <f t="shared" ca="1" si="76"/>
        <v>16848.513978138209</v>
      </c>
    </row>
    <row r="109" spans="1:21" ht="16" customHeight="1" x14ac:dyDescent="0.2">
      <c r="B109" s="5" t="s">
        <v>61</v>
      </c>
      <c r="T109" s="38">
        <f ca="1">T106*T104</f>
        <v>419371.34378931724</v>
      </c>
    </row>
    <row r="111" spans="1:21" ht="16" customHeight="1" x14ac:dyDescent="0.2">
      <c r="B111" s="96" t="s">
        <v>62</v>
      </c>
      <c r="C111" s="53"/>
      <c r="D111" s="54">
        <f ca="1">SUM(K108:T109)</f>
        <v>594562.84691390046</v>
      </c>
    </row>
    <row r="113" spans="1:21" ht="16" customHeight="1" x14ac:dyDescent="0.2">
      <c r="B113" s="5" t="s">
        <v>63</v>
      </c>
      <c r="D113" s="97">
        <f>T9</f>
        <v>18522</v>
      </c>
    </row>
    <row r="114" spans="1:21" ht="16" customHeight="1" x14ac:dyDescent="0.2">
      <c r="B114" s="5" t="s">
        <v>64</v>
      </c>
      <c r="D114" s="97">
        <f>T10</f>
        <v>2136</v>
      </c>
    </row>
    <row r="115" spans="1:21" ht="16" customHeight="1" x14ac:dyDescent="0.2">
      <c r="B115" s="5" t="s">
        <v>65</v>
      </c>
      <c r="D115" s="97">
        <f>T11</f>
        <v>22450</v>
      </c>
    </row>
    <row r="116" spans="1:21" ht="16" customHeight="1" x14ac:dyDescent="0.2">
      <c r="B116" s="5" t="s">
        <v>66</v>
      </c>
      <c r="D116" s="97">
        <f>T12</f>
        <v>0</v>
      </c>
      <c r="H116" s="5" t="s">
        <v>67</v>
      </c>
    </row>
    <row r="117" spans="1:21" ht="16" customHeight="1" x14ac:dyDescent="0.2">
      <c r="B117" s="96" t="s">
        <v>68</v>
      </c>
      <c r="C117" s="53"/>
      <c r="D117" s="98">
        <f ca="1">D111+D113+D114-D115-D116</f>
        <v>592770.84691390046</v>
      </c>
    </row>
    <row r="118" spans="1:21" ht="16" customHeight="1" x14ac:dyDescent="0.2">
      <c r="D118" s="61"/>
    </row>
    <row r="119" spans="1:21" ht="16" customHeight="1" x14ac:dyDescent="0.2">
      <c r="B119" s="89" t="s">
        <v>69</v>
      </c>
      <c r="C119" s="89"/>
      <c r="D119" s="99">
        <f>T16</f>
        <v>2136</v>
      </c>
    </row>
    <row r="120" spans="1:21" ht="16" customHeight="1" x14ac:dyDescent="0.2">
      <c r="B120" s="100" t="s">
        <v>1</v>
      </c>
      <c r="D120" s="101">
        <f ca="1">D117/D119</f>
        <v>277.51444143909197</v>
      </c>
    </row>
    <row r="122" spans="1:21" ht="16" customHeight="1" x14ac:dyDescent="0.2">
      <c r="A122" s="5" t="s">
        <v>10</v>
      </c>
      <c r="B122" s="12" t="s">
        <v>70</v>
      </c>
      <c r="C122" s="102"/>
      <c r="D122" s="102"/>
      <c r="E122" s="103"/>
      <c r="F122" s="103"/>
      <c r="G122" s="103"/>
      <c r="H122" s="103"/>
      <c r="I122" s="103"/>
      <c r="J122" s="103"/>
      <c r="K122" s="103"/>
      <c r="L122" s="103"/>
      <c r="M122" s="103"/>
      <c r="N122" s="103"/>
      <c r="O122" s="103"/>
      <c r="P122" s="103"/>
      <c r="Q122" s="103"/>
      <c r="R122" s="103"/>
      <c r="S122" s="103"/>
      <c r="T122" s="103"/>
      <c r="U122" s="103"/>
    </row>
    <row r="124" spans="1:21" ht="16" customHeight="1" x14ac:dyDescent="0.2">
      <c r="B124" s="5" t="s">
        <v>33</v>
      </c>
      <c r="D124" s="104">
        <f>D30</f>
        <v>3.5000000000000003E-2</v>
      </c>
      <c r="F124" s="5" t="s">
        <v>71</v>
      </c>
      <c r="H124" s="24">
        <v>5.0000000000000001E-3</v>
      </c>
      <c r="J124" s="5" t="s">
        <v>72</v>
      </c>
      <c r="L124" s="105">
        <f>D31</f>
        <v>20</v>
      </c>
      <c r="N124" s="5" t="s">
        <v>73</v>
      </c>
      <c r="P124" s="106">
        <v>1</v>
      </c>
    </row>
    <row r="125" spans="1:21" ht="16" customHeight="1" x14ac:dyDescent="0.2">
      <c r="B125" s="5" t="s">
        <v>31</v>
      </c>
      <c r="D125" s="104">
        <f>D29</f>
        <v>8.6823170123360563E-2</v>
      </c>
      <c r="F125" s="5" t="s">
        <v>74</v>
      </c>
      <c r="H125" s="24">
        <v>5.0000000000000001E-3</v>
      </c>
      <c r="J125" s="5" t="s">
        <v>75</v>
      </c>
      <c r="L125" s="104">
        <f>D29</f>
        <v>8.6823170123360563E-2</v>
      </c>
      <c r="N125" s="5" t="s">
        <v>74</v>
      </c>
      <c r="P125" s="24">
        <v>5.0000000000000001E-3</v>
      </c>
    </row>
    <row r="127" spans="1:21" ht="16" customHeight="1" x14ac:dyDescent="0.2">
      <c r="D127" s="107" t="s">
        <v>33</v>
      </c>
      <c r="E127" s="107"/>
      <c r="F127" s="107"/>
      <c r="G127" s="107"/>
      <c r="H127" s="107"/>
      <c r="L127" s="107" t="s">
        <v>34</v>
      </c>
      <c r="M127" s="107"/>
      <c r="N127" s="107"/>
      <c r="O127" s="107"/>
      <c r="P127" s="107"/>
    </row>
    <row r="128" spans="1:21" ht="16" customHeight="1" x14ac:dyDescent="0.2">
      <c r="D128" s="107"/>
      <c r="E128" s="107"/>
      <c r="F128" s="107"/>
      <c r="G128" s="107"/>
      <c r="H128" s="107"/>
      <c r="L128" s="107"/>
      <c r="M128" s="107"/>
      <c r="N128" s="107"/>
      <c r="O128" s="107"/>
      <c r="P128" s="107"/>
    </row>
    <row r="129" spans="1:21" ht="16" customHeight="1" x14ac:dyDescent="0.2">
      <c r="C129" s="101">
        <f ca="1">D120</f>
        <v>277.51444143909197</v>
      </c>
      <c r="D129" s="108">
        <f>E129-H124</f>
        <v>2.5000000000000001E-2</v>
      </c>
      <c r="E129" s="108">
        <f>F129-H124</f>
        <v>3.0000000000000002E-2</v>
      </c>
      <c r="F129" s="109">
        <f>CHOOSE(D25,H25,L25,P25,H30)</f>
        <v>3.5000000000000003E-2</v>
      </c>
      <c r="G129" s="108">
        <f>F129+H124</f>
        <v>0.04</v>
      </c>
      <c r="H129" s="108">
        <f>G129+H124</f>
        <v>4.4999999999999998E-2</v>
      </c>
      <c r="K129" s="101">
        <f ca="1">D120</f>
        <v>277.51444143909197</v>
      </c>
      <c r="L129" s="110">
        <f>M129-P124</f>
        <v>18</v>
      </c>
      <c r="M129" s="110">
        <f>N129-P124</f>
        <v>19</v>
      </c>
      <c r="N129" s="110">
        <f>CHOOSE(D26,H26,L26,P26,H31)</f>
        <v>20</v>
      </c>
      <c r="O129" s="110">
        <f>N129+P124</f>
        <v>21</v>
      </c>
      <c r="P129" s="110">
        <f>O129+P124</f>
        <v>22</v>
      </c>
    </row>
    <row r="130" spans="1:21" ht="16" customHeight="1" x14ac:dyDescent="0.2">
      <c r="B130" s="107" t="s">
        <v>31</v>
      </c>
      <c r="C130" s="111">
        <f>C131-H125</f>
        <v>7.6823170123360554E-2</v>
      </c>
      <c r="D130" s="93">
        <f t="dataTable" ref="D130:H134" dt2D="1" dtr="1" r1="D30" r2="D29" ca="1"/>
        <v>299.92856560436957</v>
      </c>
      <c r="E130" s="93">
        <v>314.91804018188981</v>
      </c>
      <c r="F130" s="93">
        <v>334.61775403457165</v>
      </c>
      <c r="G130" s="93">
        <v>361.661757828406</v>
      </c>
      <c r="H130" s="93">
        <v>401.09809676006017</v>
      </c>
      <c r="J130" s="107" t="s">
        <v>31</v>
      </c>
      <c r="K130" s="111">
        <f>K131-P125</f>
        <v>7.6823170123360554E-2</v>
      </c>
      <c r="L130" s="93">
        <f t="dataTable" ref="L130:P134" dt2D="1" dtr="1" r1="D31" r2="D29" ca="1"/>
        <v>323.78351236450402</v>
      </c>
      <c r="M130" s="93">
        <v>329.20063319953783</v>
      </c>
      <c r="N130" s="93">
        <v>334.61775403457165</v>
      </c>
      <c r="O130" s="93">
        <v>340.0348748696054</v>
      </c>
      <c r="P130" s="93">
        <v>345.45199570463927</v>
      </c>
    </row>
    <row r="131" spans="1:21" ht="16" customHeight="1" x14ac:dyDescent="0.2">
      <c r="B131" s="107"/>
      <c r="C131" s="111">
        <f>C132-H125</f>
        <v>8.1823170123360559E-2</v>
      </c>
      <c r="D131" s="93">
        <v>277.1559462058662</v>
      </c>
      <c r="E131" s="112">
        <v>288.46079578125676</v>
      </c>
      <c r="F131" s="112">
        <v>302.83568238429007</v>
      </c>
      <c r="G131" s="112">
        <v>321.72768231931082</v>
      </c>
      <c r="H131" s="93">
        <v>347.66284674537997</v>
      </c>
      <c r="J131" s="107"/>
      <c r="K131" s="111">
        <f>K132-P125</f>
        <v>8.1823170123360559E-2</v>
      </c>
      <c r="L131" s="93">
        <v>292.49412765558191</v>
      </c>
      <c r="M131" s="112">
        <v>297.66490501993599</v>
      </c>
      <c r="N131" s="112">
        <v>302.83568238429007</v>
      </c>
      <c r="O131" s="112">
        <v>308.0064597486442</v>
      </c>
      <c r="P131" s="93">
        <v>313.17723711299823</v>
      </c>
    </row>
    <row r="132" spans="1:21" ht="16" customHeight="1" x14ac:dyDescent="0.2">
      <c r="B132" s="107"/>
      <c r="C132" s="111">
        <f>CHOOSE(D24,H24,L24,P24,H29)</f>
        <v>8.6823170123360563E-2</v>
      </c>
      <c r="D132" s="93">
        <v>257.91995769091761</v>
      </c>
      <c r="E132" s="112">
        <v>266.67100364872283</v>
      </c>
      <c r="F132" s="113">
        <v>277.51444143909197</v>
      </c>
      <c r="G132" s="112">
        <v>291.30261151460741</v>
      </c>
      <c r="H132" s="93">
        <v>309.42352720348134</v>
      </c>
      <c r="J132" s="107"/>
      <c r="K132" s="111">
        <f>CHOOSE(D24,H24,L24,P24,H29)</f>
        <v>8.6823170123360563E-2</v>
      </c>
      <c r="L132" s="93">
        <v>267.64104015513027</v>
      </c>
      <c r="M132" s="112">
        <v>272.57774079711112</v>
      </c>
      <c r="N132" s="113">
        <v>277.51444143909197</v>
      </c>
      <c r="O132" s="112">
        <v>282.45114208107282</v>
      </c>
      <c r="P132" s="93">
        <v>287.38784272305372</v>
      </c>
    </row>
    <row r="133" spans="1:21" ht="16" customHeight="1" x14ac:dyDescent="0.2">
      <c r="B133" s="107"/>
      <c r="C133" s="111">
        <f>C132+H125</f>
        <v>9.1823170123360567E-2</v>
      </c>
      <c r="D133" s="93">
        <v>241.34668046068387</v>
      </c>
      <c r="E133" s="112">
        <v>248.26468646443948</v>
      </c>
      <c r="F133" s="112">
        <v>256.6601673989889</v>
      </c>
      <c r="G133" s="112">
        <v>267.06302388871171</v>
      </c>
      <c r="H133" s="93">
        <v>280.29096481708336</v>
      </c>
      <c r="J133" s="107"/>
      <c r="K133" s="111">
        <f>K132+P125</f>
        <v>9.1823170123360567E-2</v>
      </c>
      <c r="L133" s="93">
        <v>247.23171275047434</v>
      </c>
      <c r="M133" s="112">
        <v>251.9459400747316</v>
      </c>
      <c r="N133" s="112">
        <v>256.6601673989889</v>
      </c>
      <c r="O133" s="112">
        <v>261.3743947232461</v>
      </c>
      <c r="P133" s="93">
        <v>266.08862204750335</v>
      </c>
    </row>
    <row r="134" spans="1:21" ht="16" customHeight="1" x14ac:dyDescent="0.2">
      <c r="B134" s="107"/>
      <c r="C134" s="111">
        <f>C133+H125</f>
        <v>9.6823170123360572E-2</v>
      </c>
      <c r="D134" s="93">
        <v>226.84093538896516</v>
      </c>
      <c r="E134" s="93">
        <v>232.40538098258349</v>
      </c>
      <c r="F134" s="93">
        <v>239.04356359004569</v>
      </c>
      <c r="G134" s="93">
        <v>247.09945939163242</v>
      </c>
      <c r="H134" s="93">
        <v>257.08153529334675</v>
      </c>
      <c r="J134" s="107"/>
      <c r="K134" s="111">
        <f>K133+P125</f>
        <v>9.6823170123360572E-2</v>
      </c>
      <c r="L134" s="93">
        <v>230.03809808351724</v>
      </c>
      <c r="M134" s="93">
        <v>234.54083083678148</v>
      </c>
      <c r="N134" s="93">
        <v>239.04356359004569</v>
      </c>
      <c r="O134" s="93">
        <v>243.54629634330993</v>
      </c>
      <c r="P134" s="93">
        <v>248.04902909657417</v>
      </c>
    </row>
    <row r="136" spans="1:21" ht="16" customHeight="1" x14ac:dyDescent="0.2">
      <c r="A136" s="5" t="s">
        <v>10</v>
      </c>
      <c r="B136" s="12" t="s">
        <v>76</v>
      </c>
      <c r="C136" s="102"/>
      <c r="D136" s="102"/>
      <c r="E136" s="33">
        <v>2017</v>
      </c>
      <c r="F136" s="33">
        <v>2018</v>
      </c>
      <c r="G136" s="33">
        <v>2019</v>
      </c>
      <c r="H136" s="33">
        <v>2020</v>
      </c>
      <c r="I136" s="33">
        <v>2021</v>
      </c>
      <c r="J136" s="33">
        <v>2022</v>
      </c>
      <c r="K136" s="34">
        <v>2023</v>
      </c>
      <c r="L136" s="34">
        <v>2024</v>
      </c>
      <c r="M136" s="34">
        <v>2025</v>
      </c>
      <c r="N136" s="34">
        <v>2026</v>
      </c>
      <c r="O136" s="34">
        <v>2027</v>
      </c>
      <c r="P136" s="34">
        <v>2028</v>
      </c>
      <c r="Q136" s="34">
        <v>2029</v>
      </c>
      <c r="R136" s="34">
        <v>2030</v>
      </c>
      <c r="S136" s="34">
        <v>2031</v>
      </c>
      <c r="T136" s="34">
        <v>2032</v>
      </c>
      <c r="U136" s="34">
        <v>2033</v>
      </c>
    </row>
    <row r="137" spans="1:21" ht="16" customHeight="1" x14ac:dyDescent="0.2">
      <c r="B137" s="12" t="s">
        <v>38</v>
      </c>
      <c r="C137" s="12"/>
      <c r="D137" s="12"/>
      <c r="E137" s="35">
        <f>EDATE(F137,-12)</f>
        <v>43008</v>
      </c>
      <c r="F137" s="35">
        <f t="shared" ref="F137:I137" si="77">EDATE(G137,-12)</f>
        <v>43373</v>
      </c>
      <c r="G137" s="35">
        <f t="shared" si="77"/>
        <v>43738</v>
      </c>
      <c r="H137" s="35">
        <f t="shared" si="77"/>
        <v>44104</v>
      </c>
      <c r="I137" s="35">
        <f t="shared" si="77"/>
        <v>44469</v>
      </c>
      <c r="J137" s="35">
        <f>EDATE(K137,-12)</f>
        <v>44834</v>
      </c>
      <c r="K137" s="35">
        <v>45199</v>
      </c>
      <c r="L137" s="35">
        <f>EDATE(K137,12)</f>
        <v>45565</v>
      </c>
      <c r="M137" s="35">
        <f t="shared" ref="M137:U137" si="78">EDATE(L137,12)</f>
        <v>45930</v>
      </c>
      <c r="N137" s="35">
        <f t="shared" si="78"/>
        <v>46295</v>
      </c>
      <c r="O137" s="35">
        <f t="shared" si="78"/>
        <v>46660</v>
      </c>
      <c r="P137" s="35">
        <f t="shared" si="78"/>
        <v>47026</v>
      </c>
      <c r="Q137" s="35">
        <f t="shared" si="78"/>
        <v>47391</v>
      </c>
      <c r="R137" s="35">
        <f t="shared" si="78"/>
        <v>47756</v>
      </c>
      <c r="S137" s="35">
        <f t="shared" si="78"/>
        <v>48121</v>
      </c>
      <c r="T137" s="35">
        <f t="shared" si="78"/>
        <v>48487</v>
      </c>
      <c r="U137" s="35">
        <f t="shared" si="78"/>
        <v>48852</v>
      </c>
    </row>
    <row r="138" spans="1:21" ht="16" customHeight="1" x14ac:dyDescent="0.2">
      <c r="B138" s="5" t="s">
        <v>43</v>
      </c>
      <c r="E138" s="38">
        <f>E68</f>
        <v>18359</v>
      </c>
      <c r="F138" s="38">
        <f t="shared" ref="F138:U139" si="79">F68</f>
        <v>20609</v>
      </c>
      <c r="G138" s="38">
        <f t="shared" si="79"/>
        <v>22977</v>
      </c>
      <c r="H138" s="38">
        <f t="shared" si="79"/>
        <v>21846</v>
      </c>
      <c r="I138" s="38">
        <f t="shared" si="79"/>
        <v>24105</v>
      </c>
      <c r="J138" s="114">
        <f t="shared" si="79"/>
        <v>29308</v>
      </c>
      <c r="K138" s="38">
        <f t="shared" ca="1" si="79"/>
        <v>32053.905203544175</v>
      </c>
      <c r="L138" s="38">
        <f t="shared" ca="1" si="79"/>
        <v>36100.839322945736</v>
      </c>
      <c r="M138" s="38">
        <f t="shared" ca="1" si="79"/>
        <v>40275.589326030778</v>
      </c>
      <c r="N138" s="38">
        <f t="shared" ca="1" si="79"/>
        <v>44506.999146790607</v>
      </c>
      <c r="O138" s="38">
        <f t="shared" ca="1" si="79"/>
        <v>48713.115441337402</v>
      </c>
      <c r="P138" s="38">
        <f t="shared" ca="1" si="79"/>
        <v>52803.163937404664</v>
      </c>
      <c r="Q138" s="38">
        <f t="shared" ca="1" si="79"/>
        <v>56680.222029066994</v>
      </c>
      <c r="R138" s="38">
        <f t="shared" ca="1" si="79"/>
        <v>60244.513420167219</v>
      </c>
      <c r="S138" s="38">
        <f t="shared" ca="1" si="79"/>
        <v>63397.197575230151</v>
      </c>
      <c r="T138" s="38">
        <f t="shared" ca="1" si="79"/>
        <v>66044.477311023089</v>
      </c>
      <c r="U138" s="38">
        <f t="shared" ca="1" si="79"/>
        <v>68101.806963580035</v>
      </c>
    </row>
    <row r="139" spans="1:21" s="39" customFormat="1" ht="16" customHeight="1" x14ac:dyDescent="0.2">
      <c r="B139" s="39" t="s">
        <v>39</v>
      </c>
      <c r="F139" s="115">
        <f t="shared" si="79"/>
        <v>0.12255569475461625</v>
      </c>
      <c r="G139" s="115">
        <f t="shared" si="79"/>
        <v>0.1149012567324954</v>
      </c>
      <c r="H139" s="115">
        <f t="shared" si="79"/>
        <v>-4.92231361796579E-2</v>
      </c>
      <c r="I139" s="115">
        <f t="shared" si="79"/>
        <v>0.10340565778632249</v>
      </c>
      <c r="J139" s="116">
        <f t="shared" si="79"/>
        <v>0.21584733457788841</v>
      </c>
      <c r="K139" s="115">
        <f t="shared" ca="1" si="79"/>
        <v>9.3691319897099001E-2</v>
      </c>
      <c r="L139" s="115">
        <f t="shared" ca="1" si="79"/>
        <v>0.12625401160024952</v>
      </c>
      <c r="M139" s="115">
        <f t="shared" ca="1" si="79"/>
        <v>0.1156413557518472</v>
      </c>
      <c r="N139" s="115">
        <f t="shared" ca="1" si="79"/>
        <v>0.10506140050506962</v>
      </c>
      <c r="O139" s="115">
        <f t="shared" ca="1" si="79"/>
        <v>9.4504603212506089E-2</v>
      </c>
      <c r="P139" s="115">
        <f t="shared" ca="1" si="79"/>
        <v>8.3961956836710483E-2</v>
      </c>
      <c r="Q139" s="115">
        <f t="shared" ca="1" si="79"/>
        <v>7.3424730689592321E-2</v>
      </c>
      <c r="R139" s="115">
        <f t="shared" ca="1" si="79"/>
        <v>6.2884217166128353E-2</v>
      </c>
      <c r="S139" s="115">
        <f t="shared" ca="1" si="79"/>
        <v>5.2331473458420374E-2</v>
      </c>
      <c r="T139" s="115">
        <f t="shared" ca="1" si="79"/>
        <v>4.1757046636825779E-2</v>
      </c>
      <c r="U139" s="115">
        <f t="shared" ca="1" si="79"/>
        <v>3.1150669008528364E-2</v>
      </c>
    </row>
    <row r="140" spans="1:21" ht="16" customHeight="1" x14ac:dyDescent="0.2">
      <c r="B140" s="5" t="s">
        <v>77</v>
      </c>
      <c r="E140" s="38">
        <f t="shared" ref="E140:U140" si="80">E83+E71</f>
        <v>12416</v>
      </c>
      <c r="F140" s="38">
        <f t="shared" si="80"/>
        <v>13567</v>
      </c>
      <c r="G140" s="38">
        <f t="shared" si="80"/>
        <v>15657</v>
      </c>
      <c r="H140" s="38">
        <f t="shared" si="80"/>
        <v>14848</v>
      </c>
      <c r="I140" s="38">
        <f t="shared" si="80"/>
        <v>16606</v>
      </c>
      <c r="J140" s="114">
        <f t="shared" si="80"/>
        <v>19674</v>
      </c>
      <c r="K140" s="38">
        <f t="shared" ca="1" si="80"/>
        <v>22361.631595037212</v>
      </c>
      <c r="L140" s="38">
        <f t="shared" ca="1" si="80"/>
        <v>25208.584839579518</v>
      </c>
      <c r="M140" s="38">
        <f t="shared" ca="1" si="80"/>
        <v>28162.195588414703</v>
      </c>
      <c r="N140" s="38">
        <f t="shared" ca="1" si="80"/>
        <v>31110.359578518626</v>
      </c>
      <c r="O140" s="38">
        <f t="shared" ca="1" si="80"/>
        <v>34050.108132307454</v>
      </c>
      <c r="P140" s="38">
        <f t="shared" ca="1" si="80"/>
        <v>36946.791275546304</v>
      </c>
      <c r="Q140" s="38">
        <f t="shared" ca="1" si="80"/>
        <v>39683.202204092609</v>
      </c>
      <c r="R140" s="38">
        <f t="shared" ca="1" si="80"/>
        <v>42200.841114181552</v>
      </c>
      <c r="S140" s="38">
        <f t="shared" ca="1" si="80"/>
        <v>44425.190526826489</v>
      </c>
      <c r="T140" s="38">
        <f t="shared" ca="1" si="80"/>
        <v>46303.298149234484</v>
      </c>
      <c r="U140" s="38">
        <f t="shared" ca="1" si="80"/>
        <v>47774.280157747562</v>
      </c>
    </row>
    <row r="141" spans="1:21" s="39" customFormat="1" ht="16" customHeight="1" x14ac:dyDescent="0.2">
      <c r="B141" s="39" t="s">
        <v>45</v>
      </c>
      <c r="E141" s="40">
        <f>E140/E138</f>
        <v>0.67628955825480686</v>
      </c>
      <c r="F141" s="40">
        <f>F140/F138</f>
        <v>0.65830462419331359</v>
      </c>
      <c r="G141" s="40">
        <f t="shared" ref="G141:U141" si="81">G140/G138</f>
        <v>0.68142055098576837</v>
      </c>
      <c r="H141" s="40">
        <f t="shared" si="81"/>
        <v>0.67966675821660716</v>
      </c>
      <c r="I141" s="40">
        <f t="shared" si="81"/>
        <v>0.68890271727857288</v>
      </c>
      <c r="J141" s="41">
        <f t="shared" si="81"/>
        <v>0.67128429097857245</v>
      </c>
      <c r="K141" s="40">
        <f t="shared" ca="1" si="81"/>
        <v>0.69762581042901139</v>
      </c>
      <c r="L141" s="40">
        <f t="shared" ca="1" si="81"/>
        <v>0.69828251399010854</v>
      </c>
      <c r="M141" s="40">
        <f t="shared" ca="1" si="81"/>
        <v>0.69923733109010056</v>
      </c>
      <c r="N141" s="40">
        <f t="shared" ca="1" si="81"/>
        <v>0.69899926247357413</v>
      </c>
      <c r="O141" s="40">
        <f t="shared" ca="1" si="81"/>
        <v>0.69899261880123797</v>
      </c>
      <c r="P141" s="40">
        <f t="shared" ca="1" si="81"/>
        <v>0.6997079061274577</v>
      </c>
      <c r="Q141" s="40">
        <f t="shared" ca="1" si="81"/>
        <v>0.70012432526714696</v>
      </c>
      <c r="R141" s="40">
        <f t="shared" ca="1" si="81"/>
        <v>0.70049268752255478</v>
      </c>
      <c r="S141" s="40">
        <f t="shared" ca="1" si="81"/>
        <v>0.7007437588090456</v>
      </c>
      <c r="T141" s="40">
        <f t="shared" ca="1" si="81"/>
        <v>0.70109265807613985</v>
      </c>
      <c r="U141" s="40">
        <f t="shared" ca="1" si="81"/>
        <v>0.70151266593112027</v>
      </c>
    </row>
    <row r="142" spans="1:21" ht="16" customHeight="1" x14ac:dyDescent="0.2">
      <c r="B142" s="5" t="s">
        <v>48</v>
      </c>
      <c r="E142" s="38">
        <f t="shared" ref="E142:U142" si="82">E83</f>
        <v>271</v>
      </c>
      <c r="F142" s="38">
        <f t="shared" si="82"/>
        <v>613</v>
      </c>
      <c r="G142" s="38">
        <f t="shared" si="82"/>
        <v>656</v>
      </c>
      <c r="H142" s="38">
        <f t="shared" si="82"/>
        <v>767</v>
      </c>
      <c r="I142" s="38">
        <f t="shared" si="82"/>
        <v>804</v>
      </c>
      <c r="J142" s="114">
        <f t="shared" si="82"/>
        <v>861</v>
      </c>
      <c r="K142" s="38">
        <f t="shared" ca="1" si="82"/>
        <v>1000.9517745842172</v>
      </c>
      <c r="L142" s="38">
        <f t="shared" ca="1" si="82"/>
        <v>1138.0324004778408</v>
      </c>
      <c r="M142" s="38">
        <f t="shared" ca="1" si="82"/>
        <v>1293.5872658276753</v>
      </c>
      <c r="N142" s="38">
        <f t="shared" ca="1" si="82"/>
        <v>1402.8692002172418</v>
      </c>
      <c r="O142" s="38">
        <f t="shared" ca="1" si="82"/>
        <v>1517.5799666862181</v>
      </c>
      <c r="P142" s="38">
        <f t="shared" ca="1" si="82"/>
        <v>1663.7522264926263</v>
      </c>
      <c r="Q142" s="38">
        <f t="shared" ca="1" si="82"/>
        <v>1789.1031008849827</v>
      </c>
      <c r="R142" s="38">
        <f t="shared" ca="1" si="82"/>
        <v>1902.1052209071415</v>
      </c>
      <c r="S142" s="38">
        <f t="shared" ca="1" si="82"/>
        <v>1994.7309876376223</v>
      </c>
      <c r="T142" s="38">
        <f t="shared" ca="1" si="82"/>
        <v>2077.2831415473925</v>
      </c>
      <c r="U142" s="38">
        <f t="shared" ca="1" si="82"/>
        <v>2146.0694921489321</v>
      </c>
    </row>
    <row r="143" spans="1:21" s="39" customFormat="1" ht="16" customHeight="1" x14ac:dyDescent="0.2">
      <c r="B143" s="39" t="s">
        <v>49</v>
      </c>
      <c r="E143" s="115">
        <f t="shared" ref="E143:U143" si="83">E85</f>
        <v>0.38330975954738333</v>
      </c>
      <c r="F143" s="115">
        <f t="shared" si="83"/>
        <v>0.85376044568245124</v>
      </c>
      <c r="G143" s="115">
        <f t="shared" si="83"/>
        <v>0.86772486772486768</v>
      </c>
      <c r="H143" s="115">
        <f t="shared" si="83"/>
        <v>1.0421195652173914</v>
      </c>
      <c r="I143" s="115">
        <f t="shared" si="83"/>
        <v>1.1404255319148937</v>
      </c>
      <c r="J143" s="116">
        <f t="shared" si="83"/>
        <v>0.8876288659793814</v>
      </c>
      <c r="K143" s="115">
        <f t="shared" ca="1" si="83"/>
        <v>0.95335022130979929</v>
      </c>
      <c r="L143" s="115">
        <f t="shared" ca="1" si="83"/>
        <v>0.97480846831558099</v>
      </c>
      <c r="M143" s="115">
        <f t="shared" ca="1" si="83"/>
        <v>0.99667506515653137</v>
      </c>
      <c r="N143" s="115">
        <f t="shared" ca="1" si="83"/>
        <v>0.98708584547993883</v>
      </c>
      <c r="O143" s="115">
        <f t="shared" ca="1" si="83"/>
        <v>0.9594617210740457</v>
      </c>
      <c r="P143" s="115">
        <f t="shared" ca="1" si="83"/>
        <v>0.97416253549439435</v>
      </c>
      <c r="Q143" s="115">
        <f t="shared" ca="1" si="83"/>
        <v>0.97838861504477104</v>
      </c>
      <c r="R143" s="115">
        <f t="shared" ca="1" si="83"/>
        <v>0.97910667685878461</v>
      </c>
      <c r="S143" s="115">
        <f t="shared" ca="1" si="83"/>
        <v>0.97559578225451404</v>
      </c>
      <c r="T143" s="115">
        <f t="shared" ca="1" si="83"/>
        <v>0.97332495015765219</v>
      </c>
      <c r="U143" s="115">
        <f t="shared" ca="1" si="83"/>
        <v>0.9761135591406731</v>
      </c>
    </row>
    <row r="144" spans="1:21" ht="16" customHeight="1" x14ac:dyDescent="0.2">
      <c r="B144" s="5" t="s">
        <v>78</v>
      </c>
      <c r="E144" s="38">
        <f t="shared" ref="E144:U145" si="84">E71</f>
        <v>12145</v>
      </c>
      <c r="F144" s="38">
        <f t="shared" si="84"/>
        <v>12954</v>
      </c>
      <c r="G144" s="38">
        <f t="shared" si="84"/>
        <v>15001</v>
      </c>
      <c r="H144" s="38">
        <f t="shared" si="84"/>
        <v>14081</v>
      </c>
      <c r="I144" s="38">
        <f t="shared" si="84"/>
        <v>15802</v>
      </c>
      <c r="J144" s="114">
        <f t="shared" si="84"/>
        <v>18813</v>
      </c>
      <c r="K144" s="38">
        <f t="shared" ca="1" si="84"/>
        <v>21360.679820452995</v>
      </c>
      <c r="L144" s="38">
        <f t="shared" ca="1" si="84"/>
        <v>24070.552439101677</v>
      </c>
      <c r="M144" s="38">
        <f t="shared" ca="1" si="84"/>
        <v>26868.608322587028</v>
      </c>
      <c r="N144" s="38">
        <f t="shared" ca="1" si="84"/>
        <v>29707.490378301383</v>
      </c>
      <c r="O144" s="38">
        <f t="shared" ca="1" si="84"/>
        <v>32532.528165621236</v>
      </c>
      <c r="P144" s="38">
        <f t="shared" ca="1" si="84"/>
        <v>35283.039049053681</v>
      </c>
      <c r="Q144" s="38">
        <f t="shared" ca="1" si="84"/>
        <v>37894.099103207627</v>
      </c>
      <c r="R144" s="38">
        <f t="shared" ca="1" si="84"/>
        <v>40298.73589327441</v>
      </c>
      <c r="S144" s="38">
        <f t="shared" ca="1" si="84"/>
        <v>42430.459539188865</v>
      </c>
      <c r="T144" s="38">
        <f t="shared" ca="1" si="84"/>
        <v>44226.015007687092</v>
      </c>
      <c r="U144" s="38">
        <f t="shared" ca="1" si="84"/>
        <v>45628.210665598628</v>
      </c>
    </row>
    <row r="145" spans="2:21" s="39" customFormat="1" ht="16" customHeight="1" x14ac:dyDescent="0.2">
      <c r="B145" s="39" t="s">
        <v>45</v>
      </c>
      <c r="E145" s="40">
        <f t="shared" si="84"/>
        <v>0.66152840568658422</v>
      </c>
      <c r="F145" s="40">
        <f t="shared" si="84"/>
        <v>0.62856033771653164</v>
      </c>
      <c r="G145" s="40">
        <f t="shared" si="84"/>
        <v>0.65287026156591377</v>
      </c>
      <c r="H145" s="40">
        <f t="shared" si="84"/>
        <v>0.64455735603771858</v>
      </c>
      <c r="I145" s="40">
        <f t="shared" si="84"/>
        <v>0.65554864136071356</v>
      </c>
      <c r="J145" s="41">
        <f t="shared" si="84"/>
        <v>0.64190664664937902</v>
      </c>
      <c r="K145" s="40">
        <f t="shared" ca="1" si="84"/>
        <v>0.66639867076449588</v>
      </c>
      <c r="L145" s="40">
        <f t="shared" ca="1" si="84"/>
        <v>0.6667588036880463</v>
      </c>
      <c r="M145" s="40">
        <f t="shared" ca="1" si="84"/>
        <v>0.66711893661159671</v>
      </c>
      <c r="N145" s="40">
        <f t="shared" ca="1" si="84"/>
        <v>0.66747906953514713</v>
      </c>
      <c r="O145" s="40">
        <f t="shared" ca="1" si="84"/>
        <v>0.66783920245869755</v>
      </c>
      <c r="P145" s="40">
        <f t="shared" ca="1" si="84"/>
        <v>0.66819933538224796</v>
      </c>
      <c r="Q145" s="40">
        <f t="shared" ca="1" si="84"/>
        <v>0.66855946830579838</v>
      </c>
      <c r="R145" s="40">
        <f t="shared" ca="1" si="84"/>
        <v>0.66891960122934879</v>
      </c>
      <c r="S145" s="40">
        <f t="shared" ca="1" si="84"/>
        <v>0.66927973415289921</v>
      </c>
      <c r="T145" s="40">
        <f t="shared" ca="1" si="84"/>
        <v>0.66963986707644962</v>
      </c>
      <c r="U145" s="40">
        <f t="shared" ca="1" si="84"/>
        <v>0.67</v>
      </c>
    </row>
    <row r="146" spans="2:21" ht="16" customHeight="1" x14ac:dyDescent="0.2">
      <c r="B146" s="5" t="s">
        <v>27</v>
      </c>
      <c r="E146" s="38">
        <f t="shared" ref="E146:U147" si="85">E78</f>
        <v>4995</v>
      </c>
      <c r="F146" s="38">
        <f t="shared" si="85"/>
        <v>2505</v>
      </c>
      <c r="G146" s="38">
        <f t="shared" si="85"/>
        <v>2804</v>
      </c>
      <c r="H146" s="38">
        <f t="shared" si="85"/>
        <v>2924</v>
      </c>
      <c r="I146" s="38">
        <f t="shared" si="85"/>
        <v>3752</v>
      </c>
      <c r="J146" s="114">
        <f t="shared" si="85"/>
        <v>3179</v>
      </c>
      <c r="K146" s="38">
        <f t="shared" ca="1" si="85"/>
        <v>4485.7427622951282</v>
      </c>
      <c r="L146" s="38">
        <f t="shared" ca="1" si="85"/>
        <v>5054.8160122113513</v>
      </c>
      <c r="M146" s="38">
        <f t="shared" ca="1" si="85"/>
        <v>5642.4077477432747</v>
      </c>
      <c r="N146" s="38">
        <f t="shared" ca="1" si="85"/>
        <v>6238.5729794432891</v>
      </c>
      <c r="O146" s="38">
        <f t="shared" ca="1" si="85"/>
        <v>6831.8309147804584</v>
      </c>
      <c r="P146" s="38">
        <f t="shared" ca="1" si="85"/>
        <v>7409.4382003012715</v>
      </c>
      <c r="Q146" s="38">
        <f t="shared" ca="1" si="85"/>
        <v>7957.7608116736001</v>
      </c>
      <c r="R146" s="38">
        <f t="shared" ca="1" si="85"/>
        <v>8462.7345375876248</v>
      </c>
      <c r="S146" s="38">
        <f t="shared" ca="1" si="85"/>
        <v>8910.3965032296601</v>
      </c>
      <c r="T146" s="38">
        <f t="shared" ca="1" si="85"/>
        <v>9287.4631516142872</v>
      </c>
      <c r="U146" s="38">
        <f t="shared" ca="1" si="85"/>
        <v>9581.9242397757116</v>
      </c>
    </row>
    <row r="147" spans="2:21" s="39" customFormat="1" ht="16" customHeight="1" x14ac:dyDescent="0.2">
      <c r="B147" s="39" t="s">
        <v>46</v>
      </c>
      <c r="E147" s="40">
        <f t="shared" si="85"/>
        <v>0.41128036228900783</v>
      </c>
      <c r="F147" s="40">
        <f t="shared" si="85"/>
        <v>0.19337656322371469</v>
      </c>
      <c r="G147" s="40">
        <f t="shared" si="85"/>
        <v>0.18692087194187054</v>
      </c>
      <c r="H147" s="40">
        <f t="shared" si="85"/>
        <v>0.20765570627086144</v>
      </c>
      <c r="I147" s="40">
        <f t="shared" si="85"/>
        <v>0.23743829894950005</v>
      </c>
      <c r="J147" s="41">
        <f t="shared" si="85"/>
        <v>0.16897889757082868</v>
      </c>
      <c r="K147" s="40">
        <f t="shared" si="85"/>
        <v>0.20999999999999996</v>
      </c>
      <c r="L147" s="40">
        <f t="shared" si="85"/>
        <v>0.20999999999999996</v>
      </c>
      <c r="M147" s="40">
        <f t="shared" si="85"/>
        <v>0.20999999999999996</v>
      </c>
      <c r="N147" s="40">
        <f t="shared" si="85"/>
        <v>0.20999999999999996</v>
      </c>
      <c r="O147" s="40">
        <f t="shared" si="85"/>
        <v>0.20999999999999996</v>
      </c>
      <c r="P147" s="40">
        <f t="shared" si="85"/>
        <v>0.20999999999999996</v>
      </c>
      <c r="Q147" s="40">
        <f t="shared" si="85"/>
        <v>0.20999999999999996</v>
      </c>
      <c r="R147" s="40">
        <f t="shared" si="85"/>
        <v>0.20999999999999996</v>
      </c>
      <c r="S147" s="40">
        <f t="shared" si="85"/>
        <v>0.20999999999999996</v>
      </c>
      <c r="T147" s="40">
        <f t="shared" si="85"/>
        <v>0.20999999999999996</v>
      </c>
      <c r="U147" s="40">
        <f t="shared" si="85"/>
        <v>0.21</v>
      </c>
    </row>
    <row r="148" spans="2:21" ht="16" customHeight="1" x14ac:dyDescent="0.2">
      <c r="B148" s="5" t="s">
        <v>47</v>
      </c>
      <c r="E148" s="38">
        <f t="shared" ref="E148:U148" si="86">E81</f>
        <v>7150</v>
      </c>
      <c r="F148" s="38">
        <f t="shared" si="86"/>
        <v>10449</v>
      </c>
      <c r="G148" s="38">
        <f t="shared" si="86"/>
        <v>12197</v>
      </c>
      <c r="H148" s="38">
        <f t="shared" si="86"/>
        <v>11157</v>
      </c>
      <c r="I148" s="38">
        <f t="shared" si="86"/>
        <v>12050</v>
      </c>
      <c r="J148" s="114">
        <f t="shared" si="86"/>
        <v>15634</v>
      </c>
      <c r="K148" s="38">
        <f t="shared" ca="1" si="86"/>
        <v>16874.937058157866</v>
      </c>
      <c r="L148" s="38">
        <f t="shared" ca="1" si="86"/>
        <v>19015.736426890326</v>
      </c>
      <c r="M148" s="38">
        <f t="shared" ca="1" si="86"/>
        <v>21226.200574843751</v>
      </c>
      <c r="N148" s="38">
        <f t="shared" ca="1" si="86"/>
        <v>23468.917398858095</v>
      </c>
      <c r="O148" s="38">
        <f t="shared" ca="1" si="86"/>
        <v>25700.697250840778</v>
      </c>
      <c r="P148" s="38">
        <f t="shared" ca="1" si="86"/>
        <v>27873.600848752409</v>
      </c>
      <c r="Q148" s="38">
        <f t="shared" ca="1" si="86"/>
        <v>29936.338291534026</v>
      </c>
      <c r="R148" s="38">
        <f t="shared" ca="1" si="86"/>
        <v>31836.001355686785</v>
      </c>
      <c r="S148" s="38">
        <f t="shared" ca="1" si="86"/>
        <v>33520.063035959203</v>
      </c>
      <c r="T148" s="38">
        <f t="shared" ca="1" si="86"/>
        <v>34938.551856072809</v>
      </c>
      <c r="U148" s="38">
        <f t="shared" ca="1" si="86"/>
        <v>36046.286425822916</v>
      </c>
    </row>
    <row r="149" spans="2:21" ht="16" customHeight="1" x14ac:dyDescent="0.2">
      <c r="B149" s="5" t="s">
        <v>79</v>
      </c>
      <c r="E149" s="38">
        <f>E142</f>
        <v>271</v>
      </c>
      <c r="F149" s="38">
        <f t="shared" ref="F149:U149" si="87">F142</f>
        <v>613</v>
      </c>
      <c r="G149" s="38">
        <f t="shared" si="87"/>
        <v>656</v>
      </c>
      <c r="H149" s="38">
        <f t="shared" si="87"/>
        <v>767</v>
      </c>
      <c r="I149" s="38">
        <f t="shared" si="87"/>
        <v>804</v>
      </c>
      <c r="J149" s="114">
        <f t="shared" si="87"/>
        <v>861</v>
      </c>
      <c r="K149" s="38">
        <f t="shared" ca="1" si="87"/>
        <v>1000.9517745842172</v>
      </c>
      <c r="L149" s="38">
        <f t="shared" ca="1" si="87"/>
        <v>1138.0324004778408</v>
      </c>
      <c r="M149" s="38">
        <f t="shared" ca="1" si="87"/>
        <v>1293.5872658276753</v>
      </c>
      <c r="N149" s="38">
        <f t="shared" ca="1" si="87"/>
        <v>1402.8692002172418</v>
      </c>
      <c r="O149" s="38">
        <f t="shared" ca="1" si="87"/>
        <v>1517.5799666862181</v>
      </c>
      <c r="P149" s="38">
        <f t="shared" ca="1" si="87"/>
        <v>1663.7522264926263</v>
      </c>
      <c r="Q149" s="38">
        <f t="shared" ca="1" si="87"/>
        <v>1789.1031008849827</v>
      </c>
      <c r="R149" s="38">
        <f t="shared" ca="1" si="87"/>
        <v>1902.1052209071415</v>
      </c>
      <c r="S149" s="38">
        <f t="shared" ca="1" si="87"/>
        <v>1994.7309876376223</v>
      </c>
      <c r="T149" s="38">
        <f t="shared" ca="1" si="87"/>
        <v>2077.2831415473925</v>
      </c>
      <c r="U149" s="38">
        <f t="shared" ca="1" si="87"/>
        <v>2146.0694921489321</v>
      </c>
    </row>
    <row r="150" spans="2:21" ht="16" customHeight="1" x14ac:dyDescent="0.2">
      <c r="B150" s="5" t="s">
        <v>80</v>
      </c>
      <c r="E150" s="38">
        <f t="shared" ref="E150:U150" si="88">E87</f>
        <v>707</v>
      </c>
      <c r="F150" s="38">
        <f t="shared" si="88"/>
        <v>718</v>
      </c>
      <c r="G150" s="38">
        <f t="shared" si="88"/>
        <v>756</v>
      </c>
      <c r="H150" s="38">
        <f t="shared" si="88"/>
        <v>736</v>
      </c>
      <c r="I150" s="38">
        <f t="shared" si="88"/>
        <v>705</v>
      </c>
      <c r="J150" s="114">
        <f t="shared" si="88"/>
        <v>970</v>
      </c>
      <c r="K150" s="38">
        <f t="shared" ca="1" si="88"/>
        <v>1049.9308147314621</v>
      </c>
      <c r="L150" s="38">
        <f t="shared" ca="1" si="88"/>
        <v>1167.4420539701532</v>
      </c>
      <c r="M150" s="38">
        <f t="shared" ca="1" si="88"/>
        <v>1297.9027077641526</v>
      </c>
      <c r="N150" s="38">
        <f t="shared" ca="1" si="88"/>
        <v>1421.223094871897</v>
      </c>
      <c r="O150" s="38">
        <f t="shared" ca="1" si="88"/>
        <v>1581.6993355268</v>
      </c>
      <c r="P150" s="38">
        <f t="shared" ca="1" si="88"/>
        <v>1707.8795025188074</v>
      </c>
      <c r="Q150" s="38">
        <f t="shared" ca="1" si="88"/>
        <v>1828.6221582853491</v>
      </c>
      <c r="R150" s="38">
        <f t="shared" ca="1" si="88"/>
        <v>1942.6945662443684</v>
      </c>
      <c r="S150" s="38">
        <f t="shared" ca="1" si="88"/>
        <v>2044.6285479299413</v>
      </c>
      <c r="T150" s="38">
        <f t="shared" ca="1" si="88"/>
        <v>2134.213390102585</v>
      </c>
      <c r="U150" s="38">
        <f t="shared" ca="1" si="88"/>
        <v>2198.5858838373642</v>
      </c>
    </row>
    <row r="151" spans="2:21" ht="16" customHeight="1" x14ac:dyDescent="0.2">
      <c r="B151" s="5" t="s">
        <v>81</v>
      </c>
      <c r="E151" s="38">
        <f t="shared" ref="E151:U151" si="89">E90</f>
        <v>93</v>
      </c>
      <c r="F151" s="38">
        <f t="shared" si="89"/>
        <v>-2220</v>
      </c>
      <c r="G151" s="38">
        <f t="shared" si="89"/>
        <v>279</v>
      </c>
      <c r="H151" s="38">
        <f t="shared" si="89"/>
        <v>709</v>
      </c>
      <c r="I151" s="38">
        <f t="shared" si="89"/>
        <v>-1732</v>
      </c>
      <c r="J151" s="114">
        <f t="shared" si="89"/>
        <v>-1280</v>
      </c>
      <c r="K151" s="38">
        <f t="shared" ca="1" si="89"/>
        <v>-927.33901171720981</v>
      </c>
      <c r="L151" s="38">
        <f t="shared" ca="1" si="89"/>
        <v>-1248.9681105761047</v>
      </c>
      <c r="M151" s="38">
        <f t="shared" ca="1" si="89"/>
        <v>-902.55329055666618</v>
      </c>
      <c r="N151" s="38">
        <f t="shared" ca="1" si="89"/>
        <v>-1253.6778838751707</v>
      </c>
      <c r="O151" s="38">
        <f t="shared" ca="1" si="89"/>
        <v>-1864.3418439283666</v>
      </c>
      <c r="P151" s="38">
        <f t="shared" ca="1" si="89"/>
        <v>-1725.3499969227296</v>
      </c>
      <c r="Q151" s="38">
        <f t="shared" ca="1" si="89"/>
        <v>-1748.1294694490248</v>
      </c>
      <c r="R151" s="38">
        <f t="shared" ca="1" si="89"/>
        <v>-1877.2506785394494</v>
      </c>
      <c r="S151" s="38">
        <f t="shared" ca="1" si="89"/>
        <v>-1939.1831898290761</v>
      </c>
      <c r="T151" s="38">
        <f t="shared" ca="1" si="89"/>
        <v>-2110.180783491187</v>
      </c>
      <c r="U151" s="38">
        <f t="shared" ca="1" si="89"/>
        <v>-2218.8502245604755</v>
      </c>
    </row>
    <row r="152" spans="2:21" ht="16" customHeight="1" x14ac:dyDescent="0.2">
      <c r="J152" s="42"/>
    </row>
    <row r="153" spans="2:21" ht="16" customHeight="1" x14ac:dyDescent="0.2">
      <c r="B153" s="89" t="s">
        <v>82</v>
      </c>
      <c r="C153" s="89"/>
      <c r="D153" s="89"/>
      <c r="E153" s="88">
        <f>E148+E149-E150-E151</f>
        <v>6621</v>
      </c>
      <c r="F153" s="88">
        <f t="shared" ref="F153:U153" si="90">F148+F149-F150-F151</f>
        <v>12564</v>
      </c>
      <c r="G153" s="88">
        <f t="shared" si="90"/>
        <v>11818</v>
      </c>
      <c r="H153" s="88">
        <f t="shared" si="90"/>
        <v>10479</v>
      </c>
      <c r="I153" s="88">
        <f t="shared" si="90"/>
        <v>13881</v>
      </c>
      <c r="J153" s="117">
        <f t="shared" si="90"/>
        <v>16805</v>
      </c>
      <c r="K153" s="88">
        <f t="shared" ca="1" si="90"/>
        <v>17753.29702972783</v>
      </c>
      <c r="L153" s="88">
        <f t="shared" ca="1" si="90"/>
        <v>20235.294883974118</v>
      </c>
      <c r="M153" s="88">
        <f t="shared" ca="1" si="90"/>
        <v>22124.43842346394</v>
      </c>
      <c r="N153" s="88">
        <f t="shared" ca="1" si="90"/>
        <v>24704.241388078612</v>
      </c>
      <c r="O153" s="88">
        <f t="shared" ca="1" si="90"/>
        <v>27500.919725928565</v>
      </c>
      <c r="P153" s="88">
        <f t="shared" ca="1" si="90"/>
        <v>29554.823569648957</v>
      </c>
      <c r="Q153" s="88">
        <f t="shared" ca="1" si="90"/>
        <v>31644.948703582682</v>
      </c>
      <c r="R153" s="88">
        <f t="shared" ca="1" si="90"/>
        <v>33672.66268888901</v>
      </c>
      <c r="S153" s="88">
        <f t="shared" ca="1" si="90"/>
        <v>35409.348665495963</v>
      </c>
      <c r="T153" s="88">
        <f t="shared" ca="1" si="90"/>
        <v>36991.802391008801</v>
      </c>
      <c r="U153" s="88">
        <f t="shared" ca="1" si="90"/>
        <v>38212.620258694966</v>
      </c>
    </row>
    <row r="154" spans="2:21" ht="16" customHeight="1" x14ac:dyDescent="0.2">
      <c r="E154" s="38"/>
    </row>
  </sheetData>
  <sheetProtection algorithmName="SHA-512" hashValue="Eyu1hHnNV8nDyjGjBQkb1WpjhlDj/kUdWZBE1zMLNW9vztsyxJAiaHgfrEzZHC5qtfxc9967KCjnVYniR7tDsg==" saltValue="vJBgEllmCYfKYGp58qJZ6A==" spinCount="100000" sheet="1" objects="1" scenarios="1" selectLockedCells="1"/>
  <mergeCells count="4">
    <mergeCell ref="D127:H128"/>
    <mergeCell ref="L127:P128"/>
    <mergeCell ref="B130:B134"/>
    <mergeCell ref="J130:J134"/>
  </mergeCells>
  <pageMargins left="0.7" right="0.7" top="0.75" bottom="0.75" header="0.3" footer="0.3"/>
  <ignoredErrors>
    <ignoredError sqref="T22"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CF86-AA3F-2B45-940B-459D2F62068D}">
  <dimension ref="B1:AJ56"/>
  <sheetViews>
    <sheetView zoomScaleNormal="100" workbookViewId="0">
      <pane xSplit="2" ySplit="2" topLeftCell="K3" activePane="bottomRight" state="frozen"/>
      <selection activeCell="P115" sqref="P115:P116"/>
      <selection pane="topRight" activeCell="P115" sqref="P115:P116"/>
      <selection pane="bottomLeft" activeCell="P115" sqref="P115:P116"/>
      <selection pane="bottomRight" activeCell="N34" sqref="N34"/>
    </sheetView>
  </sheetViews>
  <sheetFormatPr baseColWidth="10" defaultRowHeight="16" x14ac:dyDescent="0.2"/>
  <cols>
    <col min="2" max="2" width="35.33203125" customWidth="1"/>
    <col min="25" max="33" width="10.83203125" hidden="1" customWidth="1"/>
    <col min="34" max="34" width="0" hidden="1" customWidth="1"/>
    <col min="36" max="36" width="10.83203125" customWidth="1"/>
  </cols>
  <sheetData>
    <row r="1" spans="2:34" x14ac:dyDescent="0.2">
      <c r="B1" s="61" t="e" vm="1">
        <v>#VALUE!</v>
      </c>
      <c r="C1" s="118"/>
      <c r="D1" s="118"/>
      <c r="E1" s="118"/>
      <c r="F1" s="118"/>
      <c r="G1" s="118"/>
      <c r="H1" s="118"/>
      <c r="I1" s="118"/>
      <c r="J1" s="119">
        <v>44834</v>
      </c>
      <c r="K1" s="119">
        <v>44926</v>
      </c>
      <c r="L1" s="119"/>
      <c r="M1" s="118"/>
      <c r="N1" s="118"/>
      <c r="O1" s="118"/>
    </row>
    <row r="2" spans="2:34" x14ac:dyDescent="0.2">
      <c r="B2" s="120" t="s">
        <v>83</v>
      </c>
      <c r="C2" s="121" t="s">
        <v>84</v>
      </c>
      <c r="D2" s="121" t="s">
        <v>85</v>
      </c>
      <c r="E2" s="121" t="s">
        <v>86</v>
      </c>
      <c r="F2" s="121" t="s">
        <v>87</v>
      </c>
      <c r="G2" s="121" t="s">
        <v>88</v>
      </c>
      <c r="H2" s="121" t="s">
        <v>89</v>
      </c>
      <c r="I2" s="121" t="s">
        <v>90</v>
      </c>
      <c r="J2" s="121" t="s">
        <v>91</v>
      </c>
      <c r="K2" s="121" t="s">
        <v>142</v>
      </c>
      <c r="L2" s="121" t="s">
        <v>92</v>
      </c>
      <c r="M2" s="121" t="s">
        <v>93</v>
      </c>
      <c r="N2" s="121" t="s">
        <v>94</v>
      </c>
      <c r="O2" s="118"/>
      <c r="R2" s="118" t="s">
        <v>95</v>
      </c>
      <c r="S2" s="118" t="s">
        <v>96</v>
      </c>
      <c r="T2" s="122">
        <v>2019</v>
      </c>
      <c r="U2" s="122">
        <f>T2+1</f>
        <v>2020</v>
      </c>
      <c r="V2" s="122">
        <f t="shared" ref="V2:AG2" si="0">U2+1</f>
        <v>2021</v>
      </c>
      <c r="W2" s="122">
        <f t="shared" si="0"/>
        <v>2022</v>
      </c>
      <c r="X2" s="123">
        <v>2023</v>
      </c>
      <c r="Y2" s="122">
        <f t="shared" si="0"/>
        <v>2024</v>
      </c>
      <c r="Z2" s="122">
        <f t="shared" si="0"/>
        <v>2025</v>
      </c>
      <c r="AA2" s="122">
        <f t="shared" si="0"/>
        <v>2026</v>
      </c>
      <c r="AB2" s="122">
        <f t="shared" si="0"/>
        <v>2027</v>
      </c>
      <c r="AC2" s="122">
        <f t="shared" si="0"/>
        <v>2028</v>
      </c>
      <c r="AD2" s="122">
        <f t="shared" si="0"/>
        <v>2029</v>
      </c>
      <c r="AE2" s="122">
        <f t="shared" si="0"/>
        <v>2030</v>
      </c>
      <c r="AF2" s="122">
        <f t="shared" si="0"/>
        <v>2031</v>
      </c>
      <c r="AG2" s="122">
        <f t="shared" si="0"/>
        <v>2032</v>
      </c>
    </row>
    <row r="3" spans="2:34" x14ac:dyDescent="0.2">
      <c r="B3" s="124" t="s">
        <v>137</v>
      </c>
      <c r="C3" s="125">
        <v>2677</v>
      </c>
      <c r="D3" s="125">
        <v>2845</v>
      </c>
      <c r="E3" s="125">
        <v>2828</v>
      </c>
      <c r="F3" s="125">
        <v>3125</v>
      </c>
      <c r="G3" s="125">
        <v>3193</v>
      </c>
      <c r="H3" s="125">
        <v>3521</v>
      </c>
      <c r="I3" s="125">
        <v>3189</v>
      </c>
      <c r="J3" s="125">
        <v>3458</v>
      </c>
      <c r="K3" s="124">
        <f>G3*(1+K29)</f>
        <v>3352.65</v>
      </c>
      <c r="L3" s="124">
        <f>H3*(1+L29)</f>
        <v>3661.84</v>
      </c>
      <c r="M3" s="124">
        <f>I3*(1+M29)</f>
        <v>3380.34</v>
      </c>
      <c r="N3" s="124">
        <f>J3*(1+N29)</f>
        <v>3734.6400000000003</v>
      </c>
      <c r="O3" s="124"/>
      <c r="R3" s="124">
        <v>7975</v>
      </c>
      <c r="S3" s="125">
        <v>8918</v>
      </c>
      <c r="T3" s="125">
        <v>9700</v>
      </c>
      <c r="U3" s="124">
        <v>9804</v>
      </c>
      <c r="V3" s="124">
        <v>11475</v>
      </c>
      <c r="W3" s="124">
        <v>13361</v>
      </c>
      <c r="X3" s="124">
        <f>SUM(K3:N3)</f>
        <v>14129.470000000001</v>
      </c>
      <c r="Y3" s="124"/>
      <c r="Z3" s="124"/>
      <c r="AA3" s="124"/>
      <c r="AB3" s="124"/>
      <c r="AC3" s="124"/>
      <c r="AD3" s="124"/>
      <c r="AE3" s="124"/>
      <c r="AF3" s="124"/>
      <c r="AG3" s="124"/>
      <c r="AH3" s="126"/>
    </row>
    <row r="4" spans="2:34" x14ac:dyDescent="0.2">
      <c r="B4" s="124" t="s">
        <v>136</v>
      </c>
      <c r="C4" s="125">
        <v>3033</v>
      </c>
      <c r="D4" s="125">
        <v>2996</v>
      </c>
      <c r="E4" s="125">
        <v>3327</v>
      </c>
      <c r="F4" s="125">
        <v>3436</v>
      </c>
      <c r="G4" s="125">
        <v>3614</v>
      </c>
      <c r="H4" s="125">
        <v>3480</v>
      </c>
      <c r="I4" s="125">
        <v>3579</v>
      </c>
      <c r="J4" s="124">
        <v>3765</v>
      </c>
      <c r="K4" s="124">
        <f>G4*(1+K30)</f>
        <v>3794.7000000000003</v>
      </c>
      <c r="L4" s="124">
        <f>H4*(1+L30)</f>
        <v>3688.8</v>
      </c>
      <c r="M4" s="124">
        <f>I4*(1+M30)</f>
        <v>3793.7400000000002</v>
      </c>
      <c r="N4" s="124">
        <f>J4*(1+N30)</f>
        <v>4028.55</v>
      </c>
      <c r="O4" s="124"/>
      <c r="R4" s="124">
        <v>7787</v>
      </c>
      <c r="S4" s="125">
        <v>9027</v>
      </c>
      <c r="T4" s="125">
        <v>10333</v>
      </c>
      <c r="U4" s="124">
        <v>10975</v>
      </c>
      <c r="V4" s="124">
        <v>12792</v>
      </c>
      <c r="W4" s="124">
        <v>14438</v>
      </c>
      <c r="X4" s="124">
        <f>SUM(K4:N4)</f>
        <v>15305.79</v>
      </c>
      <c r="Y4" s="124"/>
      <c r="Z4" s="124"/>
      <c r="AA4" s="124"/>
      <c r="AB4" s="124"/>
      <c r="AC4" s="124"/>
      <c r="AD4" s="124"/>
      <c r="AE4" s="124"/>
      <c r="AF4" s="124"/>
      <c r="AG4" s="124"/>
      <c r="AH4" s="126"/>
    </row>
    <row r="5" spans="2:34" x14ac:dyDescent="0.2">
      <c r="B5" s="124" t="s">
        <v>135</v>
      </c>
      <c r="C5" s="125">
        <v>1451</v>
      </c>
      <c r="D5" s="125">
        <v>1488</v>
      </c>
      <c r="E5" s="125">
        <v>1696</v>
      </c>
      <c r="F5" s="125">
        <v>1895</v>
      </c>
      <c r="G5" s="125">
        <v>2174</v>
      </c>
      <c r="H5" s="125">
        <v>2208</v>
      </c>
      <c r="I5" s="125">
        <v>2560</v>
      </c>
      <c r="J5" s="124">
        <v>2873</v>
      </c>
      <c r="K5" s="124">
        <f>G5*(1+K31)</f>
        <v>2717.5</v>
      </c>
      <c r="L5" s="124">
        <f>H5*(1+L31)</f>
        <v>2649.6</v>
      </c>
      <c r="M5" s="124">
        <f>I5*(1+M31)</f>
        <v>3123.2</v>
      </c>
      <c r="N5" s="124">
        <f>J5*(1+N31)</f>
        <v>3591.25</v>
      </c>
      <c r="O5" s="124"/>
      <c r="R5" s="124">
        <v>6321</v>
      </c>
      <c r="S5" s="125">
        <v>7211</v>
      </c>
      <c r="T5" s="125">
        <v>7804</v>
      </c>
      <c r="U5" s="124">
        <v>6299</v>
      </c>
      <c r="V5" s="124">
        <v>6530</v>
      </c>
      <c r="W5" s="124">
        <v>9815</v>
      </c>
      <c r="X5" s="124">
        <f>SUM(K5:N5)</f>
        <v>12081.55</v>
      </c>
      <c r="Y5" s="124"/>
      <c r="Z5" s="124"/>
      <c r="AA5" s="124"/>
      <c r="AB5" s="124"/>
      <c r="AC5" s="124"/>
      <c r="AD5" s="124"/>
      <c r="AE5" s="124"/>
      <c r="AF5" s="124"/>
      <c r="AG5" s="124"/>
      <c r="AH5" s="126"/>
    </row>
    <row r="6" spans="2:34" x14ac:dyDescent="0.2">
      <c r="B6" s="124" t="s">
        <v>134</v>
      </c>
      <c r="C6" s="125">
        <v>384</v>
      </c>
      <c r="D6" s="125">
        <v>392</v>
      </c>
      <c r="E6" s="125">
        <v>409</v>
      </c>
      <c r="F6" s="125">
        <v>490</v>
      </c>
      <c r="G6" s="125">
        <v>449</v>
      </c>
      <c r="H6" s="125">
        <v>474</v>
      </c>
      <c r="I6" s="125">
        <v>517</v>
      </c>
      <c r="J6" s="124">
        <v>551</v>
      </c>
      <c r="K6" s="124">
        <f>G6*(1+K32)</f>
        <v>480.43</v>
      </c>
      <c r="L6" s="124">
        <f>H6*(1+L32)</f>
        <v>492.96000000000004</v>
      </c>
      <c r="M6" s="124">
        <f>I6*(1+M32)</f>
        <v>558.36</v>
      </c>
      <c r="N6" s="124">
        <f>J6*(1+N32)</f>
        <v>606.1</v>
      </c>
      <c r="O6" s="124"/>
      <c r="R6" s="124">
        <v>841</v>
      </c>
      <c r="S6" s="125">
        <v>944</v>
      </c>
      <c r="T6" s="125">
        <v>1313</v>
      </c>
      <c r="U6" s="124">
        <v>1432</v>
      </c>
      <c r="V6" s="124">
        <v>1675</v>
      </c>
      <c r="W6" s="124">
        <v>1991</v>
      </c>
      <c r="X6" s="124">
        <f>SUM(K6:N6)</f>
        <v>2137.85</v>
      </c>
      <c r="Y6" s="124"/>
      <c r="Z6" s="124"/>
      <c r="AA6" s="124"/>
      <c r="AB6" s="124"/>
      <c r="AC6" s="124"/>
      <c r="AD6" s="124"/>
      <c r="AE6" s="124"/>
      <c r="AF6" s="124"/>
      <c r="AG6" s="124"/>
      <c r="AH6" s="126"/>
    </row>
    <row r="7" spans="2:34" x14ac:dyDescent="0.2">
      <c r="B7" s="124" t="s">
        <v>133</v>
      </c>
      <c r="C7" s="125">
        <v>-1858</v>
      </c>
      <c r="D7" s="125">
        <v>-1992</v>
      </c>
      <c r="E7" s="125">
        <v>-2130</v>
      </c>
      <c r="F7" s="125">
        <v>-2387</v>
      </c>
      <c r="G7" s="125">
        <v>-2371</v>
      </c>
      <c r="H7" s="125">
        <v>-2496</v>
      </c>
      <c r="I7" s="125">
        <v>-2570</v>
      </c>
      <c r="J7" s="125">
        <v>-2860</v>
      </c>
      <c r="K7" s="124">
        <f>G7*(1+K33)</f>
        <v>-2631.8100000000004</v>
      </c>
      <c r="L7" s="124">
        <f t="shared" ref="L7:N7" si="1">H7*(1+L33)</f>
        <v>-2670.7200000000003</v>
      </c>
      <c r="M7" s="124">
        <f t="shared" si="1"/>
        <v>-2775.6000000000004</v>
      </c>
      <c r="N7" s="124">
        <f t="shared" si="1"/>
        <v>-3174.6000000000004</v>
      </c>
      <c r="O7" s="125"/>
      <c r="P7" s="125"/>
      <c r="Q7" s="125"/>
      <c r="R7" s="125">
        <v>-4565</v>
      </c>
      <c r="S7" s="125">
        <v>-5491</v>
      </c>
      <c r="T7" s="125">
        <v>-6173</v>
      </c>
      <c r="U7" s="125">
        <v>-6664</v>
      </c>
      <c r="V7" s="125">
        <v>-8367</v>
      </c>
      <c r="W7" s="125">
        <v>-10297</v>
      </c>
      <c r="X7" s="124">
        <f t="shared" ref="X7:X22" si="2">SUM(K7:N7)</f>
        <v>-11252.730000000001</v>
      </c>
      <c r="Y7" s="124"/>
      <c r="Z7" s="124"/>
      <c r="AA7" s="124"/>
      <c r="AB7" s="124"/>
      <c r="AC7" s="124"/>
      <c r="AD7" s="124"/>
      <c r="AE7" s="124"/>
      <c r="AF7" s="124"/>
      <c r="AG7" s="124"/>
      <c r="AH7" s="126"/>
    </row>
    <row r="8" spans="2:34" s="129" customFormat="1" x14ac:dyDescent="0.2">
      <c r="B8" s="127" t="s">
        <v>43</v>
      </c>
      <c r="C8" s="157">
        <f>SUM(C3:C7)</f>
        <v>5687</v>
      </c>
      <c r="D8" s="157">
        <f>SUM(D3:D7)</f>
        <v>5729</v>
      </c>
      <c r="E8" s="157">
        <f>SUM(E3:E7)</f>
        <v>6130</v>
      </c>
      <c r="F8" s="157">
        <f>SUM(F3:F7)</f>
        <v>6559</v>
      </c>
      <c r="G8" s="157">
        <f>SUM(G3:G7)</f>
        <v>7059</v>
      </c>
      <c r="H8" s="157">
        <f>SUM(H3:H7)</f>
        <v>7187</v>
      </c>
      <c r="I8" s="157">
        <f>SUM(I3:I7)</f>
        <v>7275</v>
      </c>
      <c r="J8" s="157">
        <f>SUM(J3:J7)</f>
        <v>7787</v>
      </c>
      <c r="K8" s="127">
        <f>SUM(K3:K7)</f>
        <v>7713.47</v>
      </c>
      <c r="L8" s="127">
        <f>SUM(L3:L7)</f>
        <v>7822.4800000000005</v>
      </c>
      <c r="M8" s="127">
        <f>SUM(M3:M7)</f>
        <v>8080.0399999999991</v>
      </c>
      <c r="N8" s="127">
        <f>SUM(N3:N7)</f>
        <v>8785.94</v>
      </c>
      <c r="O8" s="127"/>
      <c r="R8" s="127">
        <f>SUM(R3:R7)</f>
        <v>18359</v>
      </c>
      <c r="S8" s="127">
        <v>20609</v>
      </c>
      <c r="T8" s="127">
        <v>22977</v>
      </c>
      <c r="U8" s="127">
        <v>21846</v>
      </c>
      <c r="V8" s="127">
        <v>24105</v>
      </c>
      <c r="W8" s="127">
        <v>29310</v>
      </c>
      <c r="X8" s="127">
        <f t="shared" si="2"/>
        <v>32401.93</v>
      </c>
      <c r="Y8" s="127"/>
      <c r="Z8" s="127"/>
      <c r="AA8" s="127"/>
      <c r="AB8" s="127"/>
      <c r="AC8" s="127"/>
      <c r="AD8" s="127"/>
      <c r="AE8" s="127"/>
      <c r="AF8" s="127"/>
      <c r="AG8" s="127"/>
      <c r="AH8" s="158"/>
    </row>
    <row r="9" spans="2:34" x14ac:dyDescent="0.2">
      <c r="B9" s="124" t="s">
        <v>132</v>
      </c>
      <c r="C9" s="124">
        <v>981</v>
      </c>
      <c r="D9" s="124">
        <v>1114</v>
      </c>
      <c r="E9" s="124">
        <v>1098</v>
      </c>
      <c r="F9" s="124">
        <v>1047</v>
      </c>
      <c r="G9" s="124">
        <v>1125</v>
      </c>
      <c r="H9" s="124">
        <v>1226</v>
      </c>
      <c r="I9" s="124">
        <v>1283</v>
      </c>
      <c r="J9" s="124">
        <v>1356</v>
      </c>
      <c r="K9" s="124">
        <f>K$8*K35</f>
        <v>1312.158755036013</v>
      </c>
      <c r="L9" s="124">
        <f t="shared" ref="L9:N9" si="3">L$8*L35</f>
        <v>1351.7092718043446</v>
      </c>
      <c r="M9" s="124">
        <f t="shared" si="3"/>
        <v>1400.683939981217</v>
      </c>
      <c r="N9" s="124">
        <f t="shared" si="3"/>
        <v>1516.4492566426698</v>
      </c>
      <c r="O9" s="124"/>
      <c r="R9" s="124">
        <v>2628</v>
      </c>
      <c r="S9" s="124">
        <v>3170</v>
      </c>
      <c r="T9" s="124">
        <v>3444</v>
      </c>
      <c r="U9" s="124">
        <v>3785</v>
      </c>
      <c r="V9" s="124">
        <v>4240</v>
      </c>
      <c r="W9" s="124">
        <v>4990</v>
      </c>
      <c r="X9" s="124">
        <f t="shared" si="2"/>
        <v>5581.0012234642445</v>
      </c>
      <c r="Y9" s="124"/>
      <c r="Z9" s="124"/>
      <c r="AA9" s="124"/>
      <c r="AB9" s="124"/>
      <c r="AC9" s="124"/>
      <c r="AD9" s="124"/>
      <c r="AE9" s="124"/>
      <c r="AF9" s="124"/>
      <c r="AG9" s="124"/>
      <c r="AH9" s="126"/>
    </row>
    <row r="10" spans="2:34" x14ac:dyDescent="0.2">
      <c r="B10" s="124" t="s">
        <v>131</v>
      </c>
      <c r="C10" s="124">
        <v>205</v>
      </c>
      <c r="D10" s="124">
        <v>206</v>
      </c>
      <c r="E10" s="124">
        <v>268</v>
      </c>
      <c r="F10" s="124">
        <v>457</v>
      </c>
      <c r="G10" s="124">
        <v>280</v>
      </c>
      <c r="H10" s="124">
        <v>314</v>
      </c>
      <c r="I10" s="124">
        <v>313</v>
      </c>
      <c r="J10" s="124">
        <v>429</v>
      </c>
      <c r="K10" s="124">
        <f t="shared" ref="K10:N15" si="4">K$8*K36</f>
        <v>378.40692794290595</v>
      </c>
      <c r="L10" s="124">
        <f t="shared" si="4"/>
        <v>407.35469572770199</v>
      </c>
      <c r="M10" s="124">
        <f t="shared" si="4"/>
        <v>408.57859873672612</v>
      </c>
      <c r="N10" s="124">
        <f t="shared" si="4"/>
        <v>450.90009214096801</v>
      </c>
      <c r="O10" s="124"/>
      <c r="R10" s="124">
        <v>922</v>
      </c>
      <c r="S10" s="124">
        <v>988</v>
      </c>
      <c r="T10" s="124">
        <v>1105</v>
      </c>
      <c r="U10" s="124">
        <v>971</v>
      </c>
      <c r="V10" s="124">
        <v>1136</v>
      </c>
      <c r="W10" s="124">
        <v>1336</v>
      </c>
      <c r="X10" s="124">
        <f t="shared" si="2"/>
        <v>1645.2403145483022</v>
      </c>
      <c r="Y10" s="124"/>
      <c r="Z10" s="124"/>
      <c r="AA10" s="124"/>
      <c r="AB10" s="124"/>
      <c r="AC10" s="124"/>
      <c r="AD10" s="124"/>
      <c r="AE10" s="124"/>
      <c r="AF10" s="124"/>
      <c r="AG10" s="124"/>
      <c r="AH10" s="126"/>
    </row>
    <row r="11" spans="2:34" s="160" customFormat="1" x14ac:dyDescent="0.2">
      <c r="B11" s="159" t="s">
        <v>130</v>
      </c>
      <c r="C11" s="159">
        <v>173</v>
      </c>
      <c r="D11" s="159">
        <v>179</v>
      </c>
      <c r="E11" s="159">
        <v>186</v>
      </c>
      <c r="F11" s="159">
        <v>192</v>
      </c>
      <c r="G11" s="159">
        <v>190</v>
      </c>
      <c r="H11" s="159">
        <v>190</v>
      </c>
      <c r="I11" s="159">
        <v>178</v>
      </c>
      <c r="J11" s="159">
        <v>185</v>
      </c>
      <c r="K11" s="124">
        <f t="shared" si="4"/>
        <v>154.26940000000002</v>
      </c>
      <c r="L11" s="124">
        <f t="shared" si="4"/>
        <v>185.12196224221339</v>
      </c>
      <c r="M11" s="124">
        <f t="shared" si="4"/>
        <v>185.61928175850059</v>
      </c>
      <c r="N11" s="124">
        <f t="shared" si="4"/>
        <v>198.55234740716932</v>
      </c>
      <c r="O11" s="159"/>
      <c r="R11" s="159">
        <v>620</v>
      </c>
      <c r="S11" s="159">
        <v>686</v>
      </c>
      <c r="T11" s="159">
        <v>721</v>
      </c>
      <c r="U11" s="159">
        <v>727</v>
      </c>
      <c r="V11" s="159">
        <v>730</v>
      </c>
      <c r="W11" s="159">
        <v>743</v>
      </c>
      <c r="X11" s="124">
        <f t="shared" si="2"/>
        <v>723.56299140788337</v>
      </c>
      <c r="Y11" s="159"/>
      <c r="Z11" s="159"/>
      <c r="AA11" s="159"/>
      <c r="AB11" s="159"/>
      <c r="AC11" s="159"/>
      <c r="AD11" s="159"/>
      <c r="AE11" s="159"/>
      <c r="AF11" s="159"/>
      <c r="AG11" s="159"/>
      <c r="AH11" s="161"/>
    </row>
    <row r="12" spans="2:34" x14ac:dyDescent="0.2">
      <c r="B12" s="124" t="s">
        <v>129</v>
      </c>
      <c r="C12" s="124">
        <v>83</v>
      </c>
      <c r="D12" s="124">
        <v>82</v>
      </c>
      <c r="E12" s="124">
        <v>108</v>
      </c>
      <c r="F12" s="124">
        <v>130</v>
      </c>
      <c r="G12" s="124">
        <v>100</v>
      </c>
      <c r="H12" s="124">
        <v>125</v>
      </c>
      <c r="I12" s="124">
        <v>117</v>
      </c>
      <c r="J12" s="124">
        <v>163</v>
      </c>
      <c r="K12" s="124">
        <f t="shared" si="4"/>
        <v>115.70205</v>
      </c>
      <c r="L12" s="124">
        <f t="shared" si="4"/>
        <v>135.62823727112374</v>
      </c>
      <c r="M12" s="124">
        <f t="shared" si="4"/>
        <v>143.4761629888331</v>
      </c>
      <c r="N12" s="124">
        <f t="shared" si="4"/>
        <v>146.7109317894006</v>
      </c>
      <c r="O12" s="124"/>
      <c r="R12" s="124">
        <v>409</v>
      </c>
      <c r="S12" s="124">
        <v>446</v>
      </c>
      <c r="T12" s="124">
        <v>454</v>
      </c>
      <c r="U12" s="124">
        <v>408</v>
      </c>
      <c r="V12" s="124">
        <v>403</v>
      </c>
      <c r="W12" s="124">
        <v>505</v>
      </c>
      <c r="X12" s="124">
        <f t="shared" si="2"/>
        <v>541.51738204935737</v>
      </c>
      <c r="Y12" s="124"/>
      <c r="Z12" s="124"/>
      <c r="AA12" s="124"/>
      <c r="AB12" s="124"/>
      <c r="AC12" s="124"/>
      <c r="AD12" s="124"/>
      <c r="AE12" s="124"/>
      <c r="AF12" s="124"/>
      <c r="AG12" s="124"/>
      <c r="AH12" s="126"/>
    </row>
    <row r="13" spans="2:34" x14ac:dyDescent="0.2">
      <c r="B13" s="124" t="s">
        <v>48</v>
      </c>
      <c r="C13" s="124">
        <v>197</v>
      </c>
      <c r="D13" s="124">
        <v>201</v>
      </c>
      <c r="E13" s="124">
        <v>204</v>
      </c>
      <c r="F13" s="124">
        <v>202</v>
      </c>
      <c r="G13" s="124">
        <v>198</v>
      </c>
      <c r="H13" s="124">
        <v>207</v>
      </c>
      <c r="I13" s="124">
        <v>230</v>
      </c>
      <c r="J13" s="124">
        <v>226</v>
      </c>
      <c r="K13" s="124">
        <f t="shared" si="4"/>
        <v>231.4041</v>
      </c>
      <c r="L13" s="124">
        <f t="shared" si="4"/>
        <v>233.57896744355966</v>
      </c>
      <c r="M13" s="124">
        <f t="shared" si="4"/>
        <v>243.40678923235259</v>
      </c>
      <c r="N13" s="124">
        <f t="shared" si="4"/>
        <v>261.39741373764252</v>
      </c>
      <c r="O13" s="124"/>
      <c r="R13" s="125">
        <v>556</v>
      </c>
      <c r="S13" s="124">
        <v>613</v>
      </c>
      <c r="T13" s="124">
        <v>656</v>
      </c>
      <c r="U13" s="124">
        <v>767</v>
      </c>
      <c r="V13" s="124">
        <v>804</v>
      </c>
      <c r="W13" s="124">
        <v>861</v>
      </c>
      <c r="X13" s="124">
        <f t="shared" si="2"/>
        <v>969.78727041355478</v>
      </c>
      <c r="Y13" s="124"/>
      <c r="Z13" s="124"/>
      <c r="AA13" s="124"/>
      <c r="AB13" s="124"/>
      <c r="AC13" s="124"/>
      <c r="AD13" s="124"/>
      <c r="AE13" s="124"/>
      <c r="AF13" s="124"/>
      <c r="AG13" s="124"/>
      <c r="AH13" s="128"/>
    </row>
    <row r="14" spans="2:34" x14ac:dyDescent="0.2">
      <c r="B14" s="124" t="s">
        <v>115</v>
      </c>
      <c r="C14" s="124">
        <v>203</v>
      </c>
      <c r="D14" s="124">
        <v>363</v>
      </c>
      <c r="E14" s="124">
        <v>204</v>
      </c>
      <c r="F14" s="124">
        <v>215</v>
      </c>
      <c r="G14" s="124">
        <v>242</v>
      </c>
      <c r="H14" s="124">
        <v>325</v>
      </c>
      <c r="I14" s="124">
        <v>289</v>
      </c>
      <c r="J14" s="124">
        <v>338</v>
      </c>
      <c r="K14" s="124">
        <f t="shared" si="4"/>
        <v>269.97145000000006</v>
      </c>
      <c r="L14" s="124">
        <f t="shared" si="4"/>
        <v>391.12400000000002</v>
      </c>
      <c r="M14" s="124">
        <f t="shared" si="4"/>
        <v>323.20159999999998</v>
      </c>
      <c r="N14" s="124">
        <f t="shared" si="4"/>
        <v>351.43760000000003</v>
      </c>
      <c r="O14" s="124"/>
      <c r="R14" s="124">
        <v>1060</v>
      </c>
      <c r="S14" s="124">
        <v>1145</v>
      </c>
      <c r="T14" s="124">
        <v>1196</v>
      </c>
      <c r="U14" s="124">
        <v>1096</v>
      </c>
      <c r="V14" s="124">
        <v>985</v>
      </c>
      <c r="W14" s="124">
        <v>1194</v>
      </c>
      <c r="X14" s="124">
        <f t="shared" si="2"/>
        <v>1335.7346500000001</v>
      </c>
      <c r="Y14" s="124"/>
      <c r="Z14" s="124"/>
      <c r="AA14" s="124"/>
      <c r="AB14" s="124"/>
      <c r="AC14" s="124"/>
      <c r="AD14" s="124"/>
      <c r="AE14" s="124"/>
      <c r="AF14" s="124"/>
      <c r="AG14" s="124"/>
      <c r="AH14" s="128"/>
    </row>
    <row r="15" spans="2:34" s="160" customFormat="1" x14ac:dyDescent="0.2">
      <c r="B15" s="159" t="s">
        <v>128</v>
      </c>
      <c r="C15" s="159">
        <v>1</v>
      </c>
      <c r="D15" s="159">
        <v>3</v>
      </c>
      <c r="E15" s="159">
        <v>-2</v>
      </c>
      <c r="F15" s="159">
        <v>3</v>
      </c>
      <c r="G15" s="159">
        <v>148</v>
      </c>
      <c r="H15" s="159">
        <v>0</v>
      </c>
      <c r="I15" s="159">
        <v>717</v>
      </c>
      <c r="J15" s="159">
        <v>3</v>
      </c>
      <c r="K15" s="124">
        <f t="shared" si="4"/>
        <v>2.9716720174650058</v>
      </c>
      <c r="L15" s="124">
        <f t="shared" si="4"/>
        <v>3.0136689354051627</v>
      </c>
      <c r="M15" s="124">
        <f t="shared" si="4"/>
        <v>3.1128958520611274</v>
      </c>
      <c r="N15" s="124">
        <f t="shared" si="4"/>
        <v>3.3848491074868372</v>
      </c>
      <c r="O15" s="159"/>
      <c r="R15" s="159">
        <v>19</v>
      </c>
      <c r="S15" s="159">
        <v>607</v>
      </c>
      <c r="T15" s="159">
        <v>400</v>
      </c>
      <c r="U15" s="159">
        <v>11</v>
      </c>
      <c r="V15" s="159">
        <v>5</v>
      </c>
      <c r="W15" s="159">
        <v>868</v>
      </c>
      <c r="X15" s="124">
        <f t="shared" si="2"/>
        <v>12.483085912418133</v>
      </c>
      <c r="Y15" s="159"/>
      <c r="Z15" s="159"/>
      <c r="AA15" s="159"/>
      <c r="AB15" s="159"/>
      <c r="AC15" s="159"/>
      <c r="AD15" s="159"/>
      <c r="AE15" s="159"/>
      <c r="AF15" s="159"/>
      <c r="AG15" s="159"/>
      <c r="AH15" s="162"/>
    </row>
    <row r="16" spans="2:34" s="129" customFormat="1" x14ac:dyDescent="0.2">
      <c r="B16" s="127" t="s">
        <v>127</v>
      </c>
      <c r="C16" s="127">
        <v>3844</v>
      </c>
      <c r="D16" s="127">
        <v>3581</v>
      </c>
      <c r="E16" s="127">
        <v>4064</v>
      </c>
      <c r="F16" s="127">
        <v>4313</v>
      </c>
      <c r="G16" s="127">
        <v>4776</v>
      </c>
      <c r="H16" s="127">
        <v>4802</v>
      </c>
      <c r="I16" s="127">
        <v>4148</v>
      </c>
      <c r="J16" s="127">
        <v>5087</v>
      </c>
      <c r="K16" s="127">
        <f>K8-SUM(K9:K15)</f>
        <v>5248.5856450036163</v>
      </c>
      <c r="L16" s="127">
        <f t="shared" ref="L16:N16" si="5">L8-SUM(L9:L15)</f>
        <v>5114.9491965756515</v>
      </c>
      <c r="M16" s="127">
        <f t="shared" si="5"/>
        <v>5371.9607314503082</v>
      </c>
      <c r="N16" s="127">
        <f t="shared" si="5"/>
        <v>5857.1075091746634</v>
      </c>
      <c r="O16" s="127"/>
      <c r="R16" s="127">
        <f t="shared" ref="R16" si="6">R8-SUM(R9:R15)</f>
        <v>12145</v>
      </c>
      <c r="S16" s="127">
        <v>12954</v>
      </c>
      <c r="T16" s="127">
        <v>15001</v>
      </c>
      <c r="U16" s="127">
        <v>14081</v>
      </c>
      <c r="V16" s="127">
        <v>15802</v>
      </c>
      <c r="W16" s="127">
        <v>18813</v>
      </c>
      <c r="X16" s="127">
        <f t="shared" si="2"/>
        <v>21592.603082204241</v>
      </c>
      <c r="Y16" s="127"/>
      <c r="Z16" s="127"/>
      <c r="AA16" s="127"/>
      <c r="AB16" s="127"/>
      <c r="AC16" s="127"/>
      <c r="AD16" s="127"/>
      <c r="AE16" s="127"/>
      <c r="AF16" s="127"/>
      <c r="AG16" s="127"/>
      <c r="AH16" s="130"/>
    </row>
    <row r="17" spans="2:36" x14ac:dyDescent="0.2">
      <c r="B17" s="124" t="s">
        <v>126</v>
      </c>
      <c r="C17" s="124">
        <v>-136</v>
      </c>
      <c r="D17" s="124">
        <v>-121</v>
      </c>
      <c r="E17" s="124">
        <v>-131</v>
      </c>
      <c r="F17" s="124">
        <v>-125</v>
      </c>
      <c r="G17" s="124">
        <v>-134</v>
      </c>
      <c r="H17" s="124">
        <v>-134</v>
      </c>
      <c r="I17" s="124">
        <v>-111</v>
      </c>
      <c r="J17" s="124">
        <v>-159</v>
      </c>
      <c r="K17" s="165">
        <v>-130</v>
      </c>
      <c r="L17" s="165">
        <v>-130</v>
      </c>
      <c r="M17" s="165">
        <v>-130</v>
      </c>
      <c r="N17" s="165">
        <v>-130</v>
      </c>
      <c r="O17" s="124"/>
      <c r="R17" s="124">
        <v>-563</v>
      </c>
      <c r="S17" s="124">
        <v>-612</v>
      </c>
      <c r="T17" s="124">
        <v>-533</v>
      </c>
      <c r="U17" s="124">
        <v>-516</v>
      </c>
      <c r="V17" s="124">
        <v>-513</v>
      </c>
      <c r="W17" s="124">
        <v>-538</v>
      </c>
      <c r="X17" s="124">
        <f>SUM(K17:N17)</f>
        <v>-520</v>
      </c>
      <c r="Y17" s="124"/>
      <c r="Z17" s="124"/>
      <c r="AA17" s="124"/>
      <c r="AB17" s="124"/>
      <c r="AC17" s="124"/>
      <c r="AD17" s="124"/>
      <c r="AE17" s="124"/>
      <c r="AF17" s="124"/>
      <c r="AG17" s="124"/>
      <c r="AH17" s="128"/>
    </row>
    <row r="18" spans="2:36" x14ac:dyDescent="0.2">
      <c r="B18" s="124" t="s">
        <v>125</v>
      </c>
      <c r="C18" s="124">
        <v>40</v>
      </c>
      <c r="D18" s="124">
        <v>168</v>
      </c>
      <c r="E18" s="124">
        <v>456</v>
      </c>
      <c r="F18" s="124">
        <v>108</v>
      </c>
      <c r="G18" s="124">
        <v>255</v>
      </c>
      <c r="H18" s="124">
        <v>-126</v>
      </c>
      <c r="I18" s="124">
        <v>-208</v>
      </c>
      <c r="J18" s="124">
        <v>-60</v>
      </c>
      <c r="K18" s="165">
        <f>AVERAGE(F18:J18)</f>
        <v>-6.2</v>
      </c>
      <c r="L18" s="165">
        <f>AVERAGE(G18:K18)</f>
        <v>-29.04</v>
      </c>
      <c r="M18" s="165">
        <f>AVERAGE(H18:L18)</f>
        <v>-85.847999999999999</v>
      </c>
      <c r="N18" s="165">
        <f>AVERAGE(I18:M18)</f>
        <v>-77.817599999999999</v>
      </c>
      <c r="O18" s="127"/>
      <c r="R18" s="124">
        <v>113</v>
      </c>
      <c r="S18" s="124">
        <v>464</v>
      </c>
      <c r="T18" s="124">
        <v>416</v>
      </c>
      <c r="U18" s="124">
        <v>225</v>
      </c>
      <c r="V18" s="124">
        <v>772</v>
      </c>
      <c r="W18" s="124">
        <v>-139</v>
      </c>
      <c r="X18" s="124">
        <f t="shared" si="2"/>
        <v>-198.90559999999999</v>
      </c>
      <c r="Y18" s="127"/>
      <c r="Z18" s="127"/>
      <c r="AA18" s="127"/>
      <c r="AB18" s="127"/>
      <c r="AC18" s="127"/>
      <c r="AD18" s="127"/>
      <c r="AE18" s="127"/>
      <c r="AF18" s="127"/>
      <c r="AG18" s="127"/>
    </row>
    <row r="19" spans="2:36" s="160" customFormat="1" x14ac:dyDescent="0.2">
      <c r="B19" s="159" t="s">
        <v>124</v>
      </c>
      <c r="C19" s="159">
        <v>3748</v>
      </c>
      <c r="D19" s="159">
        <v>3628</v>
      </c>
      <c r="E19" s="159">
        <v>4389</v>
      </c>
      <c r="F19" s="159">
        <v>4296</v>
      </c>
      <c r="G19" s="159">
        <v>4897</v>
      </c>
      <c r="H19" s="159">
        <v>4542</v>
      </c>
      <c r="I19" s="159">
        <v>3829</v>
      </c>
      <c r="J19" s="159">
        <v>4868</v>
      </c>
      <c r="K19" s="124">
        <f>K16+K17+K18</f>
        <v>5112.3856450036164</v>
      </c>
      <c r="L19" s="124">
        <f>L16+L17+L18</f>
        <v>4955.9091965756515</v>
      </c>
      <c r="M19" s="124">
        <f>M16+M17+M18</f>
        <v>5156.1127314503083</v>
      </c>
      <c r="N19" s="124">
        <f>N16+N17+N18</f>
        <v>5649.2899091746631</v>
      </c>
      <c r="O19" s="159"/>
      <c r="R19" s="124">
        <f>R16+R17+R18</f>
        <v>11695</v>
      </c>
      <c r="S19" s="159">
        <v>12806</v>
      </c>
      <c r="T19" s="159">
        <v>14884</v>
      </c>
      <c r="U19" s="159">
        <v>13790</v>
      </c>
      <c r="V19" s="159">
        <v>16061</v>
      </c>
      <c r="W19" s="159">
        <v>18136</v>
      </c>
      <c r="X19" s="124">
        <f t="shared" si="2"/>
        <v>20873.697482204239</v>
      </c>
      <c r="Y19" s="159"/>
      <c r="Z19" s="159"/>
      <c r="AA19" s="159"/>
      <c r="AB19" s="159"/>
      <c r="AC19" s="159"/>
      <c r="AD19" s="159"/>
      <c r="AE19" s="159"/>
      <c r="AF19" s="159"/>
      <c r="AG19" s="159"/>
    </row>
    <row r="20" spans="2:36" x14ac:dyDescent="0.2">
      <c r="B20" s="124" t="s">
        <v>27</v>
      </c>
      <c r="C20" s="124">
        <v>622</v>
      </c>
      <c r="D20" s="124">
        <v>602</v>
      </c>
      <c r="E20" s="124">
        <v>1814</v>
      </c>
      <c r="F20" s="124">
        <v>714</v>
      </c>
      <c r="G20" s="124">
        <v>938</v>
      </c>
      <c r="H20" s="124">
        <v>895</v>
      </c>
      <c r="I20" s="124">
        <v>418</v>
      </c>
      <c r="J20" s="124">
        <v>928</v>
      </c>
      <c r="K20" s="124">
        <f>K19*K45</f>
        <v>1073.6009854507595</v>
      </c>
      <c r="L20" s="124">
        <f t="shared" ref="L20:N20" si="7">L19*L45</f>
        <v>1040.7409312808868</v>
      </c>
      <c r="M20" s="124">
        <f t="shared" si="7"/>
        <v>1082.7836736045647</v>
      </c>
      <c r="N20" s="124">
        <f t="shared" si="7"/>
        <v>1186.3508809266791</v>
      </c>
      <c r="O20" s="124"/>
      <c r="R20" s="124">
        <v>4995</v>
      </c>
      <c r="S20" s="124">
        <v>2505</v>
      </c>
      <c r="T20" s="124">
        <v>2804</v>
      </c>
      <c r="U20" s="124">
        <v>2924</v>
      </c>
      <c r="V20" s="124">
        <v>3752</v>
      </c>
      <c r="W20" s="124">
        <v>3179</v>
      </c>
      <c r="X20" s="124">
        <f t="shared" si="2"/>
        <v>4383.4764712628894</v>
      </c>
      <c r="Y20" s="124"/>
      <c r="Z20" s="124"/>
      <c r="AA20" s="124"/>
      <c r="AB20" s="124"/>
      <c r="AC20" s="124"/>
      <c r="AD20" s="124"/>
      <c r="AE20" s="124"/>
      <c r="AF20" s="124"/>
      <c r="AG20" s="124"/>
    </row>
    <row r="21" spans="2:36" s="129" customFormat="1" x14ac:dyDescent="0.2">
      <c r="B21" s="127" t="s">
        <v>123</v>
      </c>
      <c r="C21" s="127">
        <v>3126</v>
      </c>
      <c r="D21" s="127">
        <v>3026</v>
      </c>
      <c r="E21" s="127">
        <v>2575</v>
      </c>
      <c r="F21" s="127">
        <v>3582</v>
      </c>
      <c r="G21" s="127">
        <v>3959</v>
      </c>
      <c r="H21" s="127">
        <v>3647</v>
      </c>
      <c r="I21" s="127">
        <v>3411</v>
      </c>
      <c r="J21" s="127">
        <v>3940</v>
      </c>
      <c r="K21" s="127">
        <f>K19-K20</f>
        <v>4038.7846595528572</v>
      </c>
      <c r="L21" s="127">
        <f>L19-L20</f>
        <v>3915.1682652947648</v>
      </c>
      <c r="M21" s="127">
        <f>M19-M20</f>
        <v>4073.3290578457436</v>
      </c>
      <c r="N21" s="127">
        <f>N19-N20</f>
        <v>4462.9390282479835</v>
      </c>
      <c r="O21" s="127"/>
      <c r="R21" s="127">
        <f>R19-R20</f>
        <v>6700</v>
      </c>
      <c r="S21" s="127">
        <f>S19-S20</f>
        <v>10301</v>
      </c>
      <c r="T21" s="127">
        <f>T19-T20</f>
        <v>12080</v>
      </c>
      <c r="U21" s="127">
        <f>U19-U20</f>
        <v>10866</v>
      </c>
      <c r="V21" s="127">
        <v>12309</v>
      </c>
      <c r="W21" s="127">
        <v>14957</v>
      </c>
      <c r="X21" s="127">
        <f t="shared" si="2"/>
        <v>16490.22101094135</v>
      </c>
      <c r="Y21" s="127"/>
      <c r="Z21" s="127"/>
      <c r="AA21" s="127"/>
      <c r="AB21" s="127"/>
      <c r="AC21" s="127"/>
      <c r="AD21" s="127"/>
      <c r="AE21" s="127"/>
      <c r="AF21" s="127"/>
      <c r="AG21" s="127"/>
    </row>
    <row r="22" spans="2:36" x14ac:dyDescent="0.2">
      <c r="B22" s="124" t="s">
        <v>97</v>
      </c>
      <c r="C22" s="131">
        <f>C21/C23</f>
        <v>1.4676056338028169</v>
      </c>
      <c r="D22" s="131">
        <f t="shared" ref="D22:N22" si="8">D21/D23</f>
        <v>1.4199906147348662</v>
      </c>
      <c r="E22" s="131">
        <f t="shared" si="8"/>
        <v>1.2129062647197362</v>
      </c>
      <c r="F22" s="131">
        <f t="shared" si="8"/>
        <v>1.687235044747998</v>
      </c>
      <c r="G22" s="131">
        <f t="shared" si="8"/>
        <v>1.8843407900999525</v>
      </c>
      <c r="H22" s="131">
        <f t="shared" si="8"/>
        <v>1.7483221476510067</v>
      </c>
      <c r="I22" s="131">
        <f t="shared" si="8"/>
        <v>1.6446480231436837</v>
      </c>
      <c r="J22" s="131">
        <f t="shared" si="8"/>
        <v>1.8915026404224675</v>
      </c>
      <c r="K22" s="131">
        <f t="shared" si="8"/>
        <v>1.9520313842973429</v>
      </c>
      <c r="L22" s="131">
        <f t="shared" si="8"/>
        <v>1.907967958231966</v>
      </c>
      <c r="M22" s="131">
        <f t="shared" si="8"/>
        <v>1.9962518810577381</v>
      </c>
      <c r="N22" s="131">
        <f t="shared" si="8"/>
        <v>2.1766107052529358</v>
      </c>
      <c r="O22" s="124"/>
      <c r="R22" s="124"/>
      <c r="S22" s="131"/>
      <c r="T22" s="131"/>
      <c r="U22" s="131"/>
      <c r="V22" s="131">
        <v>4.6883984861220069</v>
      </c>
      <c r="W22" s="131">
        <v>5.8230548241574027</v>
      </c>
      <c r="X22" s="131">
        <f t="shared" si="2"/>
        <v>8.0328619288399832</v>
      </c>
      <c r="Y22" s="124"/>
      <c r="Z22" s="124"/>
      <c r="AA22" s="124"/>
      <c r="AB22" s="124"/>
      <c r="AC22" s="124"/>
      <c r="AD22" s="124"/>
      <c r="AE22" s="124"/>
      <c r="AF22" s="124"/>
      <c r="AG22" s="124"/>
    </row>
    <row r="23" spans="2:36" s="129" customFormat="1" x14ac:dyDescent="0.2">
      <c r="B23" s="127" t="s">
        <v>98</v>
      </c>
      <c r="C23" s="127">
        <f t="shared" ref="C23:D23" si="9">C24+(C25*1.6+C26*4)</f>
        <v>2130</v>
      </c>
      <c r="D23" s="127">
        <f t="shared" si="9"/>
        <v>2131</v>
      </c>
      <c r="E23" s="127">
        <f t="shared" ref="E23" si="10">E24+(E25*1.6+E26*4)</f>
        <v>2123</v>
      </c>
      <c r="F23" s="127">
        <f t="shared" ref="F23" si="11">F24+(F25*1.6+F26*4)</f>
        <v>2123</v>
      </c>
      <c r="G23" s="127">
        <f t="shared" ref="G23" si="12">G24+(G25*1.6+G26*4)</f>
        <v>2101</v>
      </c>
      <c r="H23" s="127">
        <f t="shared" ref="H23" si="13">H24+(H25*1.6+H26*4)</f>
        <v>2086</v>
      </c>
      <c r="I23" s="127">
        <f t="shared" ref="I23:J23" si="14">I24+(I25*1.6+I26*4)</f>
        <v>2074</v>
      </c>
      <c r="J23" s="127">
        <f t="shared" si="14"/>
        <v>2083</v>
      </c>
      <c r="K23" s="127">
        <f>K24+(K25*1.6+K26*4)</f>
        <v>2069.0162525264245</v>
      </c>
      <c r="L23" s="127">
        <f>L24+(L25*1.6+L26*4)</f>
        <v>2052.0094419839143</v>
      </c>
      <c r="M23" s="127">
        <f>M24+(M25*1.6+M26*4)</f>
        <v>2040.4885257703256</v>
      </c>
      <c r="N23" s="127">
        <f>N24+(N25*1.6+N26*4)</f>
        <v>2050.4075521990794</v>
      </c>
      <c r="O23" s="127"/>
      <c r="R23" s="127"/>
      <c r="S23" s="127"/>
      <c r="T23" s="127"/>
      <c r="U23" s="127"/>
      <c r="V23" s="127">
        <f>F23</f>
        <v>2123</v>
      </c>
      <c r="W23" s="127">
        <f>J23</f>
        <v>2083</v>
      </c>
      <c r="X23" s="127">
        <f>N23</f>
        <v>2050.4075521990794</v>
      </c>
      <c r="Y23" s="127"/>
      <c r="Z23" s="127"/>
      <c r="AA23" s="127"/>
      <c r="AB23" s="127"/>
      <c r="AC23" s="127"/>
      <c r="AD23" s="127"/>
      <c r="AE23" s="127"/>
      <c r="AF23" s="127"/>
      <c r="AG23" s="127"/>
    </row>
    <row r="24" spans="2:36" s="166" customFormat="1" x14ac:dyDescent="0.2">
      <c r="B24" s="166" t="s">
        <v>122</v>
      </c>
      <c r="C24" s="124">
        <v>1694</v>
      </c>
      <c r="D24" s="124">
        <v>1695</v>
      </c>
      <c r="E24" s="124">
        <v>1691</v>
      </c>
      <c r="F24" s="124">
        <v>1691</v>
      </c>
      <c r="G24" s="124">
        <v>1669</v>
      </c>
      <c r="H24" s="124">
        <v>1654</v>
      </c>
      <c r="I24" s="124">
        <v>1642</v>
      </c>
      <c r="J24" s="124">
        <v>1651</v>
      </c>
      <c r="K24" s="124">
        <f>G24*(1+K46)</f>
        <v>1637.0162525264245</v>
      </c>
      <c r="L24" s="124">
        <f t="shared" ref="L24:N24" si="15">H24*(1+L46)</f>
        <v>1620.009441983914</v>
      </c>
      <c r="M24" s="124">
        <f t="shared" si="15"/>
        <v>1608.4885257703256</v>
      </c>
      <c r="N24" s="124">
        <f t="shared" si="15"/>
        <v>1618.4075521990794</v>
      </c>
      <c r="O24" s="167"/>
      <c r="R24" s="167"/>
      <c r="S24" s="124"/>
      <c r="T24" s="124"/>
      <c r="U24" s="124"/>
      <c r="V24" s="159">
        <f t="shared" ref="V24:V26" si="16">F24</f>
        <v>1691</v>
      </c>
      <c r="W24" s="159">
        <f t="shared" ref="W24:W26" si="17">J24</f>
        <v>1651</v>
      </c>
      <c r="X24" s="159">
        <f t="shared" ref="X24:X26" si="18">N24</f>
        <v>1618.4075521990794</v>
      </c>
      <c r="Y24" s="167"/>
      <c r="Z24" s="167"/>
      <c r="AA24" s="167"/>
      <c r="AB24" s="167"/>
      <c r="AC24" s="167"/>
      <c r="AD24" s="167"/>
      <c r="AE24" s="167"/>
      <c r="AF24" s="167"/>
      <c r="AG24" s="167"/>
    </row>
    <row r="25" spans="2:36" x14ac:dyDescent="0.2">
      <c r="B25" s="124" t="s">
        <v>121</v>
      </c>
      <c r="C25" s="124">
        <v>245</v>
      </c>
      <c r="D25" s="124">
        <v>245</v>
      </c>
      <c r="E25" s="124">
        <v>245</v>
      </c>
      <c r="F25" s="124">
        <v>245</v>
      </c>
      <c r="G25" s="124">
        <v>245</v>
      </c>
      <c r="H25" s="124">
        <v>245</v>
      </c>
      <c r="I25" s="124">
        <v>245</v>
      </c>
      <c r="J25" s="124">
        <v>245</v>
      </c>
      <c r="K25" s="124">
        <f>J25</f>
        <v>245</v>
      </c>
      <c r="L25" s="124">
        <f>K25</f>
        <v>245</v>
      </c>
      <c r="M25" s="124">
        <f>L25</f>
        <v>245</v>
      </c>
      <c r="N25" s="124">
        <f>M25</f>
        <v>245</v>
      </c>
      <c r="O25" s="124"/>
      <c r="R25" s="124"/>
      <c r="S25" s="124"/>
      <c r="T25" s="124"/>
      <c r="U25" s="124"/>
      <c r="V25" s="159">
        <f t="shared" si="16"/>
        <v>245</v>
      </c>
      <c r="W25" s="159">
        <f t="shared" si="17"/>
        <v>245</v>
      </c>
      <c r="X25" s="159">
        <f t="shared" si="18"/>
        <v>245</v>
      </c>
      <c r="Y25" s="124"/>
      <c r="Z25" s="124"/>
      <c r="AA25" s="124"/>
      <c r="AB25" s="124"/>
      <c r="AC25" s="124"/>
      <c r="AD25" s="124"/>
      <c r="AE25" s="124"/>
      <c r="AF25" s="124"/>
      <c r="AG25" s="124"/>
    </row>
    <row r="26" spans="2:36" x14ac:dyDescent="0.2">
      <c r="B26" t="s">
        <v>120</v>
      </c>
      <c r="C26">
        <v>11</v>
      </c>
      <c r="D26">
        <v>11</v>
      </c>
      <c r="E26">
        <v>10</v>
      </c>
      <c r="F26">
        <v>10</v>
      </c>
      <c r="G26">
        <v>10</v>
      </c>
      <c r="H26">
        <v>10</v>
      </c>
      <c r="I26">
        <v>10</v>
      </c>
      <c r="J26">
        <v>10</v>
      </c>
      <c r="K26" s="124">
        <f>J26</f>
        <v>10</v>
      </c>
      <c r="L26" s="124">
        <f>K26</f>
        <v>10</v>
      </c>
      <c r="M26" s="124">
        <f>L26</f>
        <v>10</v>
      </c>
      <c r="N26" s="124">
        <f>M26</f>
        <v>10</v>
      </c>
      <c r="O26" s="124"/>
      <c r="R26" s="124"/>
      <c r="S26" s="124"/>
      <c r="T26" s="124"/>
      <c r="U26" s="124"/>
      <c r="V26" s="159">
        <f t="shared" si="16"/>
        <v>10</v>
      </c>
      <c r="W26" s="159">
        <f t="shared" si="17"/>
        <v>10</v>
      </c>
      <c r="X26" s="159">
        <f t="shared" si="18"/>
        <v>10</v>
      </c>
      <c r="Y26" s="124"/>
      <c r="Z26" s="124"/>
      <c r="AA26" s="124"/>
      <c r="AB26" s="124"/>
      <c r="AC26" s="124"/>
      <c r="AD26" s="124"/>
      <c r="AE26" s="124"/>
      <c r="AF26" s="124"/>
      <c r="AG26" s="124"/>
    </row>
    <row r="27" spans="2:36" x14ac:dyDescent="0.2">
      <c r="B27" s="133"/>
      <c r="C27" s="133"/>
      <c r="D27" s="133"/>
      <c r="E27" s="133"/>
      <c r="F27" s="133"/>
      <c r="G27" s="133"/>
      <c r="H27" s="133"/>
      <c r="I27" s="133"/>
      <c r="J27" s="133"/>
      <c r="K27" s="133"/>
      <c r="L27" s="133"/>
      <c r="M27" s="133"/>
      <c r="N27" s="133"/>
      <c r="O27" s="124"/>
      <c r="R27" s="124"/>
      <c r="S27" s="133"/>
      <c r="T27" s="133"/>
      <c r="U27" s="133"/>
      <c r="V27" s="133"/>
      <c r="W27" s="133"/>
      <c r="X27" s="133"/>
      <c r="Y27" s="124"/>
      <c r="Z27" s="124"/>
      <c r="AA27" s="124"/>
      <c r="AB27" s="124"/>
      <c r="AC27" s="124"/>
      <c r="AD27" s="124"/>
      <c r="AE27" s="124"/>
      <c r="AF27" s="124"/>
      <c r="AG27" s="124"/>
    </row>
    <row r="28" spans="2:36" x14ac:dyDescent="0.2">
      <c r="B28" s="129" t="s">
        <v>99</v>
      </c>
      <c r="C28" s="129"/>
      <c r="D28" s="129"/>
      <c r="E28" s="133"/>
      <c r="F28" s="133"/>
      <c r="G28" s="133">
        <f t="shared" ref="G28" si="19">G8/C8-1</f>
        <v>0.24125197819588529</v>
      </c>
      <c r="H28" s="133">
        <f t="shared" ref="H28" si="20">H8/D8-1</f>
        <v>0.25449467620876254</v>
      </c>
      <c r="I28" s="133">
        <f t="shared" ref="I28" si="21">I8/E8-1</f>
        <v>0.18678629690048942</v>
      </c>
      <c r="J28" s="133">
        <f t="shared" ref="J28" si="22">J8/F8-1</f>
        <v>0.18722366214361941</v>
      </c>
      <c r="K28" s="133">
        <f t="shared" ref="K28" si="23">K8/G8-1</f>
        <v>9.2714265476696367E-2</v>
      </c>
      <c r="L28" s="133">
        <f t="shared" ref="L28:N28" si="24">L8/H8-1</f>
        <v>8.8420759705023055E-2</v>
      </c>
      <c r="M28" s="133">
        <f t="shared" si="24"/>
        <v>0.11065841924398612</v>
      </c>
      <c r="N28" s="133">
        <f t="shared" si="24"/>
        <v>0.12828303582894574</v>
      </c>
      <c r="O28" s="132"/>
      <c r="P28" s="132"/>
      <c r="Q28" s="132"/>
      <c r="R28" s="132"/>
      <c r="S28" s="133">
        <f>S8/R8-1</f>
        <v>0.12255569475461625</v>
      </c>
      <c r="T28" s="133">
        <f t="shared" ref="T28:X28" si="25">T8/S8-1</f>
        <v>0.1149012567324954</v>
      </c>
      <c r="U28" s="133">
        <f t="shared" si="25"/>
        <v>-4.92231361796579E-2</v>
      </c>
      <c r="V28" s="133">
        <f t="shared" si="25"/>
        <v>0.10340565778632249</v>
      </c>
      <c r="W28" s="133">
        <f t="shared" si="25"/>
        <v>0.21593030491599263</v>
      </c>
      <c r="X28" s="133">
        <f t="shared" si="25"/>
        <v>0.10549061753667699</v>
      </c>
      <c r="Y28" s="135"/>
      <c r="Z28" s="135"/>
      <c r="AA28" s="135"/>
      <c r="AB28" s="135"/>
      <c r="AC28" s="135"/>
      <c r="AD28" s="135"/>
      <c r="AE28" s="135"/>
      <c r="AF28" s="135"/>
      <c r="AG28" s="135"/>
      <c r="AJ28" s="136"/>
    </row>
    <row r="29" spans="2:36" x14ac:dyDescent="0.2">
      <c r="B29" t="s">
        <v>100</v>
      </c>
      <c r="E29" s="132"/>
      <c r="F29" s="132"/>
      <c r="G29" s="134">
        <f>G3/C3-1</f>
        <v>0.19275308180799411</v>
      </c>
      <c r="H29" s="134">
        <f>H3/D3-1</f>
        <v>0.23760984182776812</v>
      </c>
      <c r="I29" s="134">
        <f>I3/E3-1</f>
        <v>0.1276520509193777</v>
      </c>
      <c r="J29" s="134">
        <f>J3/F3-1</f>
        <v>0.10655999999999999</v>
      </c>
      <c r="K29" s="163">
        <v>0.05</v>
      </c>
      <c r="L29" s="163">
        <v>0.04</v>
      </c>
      <c r="M29" s="163">
        <v>0.06</v>
      </c>
      <c r="N29" s="163">
        <v>0.08</v>
      </c>
      <c r="O29" s="132"/>
      <c r="P29" s="132"/>
      <c r="Q29" s="132"/>
      <c r="R29" s="132"/>
      <c r="S29" s="134">
        <f>S3/R3-1</f>
        <v>0.1182445141065831</v>
      </c>
      <c r="T29" s="134">
        <f>T3/S3-1</f>
        <v>8.768782238169992E-2</v>
      </c>
      <c r="U29" s="134">
        <f>U3/T3-1</f>
        <v>1.0721649484536133E-2</v>
      </c>
      <c r="V29" s="134">
        <f>V3/U3-1</f>
        <v>0.17044063647490826</v>
      </c>
      <c r="W29" s="134">
        <f>W3/V3-1</f>
        <v>0.16435729847494551</v>
      </c>
      <c r="X29" s="134">
        <f>X3/W3-1</f>
        <v>5.7515904498166348E-2</v>
      </c>
      <c r="Y29" s="134"/>
      <c r="Z29" s="134"/>
      <c r="AA29" s="134"/>
      <c r="AB29" s="134"/>
      <c r="AC29" s="134"/>
      <c r="AD29" s="134"/>
      <c r="AE29" s="134"/>
      <c r="AF29" s="134"/>
      <c r="AG29" s="134"/>
      <c r="AJ29" s="132"/>
    </row>
    <row r="30" spans="2:36" x14ac:dyDescent="0.2">
      <c r="B30" t="s">
        <v>119</v>
      </c>
      <c r="E30" s="132"/>
      <c r="F30" s="132"/>
      <c r="G30" s="134">
        <f>G4/C4-1</f>
        <v>0.19155951203428945</v>
      </c>
      <c r="H30" s="134">
        <f>H4/D4-1</f>
        <v>0.16154873164218952</v>
      </c>
      <c r="I30" s="134">
        <f>I4/E4-1</f>
        <v>7.5743913435527555E-2</v>
      </c>
      <c r="J30" s="134">
        <f>J4/F4-1</f>
        <v>9.5750873108265466E-2</v>
      </c>
      <c r="K30" s="163">
        <v>0.05</v>
      </c>
      <c r="L30" s="163">
        <v>0.06</v>
      </c>
      <c r="M30" s="163">
        <v>0.06</v>
      </c>
      <c r="N30" s="163">
        <v>7.0000000000000007E-2</v>
      </c>
      <c r="O30" s="132"/>
      <c r="P30" s="132"/>
      <c r="Q30" s="132"/>
      <c r="R30" s="132"/>
      <c r="S30" s="134">
        <f>S4/R4-1</f>
        <v>0.15923975857197892</v>
      </c>
      <c r="T30" s="134">
        <f>T4/S4-1</f>
        <v>0.14467707987149669</v>
      </c>
      <c r="U30" s="134">
        <f>U4/T4-1</f>
        <v>6.2131036485047808E-2</v>
      </c>
      <c r="V30" s="134">
        <f>V4/U4-1</f>
        <v>0.16555808656036453</v>
      </c>
      <c r="W30" s="134">
        <f>W4/V4-1</f>
        <v>0.12867417135709824</v>
      </c>
      <c r="X30" s="134">
        <f>X4/W4-1</f>
        <v>6.0104585122593202E-2</v>
      </c>
      <c r="Y30" s="134"/>
      <c r="Z30" s="134"/>
      <c r="AA30" s="134"/>
      <c r="AB30" s="134"/>
      <c r="AC30" s="134"/>
      <c r="AD30" s="134"/>
      <c r="AE30" s="134"/>
      <c r="AF30" s="134"/>
      <c r="AG30" s="134"/>
    </row>
    <row r="31" spans="2:36" x14ac:dyDescent="0.2">
      <c r="B31" t="s">
        <v>118</v>
      </c>
      <c r="E31" s="132"/>
      <c r="F31" s="132"/>
      <c r="G31" s="134">
        <f>G5/C5-1</f>
        <v>0.49827705031013103</v>
      </c>
      <c r="H31" s="134">
        <f>H5/D5-1</f>
        <v>0.4838709677419355</v>
      </c>
      <c r="I31" s="134">
        <f>I5/E5-1</f>
        <v>0.50943396226415105</v>
      </c>
      <c r="J31" s="134">
        <f>J5/F5-1</f>
        <v>0.51609498680738786</v>
      </c>
      <c r="K31" s="163">
        <v>0.25</v>
      </c>
      <c r="L31" s="163">
        <v>0.2</v>
      </c>
      <c r="M31" s="163">
        <v>0.22</v>
      </c>
      <c r="N31" s="163">
        <v>0.25</v>
      </c>
      <c r="O31" s="132"/>
      <c r="P31" s="132"/>
      <c r="Q31" s="132"/>
      <c r="R31" s="132"/>
      <c r="S31" s="134">
        <f>S5/R5-1</f>
        <v>0.14080050624901119</v>
      </c>
      <c r="T31" s="134">
        <f>T5/S5-1</f>
        <v>8.223547358202743E-2</v>
      </c>
      <c r="U31" s="134">
        <f>U5/T5-1</f>
        <v>-0.19284982060481803</v>
      </c>
      <c r="V31" s="134">
        <f>V5/U5-1</f>
        <v>3.6672487696459699E-2</v>
      </c>
      <c r="W31" s="134">
        <f>W5/V5-1</f>
        <v>0.50306278713629404</v>
      </c>
      <c r="X31" s="134">
        <f>X5/W5-1</f>
        <v>0.23092715231788064</v>
      </c>
      <c r="Y31" s="134"/>
      <c r="Z31" s="134"/>
      <c r="AA31" s="134"/>
      <c r="AB31" s="134"/>
      <c r="AC31" s="134"/>
      <c r="AD31" s="134"/>
      <c r="AE31" s="134"/>
      <c r="AF31" s="134"/>
      <c r="AG31" s="134"/>
    </row>
    <row r="32" spans="2:36" x14ac:dyDescent="0.2">
      <c r="B32" t="s">
        <v>117</v>
      </c>
      <c r="E32" s="132"/>
      <c r="F32" s="132"/>
      <c r="G32" s="134">
        <f>G6/C6-1</f>
        <v>0.16927083333333326</v>
      </c>
      <c r="H32" s="134">
        <f>H6/D6-1</f>
        <v>0.20918367346938771</v>
      </c>
      <c r="I32" s="134">
        <f>I6/E6-1</f>
        <v>0.26405867970660157</v>
      </c>
      <c r="J32" s="134">
        <f>J6/F6-1</f>
        <v>0.12448979591836729</v>
      </c>
      <c r="K32" s="163">
        <v>7.0000000000000007E-2</v>
      </c>
      <c r="L32" s="163">
        <v>0.04</v>
      </c>
      <c r="M32" s="163">
        <v>0.08</v>
      </c>
      <c r="N32" s="163">
        <v>0.1</v>
      </c>
      <c r="O32" s="132"/>
      <c r="P32" s="132"/>
      <c r="Q32" s="132"/>
      <c r="R32" s="132"/>
      <c r="S32" s="134">
        <f>S6/R6-1</f>
        <v>0.12247324613555288</v>
      </c>
      <c r="T32" s="134">
        <f>T6/S6-1</f>
        <v>0.39088983050847448</v>
      </c>
      <c r="U32" s="134">
        <f>U6/T6-1</f>
        <v>9.0632140137090644E-2</v>
      </c>
      <c r="V32" s="134">
        <f>V6/U6-1</f>
        <v>0.16969273743016755</v>
      </c>
      <c r="W32" s="134">
        <f>W6/V6-1</f>
        <v>0.18865671641791049</v>
      </c>
      <c r="X32" s="134">
        <f>X6/W6-1</f>
        <v>7.3756906077347972E-2</v>
      </c>
      <c r="Y32" s="132"/>
      <c r="Z32" s="132"/>
      <c r="AA32" s="132"/>
      <c r="AB32" s="132"/>
      <c r="AC32" s="132"/>
      <c r="AD32" s="132"/>
      <c r="AE32" s="132"/>
      <c r="AF32" s="132"/>
      <c r="AG32" s="132"/>
    </row>
    <row r="33" spans="2:33" x14ac:dyDescent="0.2">
      <c r="B33" t="s">
        <v>116</v>
      </c>
      <c r="E33" s="132"/>
      <c r="F33" s="132"/>
      <c r="G33" s="134">
        <f t="shared" ref="G33" si="26">G7/C7-1</f>
        <v>0.27610333692142097</v>
      </c>
      <c r="H33" s="134">
        <f t="shared" ref="H33:J33" si="27">H7/D7-1</f>
        <v>0.25301204819277112</v>
      </c>
      <c r="I33" s="134">
        <f t="shared" si="27"/>
        <v>0.20657276995305174</v>
      </c>
      <c r="J33" s="134">
        <f t="shared" si="27"/>
        <v>0.19815668202764969</v>
      </c>
      <c r="K33" s="163">
        <v>0.11</v>
      </c>
      <c r="L33" s="163">
        <v>7.0000000000000007E-2</v>
      </c>
      <c r="M33" s="163">
        <v>0.08</v>
      </c>
      <c r="N33" s="163">
        <v>0.11</v>
      </c>
      <c r="O33" s="132"/>
      <c r="P33" s="132"/>
      <c r="Q33" s="132"/>
      <c r="R33" s="132"/>
      <c r="S33" s="134">
        <f t="shared" ref="S33:X33" si="28">S7/R7-1</f>
        <v>0.20284775465498361</v>
      </c>
      <c r="T33" s="134">
        <f t="shared" si="28"/>
        <v>0.12420324166818419</v>
      </c>
      <c r="U33" s="134">
        <f t="shared" si="28"/>
        <v>7.9539931961768895E-2</v>
      </c>
      <c r="V33" s="134">
        <f t="shared" si="28"/>
        <v>0.25555222088835539</v>
      </c>
      <c r="W33" s="134">
        <f t="shared" si="28"/>
        <v>0.23066810087247513</v>
      </c>
      <c r="X33" s="134">
        <f t="shared" si="28"/>
        <v>9.2816354277945212E-2</v>
      </c>
      <c r="Y33" s="134"/>
      <c r="Z33" s="134"/>
      <c r="AA33" s="134"/>
      <c r="AB33" s="134"/>
      <c r="AC33" s="134"/>
      <c r="AD33" s="134"/>
      <c r="AE33" s="134"/>
      <c r="AF33" s="134"/>
      <c r="AG33" s="134"/>
    </row>
    <row r="34" spans="2:33" x14ac:dyDescent="0.2">
      <c r="O34" s="132"/>
      <c r="P34" s="132"/>
      <c r="Q34" s="132"/>
      <c r="R34" s="132"/>
      <c r="S34" s="132"/>
      <c r="T34" s="132"/>
      <c r="U34" s="132"/>
      <c r="V34" s="132"/>
      <c r="W34" s="132"/>
      <c r="X34" s="132"/>
      <c r="Y34" s="134"/>
      <c r="Z34" s="134"/>
      <c r="AA34" s="134"/>
      <c r="AB34" s="134"/>
      <c r="AC34" s="134"/>
      <c r="AD34" s="134"/>
      <c r="AE34" s="134"/>
      <c r="AF34" s="134"/>
      <c r="AG34" s="134"/>
    </row>
    <row r="35" spans="2:33" x14ac:dyDescent="0.2">
      <c r="B35" s="124" t="s">
        <v>132</v>
      </c>
      <c r="C35" s="132">
        <f>C9/C$8</f>
        <v>0.17249868120274309</v>
      </c>
      <c r="D35" s="132">
        <f t="shared" ref="D35:J35" si="29">D9/D$8</f>
        <v>0.19444929307034386</v>
      </c>
      <c r="E35" s="132">
        <f t="shared" si="29"/>
        <v>0.17911908646003263</v>
      </c>
      <c r="F35" s="132">
        <f t="shared" si="29"/>
        <v>0.15962799207196218</v>
      </c>
      <c r="G35" s="132">
        <f t="shared" si="29"/>
        <v>0.15937101572460688</v>
      </c>
      <c r="H35" s="132">
        <f t="shared" si="29"/>
        <v>0.17058577988033949</v>
      </c>
      <c r="I35" s="132">
        <f t="shared" si="29"/>
        <v>0.17635738831615119</v>
      </c>
      <c r="J35" s="132">
        <f t="shared" si="29"/>
        <v>0.17413638114806729</v>
      </c>
      <c r="K35" s="163">
        <f>AVERAGE(G35:J35)</f>
        <v>0.17011264126729123</v>
      </c>
      <c r="L35" s="163">
        <f>AVERAGE(H35:K35)</f>
        <v>0.17279804765296228</v>
      </c>
      <c r="M35" s="163">
        <f>AVERAGE(I35:L35)</f>
        <v>0.17335111459611799</v>
      </c>
      <c r="N35" s="163">
        <f>AVERAGE(J35:M35)</f>
        <v>0.17259954616610967</v>
      </c>
      <c r="O35" s="132"/>
      <c r="P35" s="132"/>
      <c r="Q35" s="132"/>
      <c r="R35" s="132">
        <f>R9/R$8</f>
        <v>0.14314505147339179</v>
      </c>
      <c r="S35" s="132">
        <f>S9/S$8</f>
        <v>0.1538162938522005</v>
      </c>
      <c r="T35" s="132">
        <f t="shared" ref="T35:X35" si="30">T9/T$8</f>
        <v>0.14988901945423685</v>
      </c>
      <c r="U35" s="132">
        <f t="shared" si="30"/>
        <v>0.17325826238212946</v>
      </c>
      <c r="V35" s="132">
        <f t="shared" si="30"/>
        <v>0.17589711678075087</v>
      </c>
      <c r="W35" s="132">
        <f t="shared" si="30"/>
        <v>0.17024906175366769</v>
      </c>
      <c r="X35" s="132">
        <f t="shared" si="30"/>
        <v>0.17224286403508199</v>
      </c>
      <c r="Y35" s="134"/>
      <c r="Z35" s="134"/>
      <c r="AA35" s="134"/>
      <c r="AB35" s="134"/>
      <c r="AC35" s="134"/>
      <c r="AD35" s="134"/>
      <c r="AE35" s="134"/>
      <c r="AF35" s="134"/>
      <c r="AG35" s="134"/>
    </row>
    <row r="36" spans="2:33" x14ac:dyDescent="0.2">
      <c r="B36" s="124" t="s">
        <v>131</v>
      </c>
      <c r="C36" s="132">
        <f>C10/C$8</f>
        <v>3.6047125021979952E-2</v>
      </c>
      <c r="D36" s="132">
        <f t="shared" ref="D36:J36" si="31">D10/D$8</f>
        <v>3.5957409670099492E-2</v>
      </c>
      <c r="E36" s="132">
        <f t="shared" si="31"/>
        <v>4.371941272430669E-2</v>
      </c>
      <c r="F36" s="132">
        <f t="shared" si="31"/>
        <v>6.9675255374294864E-2</v>
      </c>
      <c r="G36" s="132">
        <f t="shared" si="31"/>
        <v>3.9665675024791049E-2</v>
      </c>
      <c r="H36" s="132">
        <f t="shared" si="31"/>
        <v>4.3689995825796579E-2</v>
      </c>
      <c r="I36" s="132">
        <f t="shared" si="31"/>
        <v>4.3024054982817868E-2</v>
      </c>
      <c r="J36" s="132">
        <f t="shared" si="31"/>
        <v>5.5091819699499167E-2</v>
      </c>
      <c r="K36" s="163">
        <f>AVERAGE(I36:J36)</f>
        <v>4.9057937341158514E-2</v>
      </c>
      <c r="L36" s="163">
        <f>AVERAGE(J36:K36)</f>
        <v>5.2074878520328841E-2</v>
      </c>
      <c r="M36" s="163">
        <f>AVERAGE(K36:L36)</f>
        <v>5.0566407930743677E-2</v>
      </c>
      <c r="N36" s="163">
        <f>AVERAGE(L36:M36)</f>
        <v>5.1320643225536255E-2</v>
      </c>
      <c r="O36" s="132"/>
      <c r="P36" s="132"/>
      <c r="Q36" s="132"/>
      <c r="R36" s="132">
        <f t="shared" ref="R36" si="32">R10/R$8</f>
        <v>5.0220600250558307E-2</v>
      </c>
      <c r="S36" s="132">
        <f t="shared" ref="S36:X36" si="33">S10/S$8</f>
        <v>4.7940220292105394E-2</v>
      </c>
      <c r="T36" s="132">
        <f t="shared" si="33"/>
        <v>4.8091569830700266E-2</v>
      </c>
      <c r="U36" s="132">
        <f t="shared" si="33"/>
        <v>4.4447496109127529E-2</v>
      </c>
      <c r="V36" s="132">
        <f t="shared" si="33"/>
        <v>4.7127152043144577E-2</v>
      </c>
      <c r="W36" s="132">
        <f t="shared" si="33"/>
        <v>4.5581712726032071E-2</v>
      </c>
      <c r="X36" s="132">
        <f t="shared" si="33"/>
        <v>5.077599743435969E-2</v>
      </c>
      <c r="Y36" s="134"/>
      <c r="Z36" s="134"/>
      <c r="AA36" s="134"/>
      <c r="AB36" s="134"/>
      <c r="AC36" s="134"/>
      <c r="AD36" s="134"/>
      <c r="AE36" s="134"/>
      <c r="AF36" s="134"/>
      <c r="AG36" s="134"/>
    </row>
    <row r="37" spans="2:33" x14ac:dyDescent="0.2">
      <c r="B37" s="159" t="s">
        <v>130</v>
      </c>
      <c r="C37" s="132">
        <f t="shared" ref="C37:J41" si="34">C11/C$8</f>
        <v>3.0420256725866009E-2</v>
      </c>
      <c r="D37" s="132">
        <f t="shared" si="34"/>
        <v>3.1244545295863152E-2</v>
      </c>
      <c r="E37" s="132">
        <f t="shared" si="34"/>
        <v>3.0342577487765091E-2</v>
      </c>
      <c r="F37" s="132">
        <f t="shared" si="34"/>
        <v>2.9272754993139197E-2</v>
      </c>
      <c r="G37" s="132">
        <f t="shared" si="34"/>
        <v>2.6915993766822497E-2</v>
      </c>
      <c r="H37" s="132">
        <f t="shared" si="34"/>
        <v>2.6436621678029775E-2</v>
      </c>
      <c r="I37" s="132">
        <f t="shared" si="34"/>
        <v>2.4467353951890033E-2</v>
      </c>
      <c r="J37" s="132">
        <f t="shared" si="34"/>
        <v>2.3757544625658149E-2</v>
      </c>
      <c r="K37" s="163">
        <v>0.02</v>
      </c>
      <c r="L37" s="163">
        <f>AVERAGE(H37:K37)</f>
        <v>2.366538006389449E-2</v>
      </c>
      <c r="M37" s="163">
        <f>AVERAGE(I37:L37)</f>
        <v>2.2972569660360667E-2</v>
      </c>
      <c r="N37" s="163">
        <f>AVERAGE(J37:M37)</f>
        <v>2.2598873587478325E-2</v>
      </c>
      <c r="O37" s="132"/>
      <c r="P37" s="132"/>
      <c r="Q37" s="132"/>
      <c r="R37" s="132">
        <f t="shared" ref="R37" si="35">R11/R$8</f>
        <v>3.3770902554605374E-2</v>
      </c>
      <c r="S37" s="132">
        <f t="shared" ref="S37:X37" si="36">S11/S$8</f>
        <v>3.3286428259498277E-2</v>
      </c>
      <c r="T37" s="132">
        <f t="shared" si="36"/>
        <v>3.1379205292248767E-2</v>
      </c>
      <c r="U37" s="132">
        <f t="shared" si="36"/>
        <v>3.3278403369037812E-2</v>
      </c>
      <c r="V37" s="132">
        <f t="shared" si="36"/>
        <v>3.0284173408006636E-2</v>
      </c>
      <c r="W37" s="132">
        <f t="shared" si="36"/>
        <v>2.5349709996588195E-2</v>
      </c>
      <c r="X37" s="132">
        <f t="shared" si="36"/>
        <v>2.2330860890319909E-2</v>
      </c>
      <c r="Y37" s="134"/>
      <c r="Z37" s="134"/>
      <c r="AA37" s="134"/>
      <c r="AB37" s="134"/>
      <c r="AC37" s="134"/>
      <c r="AD37" s="134"/>
      <c r="AE37" s="134"/>
      <c r="AF37" s="134"/>
      <c r="AG37" s="134"/>
    </row>
    <row r="38" spans="2:33" x14ac:dyDescent="0.2">
      <c r="B38" s="124" t="s">
        <v>129</v>
      </c>
      <c r="C38" s="132">
        <f t="shared" si="34"/>
        <v>1.4594689643045543E-2</v>
      </c>
      <c r="D38" s="132">
        <f t="shared" si="34"/>
        <v>1.4313143655088147E-2</v>
      </c>
      <c r="E38" s="132">
        <f t="shared" si="34"/>
        <v>1.7618270799347472E-2</v>
      </c>
      <c r="F38" s="132">
        <f t="shared" si="34"/>
        <v>1.9820094526604666E-2</v>
      </c>
      <c r="G38" s="132">
        <f t="shared" si="34"/>
        <v>1.4166312508853945E-2</v>
      </c>
      <c r="H38" s="132">
        <f t="shared" si="34"/>
        <v>1.7392514261861693E-2</v>
      </c>
      <c r="I38" s="132">
        <f t="shared" si="34"/>
        <v>1.6082474226804123E-2</v>
      </c>
      <c r="J38" s="132">
        <f t="shared" si="34"/>
        <v>2.0932323102606908E-2</v>
      </c>
      <c r="K38" s="163">
        <v>1.4999999999999999E-2</v>
      </c>
      <c r="L38" s="163">
        <f>AVERAGE(I38:K38)</f>
        <v>1.7338265776470341E-2</v>
      </c>
      <c r="M38" s="163">
        <f>AVERAGE(J38:L38)</f>
        <v>1.7756862959692418E-2</v>
      </c>
      <c r="N38" s="163">
        <f>AVERAGE(K38:M38)</f>
        <v>1.6698376245387586E-2</v>
      </c>
      <c r="O38" s="132"/>
      <c r="P38" s="132"/>
      <c r="Q38" s="132"/>
      <c r="R38" s="132">
        <f t="shared" ref="R38" si="37">R12/R$8</f>
        <v>2.2277901846505802E-2</v>
      </c>
      <c r="S38" s="132">
        <f t="shared" ref="S38:X38" si="38">S12/S$8</f>
        <v>2.1641030617691299E-2</v>
      </c>
      <c r="T38" s="132">
        <f t="shared" si="38"/>
        <v>1.9758889324106715E-2</v>
      </c>
      <c r="U38" s="132">
        <f t="shared" si="38"/>
        <v>1.8676187860477891E-2</v>
      </c>
      <c r="V38" s="132">
        <f t="shared" si="38"/>
        <v>1.6718523127981746E-2</v>
      </c>
      <c r="W38" s="132">
        <f t="shared" si="38"/>
        <v>1.7229614466052541E-2</v>
      </c>
      <c r="X38" s="132">
        <f t="shared" si="38"/>
        <v>1.6712503917185099E-2</v>
      </c>
      <c r="Y38" s="134"/>
      <c r="Z38" s="134"/>
      <c r="AA38" s="134"/>
      <c r="AB38" s="134"/>
      <c r="AC38" s="134"/>
      <c r="AD38" s="134"/>
      <c r="AE38" s="134"/>
      <c r="AF38" s="134"/>
      <c r="AG38" s="134"/>
    </row>
    <row r="39" spans="2:33" s="129" customFormat="1" x14ac:dyDescent="0.2">
      <c r="B39" s="124" t="s">
        <v>48</v>
      </c>
      <c r="C39" s="132">
        <f t="shared" si="34"/>
        <v>3.4640407947951465E-2</v>
      </c>
      <c r="D39" s="132">
        <f t="shared" si="34"/>
        <v>3.5084657008203873E-2</v>
      </c>
      <c r="E39" s="132">
        <f t="shared" si="34"/>
        <v>3.3278955954323002E-2</v>
      </c>
      <c r="F39" s="132">
        <f t="shared" si="34"/>
        <v>3.0797377649031864E-2</v>
      </c>
      <c r="G39" s="132">
        <f t="shared" si="34"/>
        <v>2.804929876753081E-2</v>
      </c>
      <c r="H39" s="132">
        <f t="shared" si="34"/>
        <v>2.8802003617642968E-2</v>
      </c>
      <c r="I39" s="132">
        <f t="shared" si="34"/>
        <v>3.1615120274914088E-2</v>
      </c>
      <c r="J39" s="132">
        <f t="shared" si="34"/>
        <v>2.9022730191344548E-2</v>
      </c>
      <c r="K39" s="163">
        <v>0.03</v>
      </c>
      <c r="L39" s="163">
        <f>AVERAGE(H39:K39)</f>
        <v>2.9859963520975401E-2</v>
      </c>
      <c r="M39" s="163">
        <f>AVERAGE(I39:L39)</f>
        <v>3.012445349680851E-2</v>
      </c>
      <c r="N39" s="163">
        <f>AVERAGE(J39:M39)</f>
        <v>2.9751786802282115E-2</v>
      </c>
      <c r="O39" s="133"/>
      <c r="P39" s="133"/>
      <c r="Q39" s="133"/>
      <c r="R39" s="132">
        <f t="shared" ref="R39" si="39">R13/R$8</f>
        <v>3.0284873903807397E-2</v>
      </c>
      <c r="S39" s="132">
        <f t="shared" ref="S39:X39" si="40">S13/S$8</f>
        <v>2.9744286476781987E-2</v>
      </c>
      <c r="T39" s="132">
        <f t="shared" si="40"/>
        <v>2.8550289419854637E-2</v>
      </c>
      <c r="U39" s="132">
        <f t="shared" si="40"/>
        <v>3.5109402178888582E-2</v>
      </c>
      <c r="V39" s="132">
        <f t="shared" si="40"/>
        <v>3.3354075917859362E-2</v>
      </c>
      <c r="W39" s="132">
        <f t="shared" si="40"/>
        <v>2.9375639713408393E-2</v>
      </c>
      <c r="X39" s="132">
        <f t="shared" si="40"/>
        <v>2.9929923014263494E-2</v>
      </c>
      <c r="Y39" s="133"/>
      <c r="Z39" s="133"/>
      <c r="AA39" s="133"/>
      <c r="AB39" s="133"/>
      <c r="AC39" s="133"/>
      <c r="AD39" s="133"/>
      <c r="AE39" s="133"/>
      <c r="AF39" s="133"/>
      <c r="AG39" s="133"/>
    </row>
    <row r="40" spans="2:33" x14ac:dyDescent="0.2">
      <c r="B40" s="124" t="s">
        <v>115</v>
      </c>
      <c r="C40" s="132">
        <f t="shared" si="34"/>
        <v>3.5695445753472832E-2</v>
      </c>
      <c r="D40" s="132">
        <f t="shared" si="34"/>
        <v>6.336184325362193E-2</v>
      </c>
      <c r="E40" s="132">
        <f t="shared" si="34"/>
        <v>3.3278955954323002E-2</v>
      </c>
      <c r="F40" s="132">
        <f t="shared" si="34"/>
        <v>3.2779387101692328E-2</v>
      </c>
      <c r="G40" s="132">
        <f t="shared" si="34"/>
        <v>3.4282476271426547E-2</v>
      </c>
      <c r="H40" s="132">
        <f t="shared" si="34"/>
        <v>4.5220537080840409E-2</v>
      </c>
      <c r="I40" s="132">
        <f t="shared" si="34"/>
        <v>3.9725085910652921E-2</v>
      </c>
      <c r="J40" s="132">
        <f t="shared" si="34"/>
        <v>4.340567612687813E-2</v>
      </c>
      <c r="K40" s="163">
        <v>3.5000000000000003E-2</v>
      </c>
      <c r="L40" s="163">
        <v>0.05</v>
      </c>
      <c r="M40" s="163">
        <v>0.04</v>
      </c>
      <c r="N40" s="163">
        <v>0.04</v>
      </c>
      <c r="O40" s="132"/>
      <c r="P40" s="132"/>
      <c r="Q40" s="132"/>
      <c r="R40" s="132">
        <f t="shared" ref="R40" si="41">R14/R$8</f>
        <v>5.7737349528841443E-2</v>
      </c>
      <c r="S40" s="132">
        <f t="shared" ref="S40:X40" si="42">S14/S$8</f>
        <v>5.555825124945412E-2</v>
      </c>
      <c r="T40" s="132">
        <f t="shared" si="42"/>
        <v>5.2052052052052052E-2</v>
      </c>
      <c r="U40" s="132">
        <f t="shared" si="42"/>
        <v>5.01693673899112E-2</v>
      </c>
      <c r="V40" s="132">
        <f t="shared" si="42"/>
        <v>4.0862891516282931E-2</v>
      </c>
      <c r="W40" s="132">
        <f t="shared" si="42"/>
        <v>4.0736949846468785E-2</v>
      </c>
      <c r="X40" s="132">
        <f t="shared" si="42"/>
        <v>4.1223922463877925E-2</v>
      </c>
      <c r="Y40" s="132"/>
      <c r="Z40" s="132"/>
      <c r="AA40" s="132"/>
      <c r="AB40" s="132"/>
      <c r="AC40" s="132"/>
      <c r="AD40" s="132"/>
      <c r="AE40" s="132"/>
      <c r="AF40" s="132"/>
      <c r="AG40" s="132"/>
    </row>
    <row r="41" spans="2:33" x14ac:dyDescent="0.2">
      <c r="B41" t="s">
        <v>140</v>
      </c>
      <c r="C41" s="132">
        <f t="shared" si="34"/>
        <v>1.7583963425356076E-4</v>
      </c>
      <c r="D41" s="132">
        <f t="shared" si="34"/>
        <v>5.2365159713737132E-4</v>
      </c>
      <c r="E41" s="132">
        <f t="shared" si="34"/>
        <v>-3.2626427406199022E-4</v>
      </c>
      <c r="F41" s="132">
        <f t="shared" si="34"/>
        <v>4.5738679676779996E-4</v>
      </c>
      <c r="G41" s="132">
        <f t="shared" si="34"/>
        <v>2.0966142513103841E-2</v>
      </c>
      <c r="H41" s="132">
        <f t="shared" si="34"/>
        <v>0</v>
      </c>
      <c r="I41" s="132">
        <f t="shared" si="34"/>
        <v>9.855670103092784E-2</v>
      </c>
      <c r="J41" s="132">
        <f t="shared" si="34"/>
        <v>3.8525748041607808E-4</v>
      </c>
      <c r="K41" s="164">
        <f>J41</f>
        <v>3.8525748041607808E-4</v>
      </c>
      <c r="L41" s="164">
        <f>K41</f>
        <v>3.8525748041607808E-4</v>
      </c>
      <c r="M41" s="164">
        <f>L41</f>
        <v>3.8525748041607808E-4</v>
      </c>
      <c r="N41" s="164">
        <f>M41</f>
        <v>3.8525748041607808E-4</v>
      </c>
      <c r="O41" s="132"/>
      <c r="P41" s="132"/>
      <c r="Q41" s="132"/>
      <c r="R41" s="132">
        <f>R15/R$8</f>
        <v>1.0349147557056485E-3</v>
      </c>
      <c r="S41" s="132">
        <f>S15/S$8</f>
        <v>2.9453151535736813E-2</v>
      </c>
      <c r="T41" s="132">
        <f t="shared" ref="T41:X41" si="43">T15/T$8</f>
        <v>1.7408713060886975E-2</v>
      </c>
      <c r="U41" s="132">
        <f t="shared" si="43"/>
        <v>5.0352467270896274E-4</v>
      </c>
      <c r="V41" s="132">
        <f t="shared" si="43"/>
        <v>2.0742584526031943E-4</v>
      </c>
      <c r="W41" s="132">
        <f t="shared" si="43"/>
        <v>2.9614466052541796E-2</v>
      </c>
      <c r="X41" s="132">
        <f t="shared" si="43"/>
        <v>3.8525748041607808E-4</v>
      </c>
      <c r="Y41" s="132"/>
      <c r="Z41" s="132"/>
      <c r="AA41" s="132"/>
      <c r="AB41" s="132"/>
      <c r="AC41" s="132"/>
      <c r="AD41" s="132"/>
      <c r="AE41" s="132"/>
      <c r="AF41" s="132"/>
      <c r="AG41" s="132"/>
    </row>
    <row r="42" spans="2:33" s="129" customFormat="1" x14ac:dyDescent="0.2">
      <c r="B42" s="129" t="s">
        <v>141</v>
      </c>
      <c r="C42" s="133">
        <f>C16/C8</f>
        <v>0.6759275540706875</v>
      </c>
      <c r="D42" s="133">
        <f t="shared" ref="D42:N42" si="44">D16/D8</f>
        <v>0.62506545644964218</v>
      </c>
      <c r="E42" s="133">
        <f t="shared" si="44"/>
        <v>0.66296900489396415</v>
      </c>
      <c r="F42" s="133">
        <f t="shared" si="44"/>
        <v>0.65756975148650709</v>
      </c>
      <c r="G42" s="133">
        <f t="shared" si="44"/>
        <v>0.67658308542286438</v>
      </c>
      <c r="H42" s="133">
        <f t="shared" si="44"/>
        <v>0.66815082788367886</v>
      </c>
      <c r="I42" s="133">
        <f t="shared" si="44"/>
        <v>0.57017182130584187</v>
      </c>
      <c r="J42" s="133">
        <f t="shared" si="44"/>
        <v>0.6532682676255297</v>
      </c>
      <c r="K42" s="133">
        <f t="shared" si="44"/>
        <v>0.68044416391113416</v>
      </c>
      <c r="L42" s="133">
        <f t="shared" si="44"/>
        <v>0.65387820698495247</v>
      </c>
      <c r="M42" s="133">
        <f t="shared" si="44"/>
        <v>0.66484333387586059</v>
      </c>
      <c r="N42" s="133">
        <f t="shared" si="44"/>
        <v>0.66664551649278991</v>
      </c>
      <c r="R42" s="133">
        <f t="shared" ref="R42" si="45">R16/R8</f>
        <v>0.66152840568658422</v>
      </c>
      <c r="S42" s="133">
        <f t="shared" ref="S42:X42" si="46">S16/S8</f>
        <v>0.62856033771653164</v>
      </c>
      <c r="T42" s="133">
        <f t="shared" si="46"/>
        <v>0.65287026156591377</v>
      </c>
      <c r="U42" s="133">
        <f t="shared" si="46"/>
        <v>0.64455735603771858</v>
      </c>
      <c r="V42" s="133">
        <f t="shared" si="46"/>
        <v>0.65554864136071356</v>
      </c>
      <c r="W42" s="133">
        <f t="shared" si="46"/>
        <v>0.64186284544524053</v>
      </c>
      <c r="X42" s="133">
        <f t="shared" si="46"/>
        <v>0.66639867076449588</v>
      </c>
    </row>
    <row r="43" spans="2:33" x14ac:dyDescent="0.2">
      <c r="B43" s="124" t="s">
        <v>139</v>
      </c>
      <c r="C43" s="132"/>
      <c r="D43" s="132"/>
      <c r="E43" s="132"/>
      <c r="F43" s="132"/>
      <c r="G43" s="132">
        <f>G16/C16-1</f>
        <v>0.2424557752341312</v>
      </c>
      <c r="H43" s="132">
        <f t="shared" ref="H43:N43" si="47">H16/D16-1</f>
        <v>0.34096621055571075</v>
      </c>
      <c r="I43" s="132">
        <f t="shared" si="47"/>
        <v>2.066929133858264E-2</v>
      </c>
      <c r="J43" s="132">
        <f t="shared" si="47"/>
        <v>0.17945745420820769</v>
      </c>
      <c r="K43" s="132">
        <f t="shared" si="47"/>
        <v>9.8950093174961617E-2</v>
      </c>
      <c r="L43" s="132">
        <f t="shared" si="47"/>
        <v>6.5170594872064003E-2</v>
      </c>
      <c r="M43" s="132">
        <f t="shared" si="47"/>
        <v>0.29507250034964039</v>
      </c>
      <c r="N43" s="132">
        <f t="shared" si="47"/>
        <v>0.15138736174064538</v>
      </c>
      <c r="R43" s="132"/>
      <c r="S43" s="132">
        <f>S16/R16-1</f>
        <v>6.6611774392754119E-2</v>
      </c>
      <c r="T43" s="132">
        <f t="shared" ref="T43:X43" si="48">T16/S16-1</f>
        <v>0.15802068859039675</v>
      </c>
      <c r="U43" s="132">
        <f t="shared" si="48"/>
        <v>-6.1329244717018838E-2</v>
      </c>
      <c r="V43" s="132">
        <f t="shared" si="48"/>
        <v>0.12222143313685097</v>
      </c>
      <c r="W43" s="132">
        <f t="shared" si="48"/>
        <v>0.19054550056954822</v>
      </c>
      <c r="X43" s="132">
        <f t="shared" si="48"/>
        <v>0.14774906087302608</v>
      </c>
    </row>
    <row r="44" spans="2:33" x14ac:dyDescent="0.2">
      <c r="B44" t="s">
        <v>114</v>
      </c>
      <c r="C44" s="132">
        <f>C21/C8</f>
        <v>0.54967469667663094</v>
      </c>
      <c r="D44" s="132">
        <f t="shared" ref="D44:N44" si="49">D21/D8</f>
        <v>0.52818991097922852</v>
      </c>
      <c r="E44" s="132">
        <f t="shared" si="49"/>
        <v>0.42006525285481239</v>
      </c>
      <c r="F44" s="132">
        <f t="shared" si="49"/>
        <v>0.54611983534075315</v>
      </c>
      <c r="G44" s="132">
        <f t="shared" si="49"/>
        <v>0.56084431222552766</v>
      </c>
      <c r="H44" s="132">
        <f t="shared" si="49"/>
        <v>0.50744399610407676</v>
      </c>
      <c r="I44" s="132">
        <f t="shared" si="49"/>
        <v>0.46886597938144331</v>
      </c>
      <c r="J44" s="132">
        <f t="shared" si="49"/>
        <v>0.50597149094644922</v>
      </c>
      <c r="K44" s="132">
        <f t="shared" si="49"/>
        <v>0.52360152558483497</v>
      </c>
      <c r="L44" s="132">
        <f t="shared" si="49"/>
        <v>0.50050217645743611</v>
      </c>
      <c r="M44" s="132">
        <f t="shared" si="49"/>
        <v>0.50412238774136564</v>
      </c>
      <c r="N44" s="132">
        <f t="shared" si="49"/>
        <v>0.50796374983757953</v>
      </c>
      <c r="O44" s="133"/>
      <c r="P44" s="133"/>
      <c r="Q44" s="133"/>
      <c r="R44" s="132"/>
      <c r="S44" s="132"/>
      <c r="T44" s="133"/>
      <c r="U44" s="133"/>
      <c r="V44" s="133"/>
      <c r="W44" s="133"/>
      <c r="X44" s="133"/>
      <c r="Y44" s="133"/>
      <c r="Z44" s="133"/>
      <c r="AA44" s="133"/>
      <c r="AB44" s="133"/>
      <c r="AC44" s="133"/>
      <c r="AD44" s="133"/>
      <c r="AE44" s="133"/>
      <c r="AF44" s="133"/>
      <c r="AG44" s="133"/>
    </row>
    <row r="45" spans="2:33" x14ac:dyDescent="0.2">
      <c r="B45" t="s">
        <v>27</v>
      </c>
      <c r="C45" s="132">
        <f>C20/C19</f>
        <v>0.16595517609391675</v>
      </c>
      <c r="D45" s="132">
        <f t="shared" ref="D45:J45" si="50">D20/D19</f>
        <v>0.16593164277839029</v>
      </c>
      <c r="E45" s="132">
        <f t="shared" si="50"/>
        <v>0.41330599225336068</v>
      </c>
      <c r="F45" s="132">
        <f t="shared" si="50"/>
        <v>0.16620111731843576</v>
      </c>
      <c r="G45" s="132">
        <f t="shared" si="50"/>
        <v>0.19154584439452726</v>
      </c>
      <c r="H45" s="132">
        <f t="shared" si="50"/>
        <v>0.19704975781594011</v>
      </c>
      <c r="I45" s="132">
        <f t="shared" si="50"/>
        <v>0.10916688430399582</v>
      </c>
      <c r="J45" s="132">
        <f t="shared" si="50"/>
        <v>0.19063270336894</v>
      </c>
      <c r="K45" s="132">
        <v>0.21</v>
      </c>
      <c r="L45" s="132">
        <v>0.21</v>
      </c>
      <c r="M45" s="132">
        <v>0.21</v>
      </c>
      <c r="N45" s="132">
        <v>0.21</v>
      </c>
      <c r="O45" s="132"/>
      <c r="P45" s="132"/>
      <c r="Q45" s="132"/>
      <c r="R45" s="132">
        <f>R20/R19</f>
        <v>0.42710560068405301</v>
      </c>
      <c r="S45" s="132">
        <f>S20/S19</f>
        <v>0.19561143214118382</v>
      </c>
      <c r="T45" s="132">
        <f t="shared" ref="T45:X45" si="51">T20/T19</f>
        <v>0.18839021768341843</v>
      </c>
      <c r="U45" s="132">
        <f t="shared" si="51"/>
        <v>0.212037708484409</v>
      </c>
      <c r="V45" s="132">
        <f t="shared" si="51"/>
        <v>0.23360936429861154</v>
      </c>
      <c r="W45" s="132">
        <f t="shared" si="51"/>
        <v>0.17528672254080283</v>
      </c>
      <c r="X45" s="132">
        <f t="shared" si="51"/>
        <v>0.20999999999999996</v>
      </c>
      <c r="Y45" s="132"/>
      <c r="Z45" s="132"/>
      <c r="AA45" s="132"/>
      <c r="AB45" s="132"/>
      <c r="AC45" s="132"/>
      <c r="AD45" s="132"/>
      <c r="AE45" s="132"/>
      <c r="AF45" s="132"/>
      <c r="AG45" s="132"/>
    </row>
    <row r="46" spans="2:33" x14ac:dyDescent="0.2">
      <c r="B46" t="s">
        <v>98</v>
      </c>
      <c r="C46" s="132"/>
      <c r="D46" s="132"/>
      <c r="E46" s="132"/>
      <c r="F46" s="132"/>
      <c r="G46" s="132">
        <f>G23/C23-1</f>
        <v>-1.3615023474178423E-2</v>
      </c>
      <c r="H46" s="132">
        <f t="shared" ref="H46:J46" si="52">H23/D23-1</f>
        <v>-2.1116846550915058E-2</v>
      </c>
      <c r="I46" s="132">
        <f t="shared" si="52"/>
        <v>-2.3080546396608614E-2</v>
      </c>
      <c r="J46" s="132">
        <f t="shared" si="52"/>
        <v>-1.8841262364578393E-2</v>
      </c>
      <c r="K46" s="163">
        <f>AVERAGE(G46:J46)</f>
        <v>-1.9163419696570122E-2</v>
      </c>
      <c r="L46" s="163">
        <f t="shared" ref="L46:N46" si="53">AVERAGE(H46:K46)</f>
        <v>-2.0550518752168047E-2</v>
      </c>
      <c r="M46" s="163">
        <f t="shared" si="53"/>
        <v>-2.0408936802481292E-2</v>
      </c>
      <c r="N46" s="163">
        <f t="shared" si="53"/>
        <v>-1.9741034403949462E-2</v>
      </c>
      <c r="O46" s="132"/>
      <c r="P46" s="132"/>
      <c r="Q46" s="132"/>
      <c r="R46" s="132"/>
      <c r="S46" s="132"/>
      <c r="T46" s="132"/>
      <c r="U46" s="132"/>
      <c r="V46" s="132"/>
      <c r="W46" s="132"/>
      <c r="X46" s="132"/>
      <c r="Y46" s="132"/>
      <c r="Z46" s="132"/>
      <c r="AA46" s="132"/>
      <c r="AB46" s="132"/>
      <c r="AC46" s="132"/>
      <c r="AD46" s="132"/>
      <c r="AE46" s="132"/>
      <c r="AF46" s="132"/>
      <c r="AG46" s="132"/>
    </row>
    <row r="47" spans="2:33" x14ac:dyDescent="0.2">
      <c r="O47" s="132"/>
      <c r="P47" s="132"/>
      <c r="Q47" s="132"/>
      <c r="R47" s="132"/>
      <c r="S47" s="132"/>
      <c r="T47" s="132"/>
      <c r="U47" s="132"/>
      <c r="V47" s="132"/>
      <c r="W47" s="132"/>
      <c r="X47" s="138"/>
      <c r="Y47" s="132"/>
      <c r="Z47" s="132"/>
      <c r="AA47" s="132"/>
      <c r="AB47" s="132"/>
      <c r="AC47" s="132"/>
      <c r="AD47" s="132"/>
      <c r="AE47" s="132"/>
      <c r="AF47" s="132"/>
      <c r="AG47" s="132"/>
    </row>
    <row r="48" spans="2:33" x14ac:dyDescent="0.2">
      <c r="B48" t="s">
        <v>102</v>
      </c>
      <c r="K48" s="137">
        <v>2</v>
      </c>
      <c r="L48">
        <v>1.96</v>
      </c>
      <c r="M48">
        <v>2.09</v>
      </c>
      <c r="N48">
        <v>2.25</v>
      </c>
      <c r="Q48" s="124"/>
      <c r="R48" s="124"/>
      <c r="S48" s="124"/>
      <c r="T48" s="124"/>
      <c r="U48" s="124"/>
      <c r="V48" s="124"/>
      <c r="W48" s="124"/>
      <c r="X48" s="131">
        <v>8.3000000000000007</v>
      </c>
      <c r="Y48" s="137"/>
      <c r="Z48" s="137"/>
      <c r="AA48" s="137"/>
      <c r="AB48" s="137"/>
      <c r="AC48" s="137"/>
      <c r="AD48" s="137"/>
      <c r="AE48" s="137"/>
      <c r="AF48" s="137"/>
      <c r="AG48" s="137"/>
    </row>
    <row r="49" spans="2:33" x14ac:dyDescent="0.2">
      <c r="B49" t="s">
        <v>103</v>
      </c>
      <c r="K49" s="137">
        <v>7.68</v>
      </c>
      <c r="L49" s="137">
        <v>7.66</v>
      </c>
      <c r="M49" s="137">
        <v>8</v>
      </c>
      <c r="N49" s="137">
        <v>8.6199999999999992</v>
      </c>
      <c r="Q49" s="124"/>
      <c r="R49" s="124"/>
      <c r="S49" s="124"/>
      <c r="T49" s="124"/>
      <c r="U49" s="124"/>
      <c r="V49" s="124"/>
      <c r="W49" s="124"/>
      <c r="X49" s="131">
        <v>31.91</v>
      </c>
      <c r="Y49" s="124"/>
      <c r="Z49" s="124"/>
      <c r="AA49" s="124"/>
      <c r="AB49" s="124"/>
      <c r="AC49" s="124"/>
      <c r="AD49" s="124"/>
      <c r="AE49" s="124"/>
      <c r="AF49" s="124"/>
      <c r="AG49" s="124"/>
    </row>
    <row r="50" spans="2:33" x14ac:dyDescent="0.2">
      <c r="Q50" s="124"/>
      <c r="R50" s="124"/>
      <c r="S50" s="124"/>
      <c r="T50" s="124"/>
      <c r="U50" s="124"/>
      <c r="V50" s="124"/>
      <c r="W50" s="124"/>
      <c r="X50" s="124"/>
      <c r="Y50" s="124"/>
      <c r="Z50" s="124"/>
      <c r="AA50" s="124"/>
      <c r="AB50" s="124"/>
      <c r="AC50" s="124"/>
      <c r="AD50" s="124"/>
      <c r="AE50" s="124"/>
      <c r="AF50" s="124"/>
      <c r="AG50" s="124"/>
    </row>
    <row r="51" spans="2:33" x14ac:dyDescent="0.2">
      <c r="B51" s="132" t="s">
        <v>48</v>
      </c>
      <c r="R51" s="136">
        <v>271</v>
      </c>
      <c r="S51" s="136">
        <v>613</v>
      </c>
      <c r="T51" s="136">
        <v>656</v>
      </c>
      <c r="U51" s="136">
        <v>767</v>
      </c>
      <c r="V51" s="136">
        <v>804</v>
      </c>
      <c r="W51" s="136">
        <v>861</v>
      </c>
    </row>
    <row r="52" spans="2:33" x14ac:dyDescent="0.2">
      <c r="B52" s="132" t="s">
        <v>50</v>
      </c>
      <c r="R52" s="136">
        <v>-707</v>
      </c>
      <c r="S52" s="136">
        <v>-718</v>
      </c>
      <c r="T52" s="136">
        <v>-756</v>
      </c>
      <c r="U52" s="136">
        <v>-736</v>
      </c>
      <c r="V52" s="136">
        <v>-705</v>
      </c>
      <c r="W52" s="136">
        <v>-970</v>
      </c>
    </row>
    <row r="53" spans="2:33" x14ac:dyDescent="0.2">
      <c r="B53" s="132" t="s">
        <v>51</v>
      </c>
      <c r="R53" s="136">
        <v>93</v>
      </c>
      <c r="S53" s="136">
        <v>-2220</v>
      </c>
      <c r="T53" s="136">
        <v>279</v>
      </c>
      <c r="U53" s="136">
        <v>709</v>
      </c>
      <c r="V53" s="136">
        <v>-1732</v>
      </c>
      <c r="W53" s="136">
        <v>-1280</v>
      </c>
    </row>
    <row r="55" spans="2:33" x14ac:dyDescent="0.2">
      <c r="B55" s="132" t="s">
        <v>144</v>
      </c>
      <c r="C55" s="124">
        <f>C4+C6</f>
        <v>3417</v>
      </c>
      <c r="D55" s="124">
        <f t="shared" ref="D55:N55" si="54">D4+D6</f>
        <v>3388</v>
      </c>
      <c r="E55" s="124">
        <f t="shared" si="54"/>
        <v>3736</v>
      </c>
      <c r="F55" s="124">
        <f t="shared" si="54"/>
        <v>3926</v>
      </c>
      <c r="G55" s="124">
        <f t="shared" si="54"/>
        <v>4063</v>
      </c>
      <c r="H55" s="124">
        <f t="shared" si="54"/>
        <v>3954</v>
      </c>
      <c r="I55" s="124">
        <f t="shared" si="54"/>
        <v>4096</v>
      </c>
      <c r="J55" s="124">
        <f t="shared" si="54"/>
        <v>4316</v>
      </c>
      <c r="K55" s="124">
        <f t="shared" si="54"/>
        <v>4275.13</v>
      </c>
      <c r="L55" s="124">
        <f t="shared" si="54"/>
        <v>4181.76</v>
      </c>
      <c r="M55" s="124">
        <f t="shared" si="54"/>
        <v>4352.1000000000004</v>
      </c>
      <c r="N55" s="124">
        <f t="shared" si="54"/>
        <v>4634.6500000000005</v>
      </c>
    </row>
    <row r="56" spans="2:33" s="170" customFormat="1" x14ac:dyDescent="0.2">
      <c r="B56" s="169" t="s">
        <v>39</v>
      </c>
      <c r="G56" s="169">
        <f>G55/C55-1</f>
        <v>0.18905472636815923</v>
      </c>
      <c r="H56" s="169">
        <f t="shared" ref="H56:N56" si="55">H55/D55-1</f>
        <v>0.167060212514758</v>
      </c>
      <c r="I56" s="169">
        <f t="shared" si="55"/>
        <v>9.6359743040685286E-2</v>
      </c>
      <c r="J56" s="169">
        <f t="shared" si="55"/>
        <v>9.9337748344370924E-2</v>
      </c>
      <c r="K56" s="169">
        <f t="shared" si="55"/>
        <v>5.2210189515136562E-2</v>
      </c>
      <c r="L56" s="169">
        <f t="shared" si="55"/>
        <v>5.7602427921092714E-2</v>
      </c>
      <c r="M56" s="169">
        <f t="shared" si="55"/>
        <v>6.2524414062500089E-2</v>
      </c>
      <c r="N56" s="169">
        <f t="shared" si="55"/>
        <v>7.3829935125115931E-2</v>
      </c>
    </row>
  </sheetData>
  <sheetProtection algorithmName="SHA-512" hashValue="wJVh6hou+orhtGJtbRS7jFoBTiWC1HhYZ1ZNs6ZsZBriS9+iaxfi8AAFT47vwHi0yUH0NBlU8tTcbfUSchzK+A==" saltValue="Kk5iXl1TffA4qpWqLwOFbg==" spinCount="100000" sheet="1" objects="1" scenarios="1" selectLockedCells="1"/>
  <pageMargins left="0.7" right="0.7" top="0.75" bottom="0.75" header="0.3" footer="0.3"/>
  <ignoredErrors>
    <ignoredError sqref="K36:N36 L38:N38" 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6D81F-D750-6848-962A-5C1DBCE2DFEA}">
  <dimension ref="A2:AD22"/>
  <sheetViews>
    <sheetView showGridLines="0" zoomScale="130" zoomScaleNormal="130" workbookViewId="0">
      <selection activeCell="F16" sqref="F16"/>
    </sheetView>
  </sheetViews>
  <sheetFormatPr baseColWidth="10" defaultColWidth="10.83203125" defaultRowHeight="16" x14ac:dyDescent="0.2"/>
  <cols>
    <col min="1" max="1" width="6.1640625" style="141" customWidth="1"/>
    <col min="2" max="5" width="10.83203125" style="141"/>
    <col min="6" max="6" width="12.83203125" style="141" customWidth="1"/>
    <col min="7" max="8" width="10.83203125" style="141"/>
    <col min="9" max="9" width="17" style="141" bestFit="1" customWidth="1"/>
    <col min="10" max="16384" width="10.83203125" style="141"/>
  </cols>
  <sheetData>
    <row r="2" spans="1:30" ht="22" thickBot="1" x14ac:dyDescent="0.3">
      <c r="A2" s="139"/>
      <c r="B2" s="140" t="s">
        <v>31</v>
      </c>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row>
    <row r="4" spans="1:30" x14ac:dyDescent="0.2">
      <c r="B4" s="141" t="s">
        <v>104</v>
      </c>
    </row>
    <row r="5" spans="1:30" x14ac:dyDescent="0.2">
      <c r="B5" s="141" t="s">
        <v>105</v>
      </c>
    </row>
    <row r="7" spans="1:30" ht="20" customHeight="1" x14ac:dyDescent="0.2">
      <c r="B7" s="142" t="s">
        <v>106</v>
      </c>
      <c r="C7" s="143"/>
      <c r="D7" s="143"/>
      <c r="E7" s="143"/>
      <c r="F7" s="143"/>
    </row>
    <row r="9" spans="1:30" x14ac:dyDescent="0.2">
      <c r="B9" s="141" t="s">
        <v>68</v>
      </c>
      <c r="F9" s="144">
        <f>DCF!G5*DCF!D119</f>
        <v>479126.16000000003</v>
      </c>
      <c r="I9" s="144"/>
    </row>
    <row r="10" spans="1:30" x14ac:dyDescent="0.2">
      <c r="B10" s="141" t="s">
        <v>107</v>
      </c>
      <c r="F10" s="145">
        <f>DCF!T13+DCF!T14</f>
        <v>16679</v>
      </c>
    </row>
    <row r="11" spans="1:30" x14ac:dyDescent="0.2">
      <c r="B11" s="141" t="s">
        <v>21</v>
      </c>
      <c r="F11" s="146">
        <f>DCF!T15</f>
        <v>4.3799999999999999E-2</v>
      </c>
    </row>
    <row r="12" spans="1:30" x14ac:dyDescent="0.2">
      <c r="B12" s="141" t="s">
        <v>101</v>
      </c>
      <c r="F12" s="146">
        <f>DCF!K79</f>
        <v>0.20999999999999996</v>
      </c>
    </row>
    <row r="13" spans="1:30" x14ac:dyDescent="0.2">
      <c r="B13" s="147" t="s">
        <v>108</v>
      </c>
      <c r="C13" s="147"/>
      <c r="D13" s="147"/>
      <c r="E13" s="147"/>
      <c r="F13" s="148">
        <f>(F10)/(F10+F9)</f>
        <v>3.3640230771297339E-2</v>
      </c>
    </row>
    <row r="14" spans="1:30" x14ac:dyDescent="0.2">
      <c r="B14" s="149" t="s">
        <v>109</v>
      </c>
      <c r="C14" s="150"/>
      <c r="D14" s="150"/>
      <c r="E14" s="150"/>
      <c r="F14" s="151">
        <f>F11*(1-F12)</f>
        <v>3.4602000000000001E-2</v>
      </c>
    </row>
    <row r="16" spans="1:30" x14ac:dyDescent="0.2">
      <c r="B16" s="141" t="s">
        <v>110</v>
      </c>
      <c r="F16" s="146">
        <v>3.39E-2</v>
      </c>
    </row>
    <row r="17" spans="2:6" x14ac:dyDescent="0.2">
      <c r="B17" s="141" t="s">
        <v>111</v>
      </c>
      <c r="F17" s="152">
        <f>DCF!T20</f>
        <v>5.11E-2</v>
      </c>
    </row>
    <row r="18" spans="2:6" x14ac:dyDescent="0.2">
      <c r="B18" s="141" t="s">
        <v>30</v>
      </c>
      <c r="F18" s="141">
        <f>DCF!T21</f>
        <v>0.97</v>
      </c>
    </row>
    <row r="19" spans="2:6" x14ac:dyDescent="0.2">
      <c r="B19" s="147" t="s">
        <v>112</v>
      </c>
      <c r="C19" s="147"/>
      <c r="D19" s="147"/>
      <c r="E19" s="147"/>
      <c r="F19" s="148">
        <f>1-F13</f>
        <v>0.9663597692287027</v>
      </c>
    </row>
    <row r="20" spans="2:6" x14ac:dyDescent="0.2">
      <c r="B20" s="153" t="s">
        <v>113</v>
      </c>
      <c r="F20" s="152">
        <f>F16+F18*F17</f>
        <v>8.3467E-2</v>
      </c>
    </row>
    <row r="22" spans="2:6" ht="26" customHeight="1" x14ac:dyDescent="0.2">
      <c r="B22" s="154" t="s">
        <v>31</v>
      </c>
      <c r="C22" s="155"/>
      <c r="D22" s="155"/>
      <c r="E22" s="155"/>
      <c r="F22" s="156">
        <f>F14*F13+F20*F19</f>
        <v>8.1823170123360559E-2</v>
      </c>
    </row>
  </sheetData>
  <sheetProtection algorithmName="SHA-512" hashValue="o04WDaB2DtaSVza49gftlULw9V7v94COXHuaV3wa2Ki8atAWnkO9yn5f37Gzw3ZWRhifSriEGAO80bNfsTxeGg==" saltValue="bY+eUh3cYX3+VxhJ9oBTGg=="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2023-01-22T04:07:32Z</dcterms:created>
  <dcterms:modified xsi:type="dcterms:W3CDTF">2023-01-22T06:23:41Z</dcterms:modified>
</cp:coreProperties>
</file>