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
    </mc:Choice>
  </mc:AlternateContent>
  <xr:revisionPtr revIDLastSave="0" documentId="13_ncr:1_{0E724A91-94CB-E243-B336-8798114CC833}" xr6:coauthVersionLast="47" xr6:coauthVersionMax="47" xr10:uidLastSave="{00000000-0000-0000-0000-000000000000}"/>
  <bookViews>
    <workbookView xWindow="0" yWindow="500" windowWidth="38400" windowHeight="19240" activeTab="1" xr2:uid="{026EC6A5-1DBE-E54B-925B-A6AF0DDB27F0}"/>
  </bookViews>
  <sheets>
    <sheet name="DCF" sheetId="1" r:id="rId1"/>
    <sheet name="Financials + KPIs" sheetId="2" r:id="rId2"/>
    <sheet name="WACC" sheetId="3" r:id="rId3"/>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1" l="1"/>
  <c r="D21" i="1"/>
  <c r="D22" i="1"/>
  <c r="C5" i="1"/>
  <c r="F10" i="3"/>
  <c r="S2" i="2"/>
  <c r="N114" i="1"/>
  <c r="F114" i="1"/>
  <c r="L109" i="1" l="1"/>
  <c r="F18" i="3"/>
  <c r="F17" i="3"/>
  <c r="F16" i="3"/>
  <c r="F11" i="3"/>
  <c r="R60" i="2"/>
  <c r="Q60" i="2"/>
  <c r="I60" i="2"/>
  <c r="H60" i="2"/>
  <c r="G60" i="2"/>
  <c r="F60" i="2"/>
  <c r="E60" i="2"/>
  <c r="D60" i="2"/>
  <c r="Q52" i="2"/>
  <c r="I52" i="2"/>
  <c r="H52" i="2"/>
  <c r="E52" i="2"/>
  <c r="D52" i="2"/>
  <c r="Q45" i="2"/>
  <c r="N45" i="2"/>
  <c r="M45" i="2"/>
  <c r="L45" i="2"/>
  <c r="K45" i="2"/>
  <c r="J45" i="2"/>
  <c r="E45" i="2"/>
  <c r="D45" i="2"/>
  <c r="Q44" i="2"/>
  <c r="N44" i="2"/>
  <c r="M44" i="2"/>
  <c r="L44" i="2"/>
  <c r="K44" i="2"/>
  <c r="J44" i="2"/>
  <c r="I44" i="2"/>
  <c r="H44" i="2"/>
  <c r="E44" i="2"/>
  <c r="D44" i="2"/>
  <c r="Q43" i="2"/>
  <c r="I43" i="2"/>
  <c r="E43" i="2"/>
  <c r="D43" i="2"/>
  <c r="AC42" i="2"/>
  <c r="X42" i="2"/>
  <c r="W42" i="2"/>
  <c r="V42" i="2"/>
  <c r="U42" i="2"/>
  <c r="R42" i="2"/>
  <c r="Q42" i="2"/>
  <c r="N42" i="2"/>
  <c r="M42" i="2"/>
  <c r="L42" i="2"/>
  <c r="K42" i="2"/>
  <c r="J42" i="2"/>
  <c r="J3" i="2" s="1"/>
  <c r="S3" i="2" s="1"/>
  <c r="I42" i="2"/>
  <c r="H42" i="2"/>
  <c r="E42" i="2"/>
  <c r="D42" i="2"/>
  <c r="I40" i="2"/>
  <c r="H40" i="2"/>
  <c r="G40" i="2"/>
  <c r="I39" i="2"/>
  <c r="H39" i="2"/>
  <c r="G39" i="2"/>
  <c r="F39" i="2"/>
  <c r="E39" i="2"/>
  <c r="D39" i="2"/>
  <c r="R38" i="2"/>
  <c r="J38" i="2"/>
  <c r="K38" i="2" s="1"/>
  <c r="K40" i="2" s="1"/>
  <c r="Q36" i="2"/>
  <c r="I36" i="2"/>
  <c r="H36" i="2"/>
  <c r="G36" i="2"/>
  <c r="F36" i="2"/>
  <c r="E36" i="2"/>
  <c r="D36" i="2"/>
  <c r="Q35" i="2"/>
  <c r="I35" i="2"/>
  <c r="H35" i="2"/>
  <c r="G35" i="2"/>
  <c r="F35" i="2"/>
  <c r="E35" i="2"/>
  <c r="D35" i="2"/>
  <c r="S34" i="2"/>
  <c r="R34" i="2"/>
  <c r="J34" i="2"/>
  <c r="J35" i="2" s="1"/>
  <c r="R32" i="2"/>
  <c r="Q32" i="2"/>
  <c r="P32" i="2"/>
  <c r="I32" i="2"/>
  <c r="H32" i="2"/>
  <c r="G32" i="2"/>
  <c r="F32" i="2"/>
  <c r="E32" i="2"/>
  <c r="D32" i="2"/>
  <c r="C32" i="2"/>
  <c r="J31" i="2"/>
  <c r="F30" i="2"/>
  <c r="C25" i="2"/>
  <c r="T24" i="2"/>
  <c r="Q24" i="2"/>
  <c r="P24" i="2"/>
  <c r="N24" i="2"/>
  <c r="M24" i="2"/>
  <c r="L24" i="2"/>
  <c r="K24" i="2"/>
  <c r="J24" i="2"/>
  <c r="I24" i="2"/>
  <c r="H24" i="2"/>
  <c r="G24" i="2"/>
  <c r="E24" i="2"/>
  <c r="D24" i="2"/>
  <c r="C24" i="2"/>
  <c r="Q23" i="2"/>
  <c r="P23" i="2"/>
  <c r="I23" i="2"/>
  <c r="H23" i="2"/>
  <c r="G23" i="2"/>
  <c r="C23" i="2"/>
  <c r="Q22" i="2"/>
  <c r="P22" i="2"/>
  <c r="N22" i="2"/>
  <c r="M22" i="2"/>
  <c r="L22" i="2"/>
  <c r="K22" i="2"/>
  <c r="J22" i="2"/>
  <c r="I22" i="2"/>
  <c r="H22" i="2"/>
  <c r="G22" i="2"/>
  <c r="E22" i="2"/>
  <c r="D22" i="2"/>
  <c r="C22" i="2"/>
  <c r="P19" i="2"/>
  <c r="B19" i="2"/>
  <c r="T15" i="2"/>
  <c r="S15" i="2"/>
  <c r="F15" i="2"/>
  <c r="F22" i="2" s="1"/>
  <c r="Q14" i="2"/>
  <c r="P14" i="2"/>
  <c r="P16" i="2" s="1"/>
  <c r="I14" i="2"/>
  <c r="I16" i="2" s="1"/>
  <c r="I54" i="2" s="1"/>
  <c r="G14" i="2"/>
  <c r="E14" i="2"/>
  <c r="E53" i="2" s="1"/>
  <c r="D14" i="2"/>
  <c r="D16" i="2" s="1"/>
  <c r="D54" i="2" s="1"/>
  <c r="C14" i="2"/>
  <c r="C53" i="2" s="1"/>
  <c r="T13" i="2"/>
  <c r="U13" i="2" s="1"/>
  <c r="H13" i="2"/>
  <c r="I45" i="2" s="1"/>
  <c r="F13" i="2"/>
  <c r="F45" i="2" s="1"/>
  <c r="T12" i="2"/>
  <c r="T44" i="2" s="1"/>
  <c r="S12" i="2"/>
  <c r="F12" i="2"/>
  <c r="F24" i="2" s="1"/>
  <c r="J11" i="2"/>
  <c r="F11" i="2"/>
  <c r="Q9" i="2"/>
  <c r="Q21" i="2" s="1"/>
  <c r="P9" i="2"/>
  <c r="P21" i="2" s="1"/>
  <c r="I9" i="2"/>
  <c r="H9" i="2"/>
  <c r="H21" i="2" s="1"/>
  <c r="G9" i="2"/>
  <c r="G21" i="2" s="1"/>
  <c r="C9" i="2"/>
  <c r="C21" i="2" s="1"/>
  <c r="S8" i="2"/>
  <c r="R8" i="2"/>
  <c r="J8" i="2"/>
  <c r="F8" i="2"/>
  <c r="K7" i="2"/>
  <c r="K23" i="2" s="1"/>
  <c r="E7" i="2"/>
  <c r="E23" i="2" s="1"/>
  <c r="D7" i="2"/>
  <c r="D23" i="2" s="1"/>
  <c r="F6" i="2"/>
  <c r="E6" i="2"/>
  <c r="D6" i="2"/>
  <c r="D9" i="2" s="1"/>
  <c r="Q5" i="2"/>
  <c r="P5" i="2"/>
  <c r="P10" i="2" s="1"/>
  <c r="I5" i="2"/>
  <c r="H5" i="2"/>
  <c r="E5" i="2"/>
  <c r="E18" i="2" s="1"/>
  <c r="D5" i="2"/>
  <c r="C5" i="2"/>
  <c r="G4" i="2"/>
  <c r="F4" i="2"/>
  <c r="F43" i="2" s="1"/>
  <c r="F3" i="2"/>
  <c r="V2" i="2"/>
  <c r="W2" i="2" s="1"/>
  <c r="X2" i="2" s="1"/>
  <c r="Y2" i="2" s="1"/>
  <c r="Z2" i="2" s="1"/>
  <c r="AA2" i="2" s="1"/>
  <c r="AB2" i="2" s="1"/>
  <c r="AC2" i="2" s="1"/>
  <c r="Y40" i="2" s="1"/>
  <c r="U2" i="2"/>
  <c r="Q2" i="2"/>
  <c r="R2" i="2" s="1"/>
  <c r="J136" i="1"/>
  <c r="I136" i="1"/>
  <c r="H136" i="1"/>
  <c r="G136" i="1"/>
  <c r="F136" i="1"/>
  <c r="E136" i="1"/>
  <c r="J135" i="1"/>
  <c r="I135" i="1"/>
  <c r="H135" i="1"/>
  <c r="G135" i="1"/>
  <c r="F135" i="1"/>
  <c r="E135" i="1"/>
  <c r="G131" i="1"/>
  <c r="F131" i="1"/>
  <c r="E131" i="1"/>
  <c r="J127" i="1"/>
  <c r="J134" i="1" s="1"/>
  <c r="I127" i="1"/>
  <c r="I134" i="1" s="1"/>
  <c r="H127" i="1"/>
  <c r="H134" i="1" s="1"/>
  <c r="G127" i="1"/>
  <c r="G134" i="1" s="1"/>
  <c r="F127" i="1"/>
  <c r="F134" i="1" s="1"/>
  <c r="E127" i="1"/>
  <c r="E134" i="1" s="1"/>
  <c r="L122" i="1"/>
  <c r="M122" i="1" s="1"/>
  <c r="N122" i="1" s="1"/>
  <c r="O122" i="1" s="1"/>
  <c r="P122" i="1" s="1"/>
  <c r="Q122" i="1" s="1"/>
  <c r="R122" i="1" s="1"/>
  <c r="S122" i="1" s="1"/>
  <c r="T122" i="1" s="1"/>
  <c r="U122" i="1" s="1"/>
  <c r="J122" i="1"/>
  <c r="I122" i="1" s="1"/>
  <c r="H122" i="1" s="1"/>
  <c r="G122" i="1" s="1"/>
  <c r="F122" i="1" s="1"/>
  <c r="E122" i="1" s="1"/>
  <c r="L121" i="1"/>
  <c r="M121" i="1" s="1"/>
  <c r="N121" i="1" s="1"/>
  <c r="O121" i="1" s="1"/>
  <c r="P121" i="1" s="1"/>
  <c r="Q121" i="1" s="1"/>
  <c r="R121" i="1" s="1"/>
  <c r="S121" i="1" s="1"/>
  <c r="T121" i="1" s="1"/>
  <c r="U121" i="1" s="1"/>
  <c r="F121" i="1"/>
  <c r="G121" i="1" s="1"/>
  <c r="H121" i="1" s="1"/>
  <c r="I121" i="1" s="1"/>
  <c r="J121" i="1" s="1"/>
  <c r="M114" i="1"/>
  <c r="L114" i="1" s="1"/>
  <c r="E114" i="1"/>
  <c r="D114" i="1" s="1"/>
  <c r="D104" i="1"/>
  <c r="D100" i="1"/>
  <c r="D98" i="1"/>
  <c r="L84" i="1"/>
  <c r="M84" i="1" s="1"/>
  <c r="N84" i="1" s="1"/>
  <c r="O84" i="1" s="1"/>
  <c r="P84" i="1" s="1"/>
  <c r="Q84" i="1" s="1"/>
  <c r="R84" i="1" s="1"/>
  <c r="S84" i="1" s="1"/>
  <c r="T84" i="1" s="1"/>
  <c r="L83" i="1"/>
  <c r="M83" i="1" s="1"/>
  <c r="N83" i="1" s="1"/>
  <c r="O83" i="1" s="1"/>
  <c r="P83" i="1" s="1"/>
  <c r="Q83" i="1" s="1"/>
  <c r="R83" i="1" s="1"/>
  <c r="S83" i="1" s="1"/>
  <c r="T83" i="1" s="1"/>
  <c r="K77" i="1"/>
  <c r="L77" i="1" s="1"/>
  <c r="M77" i="1" s="1"/>
  <c r="N77" i="1" s="1"/>
  <c r="O77" i="1" s="1"/>
  <c r="P77" i="1" s="1"/>
  <c r="Q77" i="1" s="1"/>
  <c r="R77" i="1" s="1"/>
  <c r="S77" i="1" s="1"/>
  <c r="T77" i="1" s="1"/>
  <c r="U77" i="1" s="1"/>
  <c r="J63" i="1"/>
  <c r="J128" i="1" s="1"/>
  <c r="I63" i="1"/>
  <c r="I128" i="1" s="1"/>
  <c r="H63" i="1"/>
  <c r="H128" i="1" s="1"/>
  <c r="G63" i="1"/>
  <c r="G128" i="1" s="1"/>
  <c r="F63" i="1"/>
  <c r="F128" i="1" s="1"/>
  <c r="E63" i="1"/>
  <c r="E128" i="1" s="1"/>
  <c r="K57" i="1"/>
  <c r="J56" i="1"/>
  <c r="J131" i="1" s="1"/>
  <c r="I56" i="1"/>
  <c r="I131" i="1" s="1"/>
  <c r="H56" i="1"/>
  <c r="H131" i="1" s="1"/>
  <c r="U52" i="1"/>
  <c r="U50" i="1"/>
  <c r="U130" i="1" s="1"/>
  <c r="J49" i="1"/>
  <c r="I49" i="1"/>
  <c r="I125" i="1" s="1"/>
  <c r="H49" i="1"/>
  <c r="H129" i="1" s="1"/>
  <c r="G49" i="1"/>
  <c r="G129" i="1" s="1"/>
  <c r="F49" i="1"/>
  <c r="F57" i="1" s="1"/>
  <c r="F132" i="1" s="1"/>
  <c r="E49" i="1"/>
  <c r="E57" i="1" s="1"/>
  <c r="E132" i="1" s="1"/>
  <c r="L45" i="1"/>
  <c r="M45" i="1" s="1"/>
  <c r="N45" i="1" s="1"/>
  <c r="O45" i="1" s="1"/>
  <c r="P45" i="1" s="1"/>
  <c r="Q45" i="1" s="1"/>
  <c r="R45" i="1" s="1"/>
  <c r="S45" i="1" s="1"/>
  <c r="T45" i="1" s="1"/>
  <c r="U45" i="1" s="1"/>
  <c r="J45" i="1"/>
  <c r="I45" i="1" s="1"/>
  <c r="H45" i="1" s="1"/>
  <c r="G45" i="1" s="1"/>
  <c r="F45" i="1" s="1"/>
  <c r="E45" i="1" s="1"/>
  <c r="L44" i="1"/>
  <c r="M44" i="1" s="1"/>
  <c r="N44" i="1" s="1"/>
  <c r="O44" i="1" s="1"/>
  <c r="P44" i="1" s="1"/>
  <c r="Q44" i="1" s="1"/>
  <c r="R44" i="1" s="1"/>
  <c r="S44" i="1" s="1"/>
  <c r="T44" i="1" s="1"/>
  <c r="U44" i="1" s="1"/>
  <c r="F44" i="1"/>
  <c r="G44" i="1" s="1"/>
  <c r="H44" i="1" s="1"/>
  <c r="I44" i="1" s="1"/>
  <c r="J44" i="1" s="1"/>
  <c r="I34" i="1"/>
  <c r="H34" i="1"/>
  <c r="G34" i="1"/>
  <c r="F34" i="1"/>
  <c r="E34" i="1"/>
  <c r="U31" i="1"/>
  <c r="U29" i="1"/>
  <c r="I27" i="1"/>
  <c r="G27" i="1"/>
  <c r="F27" i="1"/>
  <c r="E27" i="1"/>
  <c r="L26" i="1"/>
  <c r="M26" i="1" s="1"/>
  <c r="N26" i="1" s="1"/>
  <c r="O26" i="1" s="1"/>
  <c r="P26" i="1" s="1"/>
  <c r="Q26" i="1" s="1"/>
  <c r="R26" i="1" s="1"/>
  <c r="S26" i="1" s="1"/>
  <c r="T26" i="1" s="1"/>
  <c r="U26" i="1" s="1"/>
  <c r="J26" i="1"/>
  <c r="I26" i="1" s="1"/>
  <c r="H26" i="1" s="1"/>
  <c r="G26" i="1" s="1"/>
  <c r="F26" i="1" s="1"/>
  <c r="E26" i="1" s="1"/>
  <c r="L25" i="1"/>
  <c r="M25" i="1" s="1"/>
  <c r="N25" i="1" s="1"/>
  <c r="O25" i="1" s="1"/>
  <c r="P25" i="1" s="1"/>
  <c r="Q25" i="1" s="1"/>
  <c r="R25" i="1" s="1"/>
  <c r="S25" i="1" s="1"/>
  <c r="T25" i="1" s="1"/>
  <c r="U25" i="1" s="1"/>
  <c r="F25" i="1"/>
  <c r="G25" i="1" s="1"/>
  <c r="H25" i="1" s="1"/>
  <c r="I25" i="1" s="1"/>
  <c r="J25" i="1" s="1"/>
  <c r="D109" i="1"/>
  <c r="P17" i="1"/>
  <c r="H17" i="1"/>
  <c r="P12" i="1"/>
  <c r="U53" i="1" s="1"/>
  <c r="H12" i="1"/>
  <c r="U51" i="1" s="1"/>
  <c r="F12" i="1"/>
  <c r="J12" i="1" s="1"/>
  <c r="N12" i="1" s="1"/>
  <c r="F11" i="1"/>
  <c r="J11" i="1" s="1"/>
  <c r="N11" i="1" s="1"/>
  <c r="G5" i="1" a="1"/>
  <c r="G5" i="1" s="1"/>
  <c r="O4" i="1"/>
  <c r="D21" i="2" l="1"/>
  <c r="D25" i="2" s="1"/>
  <c r="D10" i="2"/>
  <c r="D49" i="2" s="1"/>
  <c r="R22" i="2"/>
  <c r="R15" i="2"/>
  <c r="R4" i="2"/>
  <c r="R43" i="2" s="1"/>
  <c r="D19" i="2"/>
  <c r="S38" i="2"/>
  <c r="D53" i="2"/>
  <c r="R12" i="2"/>
  <c r="R44" i="2" s="1"/>
  <c r="C19" i="2"/>
  <c r="H27" i="1"/>
  <c r="H41" i="1" s="1"/>
  <c r="H46" i="1" s="1"/>
  <c r="P25" i="2"/>
  <c r="E19" i="2"/>
  <c r="E20" i="2" s="1"/>
  <c r="S22" i="2"/>
  <c r="H14" i="2"/>
  <c r="H53" i="2" s="1"/>
  <c r="X32" i="2"/>
  <c r="J40" i="2"/>
  <c r="R13" i="2"/>
  <c r="R45" i="2" s="1"/>
  <c r="G45" i="2"/>
  <c r="E41" i="1"/>
  <c r="E46" i="1" s="1"/>
  <c r="E50" i="1" s="1"/>
  <c r="E130" i="1" s="1"/>
  <c r="J7" i="2"/>
  <c r="F20" i="3"/>
  <c r="E59" i="1"/>
  <c r="G28" i="1"/>
  <c r="H35" i="1"/>
  <c r="G114" i="1"/>
  <c r="H114" i="1" s="1"/>
  <c r="L53" i="1"/>
  <c r="M53" i="1" s="1"/>
  <c r="N53" i="1" s="1"/>
  <c r="O53" i="1" s="1"/>
  <c r="P53" i="1" s="1"/>
  <c r="Q53" i="1" s="1"/>
  <c r="R53" i="1" s="1"/>
  <c r="S53" i="1" s="1"/>
  <c r="T53" i="1" s="1"/>
  <c r="I28" i="1"/>
  <c r="G41" i="1"/>
  <c r="G46" i="1" s="1"/>
  <c r="O114" i="1"/>
  <c r="P114" i="1" s="1"/>
  <c r="H28" i="1"/>
  <c r="I35" i="1"/>
  <c r="F35" i="1"/>
  <c r="L51" i="1"/>
  <c r="M51" i="1" s="1"/>
  <c r="N51" i="1" s="1"/>
  <c r="O51" i="1" s="1"/>
  <c r="P51" i="1" s="1"/>
  <c r="Q51" i="1" s="1"/>
  <c r="R51" i="1" s="1"/>
  <c r="S51" i="1" s="1"/>
  <c r="T51" i="1" s="1"/>
  <c r="F41" i="1"/>
  <c r="F46" i="1" s="1"/>
  <c r="G35" i="1"/>
  <c r="J57" i="1"/>
  <c r="J132" i="1" s="1"/>
  <c r="F9" i="3"/>
  <c r="F13" i="3" s="1"/>
  <c r="F19" i="3" s="1"/>
  <c r="O5" i="1"/>
  <c r="Y42" i="2"/>
  <c r="Z40" i="2"/>
  <c r="E62" i="1"/>
  <c r="E69" i="1"/>
  <c r="E123" i="1"/>
  <c r="E66" i="1"/>
  <c r="F12" i="3"/>
  <c r="F14" i="3" s="1"/>
  <c r="L57" i="1"/>
  <c r="K132" i="1"/>
  <c r="I41" i="1"/>
  <c r="E133" i="1"/>
  <c r="E72" i="1"/>
  <c r="U45" i="2"/>
  <c r="V13" i="2"/>
  <c r="I129" i="1"/>
  <c r="I59" i="1"/>
  <c r="F59" i="1"/>
  <c r="H47" i="2"/>
  <c r="H10" i="2"/>
  <c r="H49" i="2" s="1"/>
  <c r="H48" i="2"/>
  <c r="H18" i="2"/>
  <c r="J129" i="1"/>
  <c r="J125" i="1"/>
  <c r="G59" i="1"/>
  <c r="F28" i="1"/>
  <c r="G57" i="1"/>
  <c r="G132" i="1" s="1"/>
  <c r="H59" i="1"/>
  <c r="F125" i="1"/>
  <c r="F129" i="1"/>
  <c r="H57" i="1"/>
  <c r="H132" i="1" s="1"/>
  <c r="J59" i="1"/>
  <c r="G125" i="1"/>
  <c r="G16" i="2"/>
  <c r="G53" i="2"/>
  <c r="G19" i="2"/>
  <c r="E125" i="1"/>
  <c r="E129" i="1"/>
  <c r="I57" i="1"/>
  <c r="I132" i="1" s="1"/>
  <c r="H125" i="1"/>
  <c r="I47" i="2"/>
  <c r="I10" i="2"/>
  <c r="I49" i="2" s="1"/>
  <c r="I48" i="2"/>
  <c r="I18" i="2"/>
  <c r="I46" i="2"/>
  <c r="H19" i="2"/>
  <c r="H16" i="2"/>
  <c r="H54" i="2" s="1"/>
  <c r="R24" i="2"/>
  <c r="F42" i="2"/>
  <c r="G42" i="2"/>
  <c r="R3" i="2"/>
  <c r="F52" i="2"/>
  <c r="R11" i="2"/>
  <c r="R52" i="2" s="1"/>
  <c r="G52" i="2"/>
  <c r="S24" i="2"/>
  <c r="S44" i="2"/>
  <c r="R36" i="2"/>
  <c r="R35" i="2"/>
  <c r="F7" i="2"/>
  <c r="F23" i="2" s="1"/>
  <c r="J52" i="2"/>
  <c r="S11" i="2"/>
  <c r="S52" i="2" s="1"/>
  <c r="J14" i="2"/>
  <c r="S14" i="2" s="1"/>
  <c r="S53" i="2" s="1"/>
  <c r="G25" i="2"/>
  <c r="S36" i="2"/>
  <c r="S35" i="2"/>
  <c r="K3" i="2"/>
  <c r="Q53" i="2"/>
  <c r="Q19" i="2"/>
  <c r="Q51" i="2"/>
  <c r="Q16" i="2"/>
  <c r="Q54" i="2" s="1"/>
  <c r="P18" i="2"/>
  <c r="P20" i="2" s="1"/>
  <c r="P26" i="2" s="1"/>
  <c r="P27" i="2" s="1"/>
  <c r="P29" i="2" s="1"/>
  <c r="P61" i="2" s="1"/>
  <c r="I21" i="2"/>
  <c r="I25" i="2" s="1"/>
  <c r="Q47" i="2"/>
  <c r="Q10" i="2"/>
  <c r="Q49" i="2" s="1"/>
  <c r="Q18" i="2"/>
  <c r="H51" i="2"/>
  <c r="F5" i="2"/>
  <c r="E48" i="2"/>
  <c r="E9" i="2"/>
  <c r="R6" i="2"/>
  <c r="H45" i="2"/>
  <c r="S13" i="2"/>
  <c r="H43" i="2"/>
  <c r="G43" i="2"/>
  <c r="G5" i="2"/>
  <c r="H46" i="2" s="1"/>
  <c r="F48" i="2"/>
  <c r="F14" i="2"/>
  <c r="G51" i="2" s="1"/>
  <c r="I53" i="2"/>
  <c r="I51" i="2"/>
  <c r="I19" i="2"/>
  <c r="L38" i="2"/>
  <c r="C48" i="2"/>
  <c r="C18" i="2"/>
  <c r="C10" i="2"/>
  <c r="K8" i="2"/>
  <c r="C16" i="2"/>
  <c r="T22" i="2"/>
  <c r="D46" i="2"/>
  <c r="D18" i="2"/>
  <c r="D20" i="2" s="1"/>
  <c r="Q25" i="2"/>
  <c r="K31" i="2"/>
  <c r="S31" i="2"/>
  <c r="S60" i="2" s="1"/>
  <c r="E46" i="2"/>
  <c r="D48" i="2"/>
  <c r="H25" i="2"/>
  <c r="F44" i="2"/>
  <c r="G44" i="2"/>
  <c r="S40" i="2"/>
  <c r="S42" i="2" s="1"/>
  <c r="D51" i="2"/>
  <c r="E16" i="2"/>
  <c r="E54" i="2" s="1"/>
  <c r="K34" i="2"/>
  <c r="E51" i="2"/>
  <c r="H62" i="1" l="1"/>
  <c r="H50" i="1"/>
  <c r="H130" i="1" s="1"/>
  <c r="H70" i="1"/>
  <c r="J23" i="2"/>
  <c r="S7" i="2"/>
  <c r="S23" i="2" s="1"/>
  <c r="Q20" i="2"/>
  <c r="I20" i="2"/>
  <c r="H69" i="1"/>
  <c r="H123" i="1"/>
  <c r="H66" i="1"/>
  <c r="G70" i="1"/>
  <c r="G50" i="1"/>
  <c r="G130" i="1" s="1"/>
  <c r="G69" i="1"/>
  <c r="G42" i="1"/>
  <c r="G47" i="1" s="1"/>
  <c r="G124" i="1" s="1"/>
  <c r="G66" i="1"/>
  <c r="G62" i="1"/>
  <c r="G123" i="1"/>
  <c r="G126" i="1" s="1"/>
  <c r="F42" i="1"/>
  <c r="F47" i="1" s="1"/>
  <c r="F124" i="1" s="1"/>
  <c r="F22" i="3"/>
  <c r="L16" i="1" s="1"/>
  <c r="F50" i="1"/>
  <c r="F130" i="1" s="1"/>
  <c r="H126" i="1"/>
  <c r="H42" i="1"/>
  <c r="H47" i="1" s="1"/>
  <c r="H124" i="1" s="1"/>
  <c r="L3" i="2"/>
  <c r="R7" i="2"/>
  <c r="R23" i="2" s="1"/>
  <c r="G133" i="1"/>
  <c r="G72" i="1"/>
  <c r="G48" i="2"/>
  <c r="G46" i="2"/>
  <c r="G47" i="2"/>
  <c r="G10" i="2"/>
  <c r="G18" i="2"/>
  <c r="S19" i="2"/>
  <c r="L31" i="2"/>
  <c r="M31" i="2" s="1"/>
  <c r="N31" i="2" s="1"/>
  <c r="I46" i="1"/>
  <c r="I42" i="1"/>
  <c r="I47" i="1" s="1"/>
  <c r="I124" i="1" s="1"/>
  <c r="Z42" i="2"/>
  <c r="AA40" i="2"/>
  <c r="H72" i="1"/>
  <c r="H133" i="1"/>
  <c r="F46" i="2"/>
  <c r="R5" i="2"/>
  <c r="F18" i="2"/>
  <c r="F20" i="2" s="1"/>
  <c r="I133" i="1"/>
  <c r="I72" i="1"/>
  <c r="E73" i="1"/>
  <c r="E75" i="1"/>
  <c r="E21" i="2"/>
  <c r="E10" i="2"/>
  <c r="E49" i="2" s="1"/>
  <c r="F133" i="1"/>
  <c r="F72" i="1"/>
  <c r="C49" i="2"/>
  <c r="G54" i="2"/>
  <c r="S16" i="2"/>
  <c r="S54" i="2" s="1"/>
  <c r="L8" i="2"/>
  <c r="M8" i="2" s="1"/>
  <c r="H20" i="2"/>
  <c r="F69" i="1"/>
  <c r="F70" i="1"/>
  <c r="F123" i="1"/>
  <c r="F126" i="1" s="1"/>
  <c r="F66" i="1"/>
  <c r="F62" i="1"/>
  <c r="R9" i="2"/>
  <c r="D26" i="2"/>
  <c r="L40" i="2"/>
  <c r="L7" i="2"/>
  <c r="M38" i="2"/>
  <c r="F51" i="2"/>
  <c r="F16" i="2"/>
  <c r="F54" i="2" s="1"/>
  <c r="F19" i="2"/>
  <c r="R19" i="2" s="1"/>
  <c r="F53" i="2"/>
  <c r="R14" i="2"/>
  <c r="S51" i="2" s="1"/>
  <c r="T45" i="2"/>
  <c r="S45" i="2"/>
  <c r="J133" i="1"/>
  <c r="J72" i="1"/>
  <c r="V45" i="2"/>
  <c r="W13" i="2"/>
  <c r="K48" i="2"/>
  <c r="I26" i="2"/>
  <c r="C54" i="2"/>
  <c r="R16" i="2"/>
  <c r="R54" i="2" s="1"/>
  <c r="C20" i="2"/>
  <c r="L34" i="2"/>
  <c r="K35" i="2"/>
  <c r="K11" i="2" s="1"/>
  <c r="J48" i="2"/>
  <c r="Q56" i="2"/>
  <c r="Q26" i="2"/>
  <c r="J51" i="2"/>
  <c r="J53" i="2"/>
  <c r="J19" i="2"/>
  <c r="J16" i="2"/>
  <c r="J54" i="2" s="1"/>
  <c r="J4" i="2"/>
  <c r="F9" i="2"/>
  <c r="F21" i="2" s="1"/>
  <c r="F25" i="2" s="1"/>
  <c r="E126" i="1"/>
  <c r="E56" i="2"/>
  <c r="L132" i="1"/>
  <c r="M57" i="1"/>
  <c r="F10" i="2" l="1"/>
  <c r="F49" i="2" s="1"/>
  <c r="K117" i="1"/>
  <c r="C117" i="1"/>
  <c r="C118" i="1" s="1"/>
  <c r="C119" i="1" s="1"/>
  <c r="H16" i="1"/>
  <c r="P16" i="1"/>
  <c r="C116" i="1"/>
  <c r="C115" i="1" s="1"/>
  <c r="K116" i="1"/>
  <c r="K115" i="1" s="1"/>
  <c r="F26" i="2"/>
  <c r="F56" i="2"/>
  <c r="M3" i="2"/>
  <c r="H26" i="2"/>
  <c r="Q57" i="2"/>
  <c r="Q27" i="2"/>
  <c r="Q29" i="2" s="1"/>
  <c r="Q58" i="2"/>
  <c r="C26" i="2"/>
  <c r="R20" i="2"/>
  <c r="R56" i="2" s="1"/>
  <c r="D27" i="2"/>
  <c r="D29" i="2" s="1"/>
  <c r="D57" i="2"/>
  <c r="D58" i="2"/>
  <c r="AB40" i="2"/>
  <c r="AB42" i="2" s="1"/>
  <c r="AA42" i="2"/>
  <c r="D56" i="2"/>
  <c r="R47" i="2"/>
  <c r="J27" i="1"/>
  <c r="L48" i="2"/>
  <c r="X13" i="2"/>
  <c r="W45" i="2"/>
  <c r="E25" i="2"/>
  <c r="E26" i="2" s="1"/>
  <c r="R21" i="2"/>
  <c r="R25" i="2" s="1"/>
  <c r="E76" i="1"/>
  <c r="E137" i="1"/>
  <c r="E139" i="1" s="1"/>
  <c r="G20" i="2"/>
  <c r="H56" i="2" s="1"/>
  <c r="E79" i="1"/>
  <c r="E80" i="1" s="1"/>
  <c r="G49" i="2"/>
  <c r="K14" i="2"/>
  <c r="K52" i="2"/>
  <c r="L110" i="1"/>
  <c r="K90" i="1"/>
  <c r="D110" i="1"/>
  <c r="M34" i="2"/>
  <c r="L35" i="2"/>
  <c r="L11" i="2" s="1"/>
  <c r="I58" i="2"/>
  <c r="I27" i="2"/>
  <c r="I29" i="2" s="1"/>
  <c r="I57" i="2"/>
  <c r="L23" i="2"/>
  <c r="R10" i="2"/>
  <c r="R49" i="2" s="1"/>
  <c r="I75" i="1"/>
  <c r="I79" i="1" s="1"/>
  <c r="I80" i="1" s="1"/>
  <c r="I73" i="1"/>
  <c r="T31" i="2"/>
  <c r="R51" i="2"/>
  <c r="J34" i="1"/>
  <c r="R53" i="2"/>
  <c r="G73" i="1"/>
  <c r="G75" i="1"/>
  <c r="G79" i="1" s="1"/>
  <c r="G80" i="1" s="1"/>
  <c r="M48" i="2"/>
  <c r="J75" i="1"/>
  <c r="J79" i="1" s="1"/>
  <c r="I70" i="1"/>
  <c r="I123" i="1"/>
  <c r="I126" i="1" s="1"/>
  <c r="I66" i="1"/>
  <c r="I69" i="1"/>
  <c r="I62" i="1"/>
  <c r="I50" i="1"/>
  <c r="I130" i="1" s="1"/>
  <c r="S4" i="2"/>
  <c r="S43" i="2" s="1"/>
  <c r="J43" i="2"/>
  <c r="J5" i="2"/>
  <c r="N38" i="2"/>
  <c r="M40" i="2"/>
  <c r="M7" i="2"/>
  <c r="M23" i="2" s="1"/>
  <c r="H75" i="1"/>
  <c r="H79" i="1" s="1"/>
  <c r="H80" i="1" s="1"/>
  <c r="H73" i="1"/>
  <c r="M132" i="1"/>
  <c r="N57" i="1"/>
  <c r="R18" i="2"/>
  <c r="I56" i="2"/>
  <c r="F75" i="1"/>
  <c r="F79" i="1" s="1"/>
  <c r="F80" i="1" s="1"/>
  <c r="F73" i="1"/>
  <c r="N8" i="2"/>
  <c r="T8" i="2" s="1"/>
  <c r="K37" i="1"/>
  <c r="K118" i="1" l="1"/>
  <c r="K119" i="1" s="1"/>
  <c r="J137" i="1"/>
  <c r="J139" i="1" s="1"/>
  <c r="J28" i="1"/>
  <c r="M35" i="2"/>
  <c r="M11" i="2" s="1"/>
  <c r="N34" i="2"/>
  <c r="C58" i="2"/>
  <c r="R26" i="2"/>
  <c r="C27" i="2"/>
  <c r="C29" i="2" s="1"/>
  <c r="C57" i="2"/>
  <c r="H137" i="1"/>
  <c r="H139" i="1" s="1"/>
  <c r="H76" i="1"/>
  <c r="T7" i="2"/>
  <c r="T23" i="2" s="1"/>
  <c r="E58" i="2"/>
  <c r="E27" i="2"/>
  <c r="E29" i="2" s="1"/>
  <c r="E57" i="2"/>
  <c r="N3" i="2"/>
  <c r="I137" i="1"/>
  <c r="I139" i="1" s="1"/>
  <c r="I76" i="1"/>
  <c r="K53" i="2"/>
  <c r="K4" i="2"/>
  <c r="K16" i="2"/>
  <c r="K19" i="2"/>
  <c r="K51" i="2"/>
  <c r="J41" i="1"/>
  <c r="J35" i="1"/>
  <c r="H57" i="2"/>
  <c r="H27" i="2"/>
  <c r="H29" i="2" s="1"/>
  <c r="H58" i="2"/>
  <c r="F137" i="1"/>
  <c r="F139" i="1" s="1"/>
  <c r="F76" i="1"/>
  <c r="G137" i="1"/>
  <c r="G139" i="1" s="1"/>
  <c r="G76" i="1"/>
  <c r="K91" i="1"/>
  <c r="T90" i="1"/>
  <c r="L90" i="1" s="1"/>
  <c r="M90" i="1" s="1"/>
  <c r="N90" i="1" s="1"/>
  <c r="O90" i="1" s="1"/>
  <c r="P90" i="1" s="1"/>
  <c r="Q90" i="1" s="1"/>
  <c r="R90" i="1" s="1"/>
  <c r="S90" i="1" s="1"/>
  <c r="L52" i="2"/>
  <c r="L14" i="2"/>
  <c r="X45" i="2"/>
  <c r="Y13" i="2"/>
  <c r="N48" i="2"/>
  <c r="Q48" i="2" s="1"/>
  <c r="T38" i="2"/>
  <c r="N40" i="2"/>
  <c r="N7" i="2"/>
  <c r="N23" i="2" s="1"/>
  <c r="I59" i="2"/>
  <c r="I61" i="2"/>
  <c r="Q61" i="2"/>
  <c r="Q59" i="2"/>
  <c r="F58" i="2"/>
  <c r="F27" i="2"/>
  <c r="F29" i="2" s="1"/>
  <c r="F57" i="2"/>
  <c r="T60" i="2"/>
  <c r="U31" i="2"/>
  <c r="V31" i="2" s="1"/>
  <c r="W31" i="2" s="1"/>
  <c r="X31" i="2" s="1"/>
  <c r="Y31" i="2" s="1"/>
  <c r="Z31" i="2" s="1"/>
  <c r="AA31" i="2" s="1"/>
  <c r="AB31" i="2" s="1"/>
  <c r="AC31" i="2" s="1"/>
  <c r="K36" i="1"/>
  <c r="K38" i="1"/>
  <c r="K35" i="1" s="1"/>
  <c r="K34" i="1" s="1"/>
  <c r="N132" i="1"/>
  <c r="O57" i="1"/>
  <c r="J47" i="2"/>
  <c r="J18" i="2"/>
  <c r="J46" i="2"/>
  <c r="J6" i="2"/>
  <c r="S5" i="2"/>
  <c r="S47" i="2" s="1"/>
  <c r="K30" i="1" s="1"/>
  <c r="G56" i="2"/>
  <c r="G26" i="2"/>
  <c r="D59" i="2"/>
  <c r="D61" i="2"/>
  <c r="R48" i="2" l="1"/>
  <c r="E61" i="2"/>
  <c r="E59" i="2"/>
  <c r="R57" i="2"/>
  <c r="R27" i="2"/>
  <c r="R29" i="2" s="1"/>
  <c r="R58" i="2"/>
  <c r="K43" i="2"/>
  <c r="K5" i="2"/>
  <c r="J20" i="2"/>
  <c r="S18" i="2"/>
  <c r="C59" i="2"/>
  <c r="C61" i="2"/>
  <c r="Y45" i="2"/>
  <c r="Z13" i="2"/>
  <c r="S48" i="2"/>
  <c r="T48" i="2" s="1"/>
  <c r="L51" i="2"/>
  <c r="L53" i="2"/>
  <c r="L4" i="2"/>
  <c r="L16" i="2"/>
  <c r="L54" i="2" s="1"/>
  <c r="L19" i="2"/>
  <c r="T3" i="2"/>
  <c r="U3" i="2" s="1"/>
  <c r="T34" i="2"/>
  <c r="N35" i="2"/>
  <c r="N11" i="2" s="1"/>
  <c r="T11" i="2" s="1"/>
  <c r="T52" i="2" s="1"/>
  <c r="H61" i="2"/>
  <c r="H59" i="2"/>
  <c r="K54" i="2"/>
  <c r="L91" i="1"/>
  <c r="J46" i="1"/>
  <c r="J42" i="1"/>
  <c r="J47" i="1" s="1"/>
  <c r="J124" i="1" s="1"/>
  <c r="O132" i="1"/>
  <c r="P57" i="1"/>
  <c r="M14" i="2"/>
  <c r="M52" i="2"/>
  <c r="F61" i="2"/>
  <c r="F59" i="2"/>
  <c r="U38" i="2"/>
  <c r="V38" i="2" s="1"/>
  <c r="W38" i="2" s="1"/>
  <c r="X38" i="2" s="1"/>
  <c r="Y38" i="2" s="1"/>
  <c r="Z38" i="2" s="1"/>
  <c r="AA38" i="2" s="1"/>
  <c r="AB38" i="2" s="1"/>
  <c r="AC38" i="2" s="1"/>
  <c r="T40" i="2"/>
  <c r="T42" i="2" s="1"/>
  <c r="G58" i="2"/>
  <c r="G57" i="2"/>
  <c r="G27" i="2"/>
  <c r="G29" i="2" s="1"/>
  <c r="K28" i="1"/>
  <c r="K27" i="1" s="1"/>
  <c r="K41" i="1" s="1"/>
  <c r="K29" i="1"/>
  <c r="K31" i="1"/>
  <c r="S6" i="2"/>
  <c r="J9" i="2"/>
  <c r="J66" i="1" l="1"/>
  <c r="J123" i="1"/>
  <c r="J126" i="1" s="1"/>
  <c r="J69" i="1"/>
  <c r="J70" i="1"/>
  <c r="J62" i="1"/>
  <c r="J50" i="1"/>
  <c r="J130" i="1" s="1"/>
  <c r="J73" i="1"/>
  <c r="J76" i="1"/>
  <c r="J80" i="1"/>
  <c r="T36" i="2"/>
  <c r="T35" i="2"/>
  <c r="U34" i="2"/>
  <c r="K47" i="2"/>
  <c r="K46" i="2"/>
  <c r="K18" i="2"/>
  <c r="K6" i="2"/>
  <c r="P132" i="1"/>
  <c r="Q57" i="1"/>
  <c r="L43" i="2"/>
  <c r="L5" i="2"/>
  <c r="N52" i="2"/>
  <c r="N14" i="2"/>
  <c r="J56" i="2"/>
  <c r="S20" i="2"/>
  <c r="S56" i="2" s="1"/>
  <c r="M53" i="2"/>
  <c r="M16" i="2"/>
  <c r="M4" i="2"/>
  <c r="M19" i="2"/>
  <c r="M51" i="2"/>
  <c r="T14" i="2"/>
  <c r="V3" i="2"/>
  <c r="Z45" i="2"/>
  <c r="AA13" i="2"/>
  <c r="K42" i="1"/>
  <c r="K47" i="1" s="1"/>
  <c r="K124" i="1" s="1"/>
  <c r="K46" i="1"/>
  <c r="R59" i="2"/>
  <c r="R61" i="2"/>
  <c r="G59" i="2"/>
  <c r="G61" i="2"/>
  <c r="M91" i="1"/>
  <c r="J21" i="2"/>
  <c r="S9" i="2"/>
  <c r="J10" i="2"/>
  <c r="U48" i="2"/>
  <c r="L47" i="2" l="1"/>
  <c r="L46" i="2"/>
  <c r="L18" i="2"/>
  <c r="L20" i="2" s="1"/>
  <c r="L6" i="2"/>
  <c r="L9" i="2" s="1"/>
  <c r="L21" i="2" s="1"/>
  <c r="L25" i="2" s="1"/>
  <c r="AA45" i="2"/>
  <c r="AB13" i="2"/>
  <c r="W3" i="2"/>
  <c r="K123" i="1"/>
  <c r="K68" i="1"/>
  <c r="N51" i="2"/>
  <c r="N16" i="2"/>
  <c r="N54" i="2" s="1"/>
  <c r="N53" i="2"/>
  <c r="N19" i="2"/>
  <c r="T19" i="2" s="1"/>
  <c r="N4" i="2"/>
  <c r="K66" i="1"/>
  <c r="M43" i="2"/>
  <c r="M5" i="2"/>
  <c r="M54" i="2"/>
  <c r="J49" i="2"/>
  <c r="S10" i="2"/>
  <c r="S49" i="2" s="1"/>
  <c r="Q132" i="1"/>
  <c r="R57" i="1"/>
  <c r="K62" i="1"/>
  <c r="L62" i="1" s="1"/>
  <c r="U35" i="2"/>
  <c r="U11" i="2" s="1"/>
  <c r="U12" i="2"/>
  <c r="V34" i="2"/>
  <c r="U7" i="2"/>
  <c r="U23" i="2" s="1"/>
  <c r="J25" i="2"/>
  <c r="J26" i="2" s="1"/>
  <c r="S21" i="2"/>
  <c r="S25" i="2" s="1"/>
  <c r="N91" i="1"/>
  <c r="T51" i="2"/>
  <c r="L37" i="1"/>
  <c r="T53" i="2"/>
  <c r="K9" i="2"/>
  <c r="V48" i="2"/>
  <c r="K20" i="2"/>
  <c r="M62" i="1" l="1"/>
  <c r="N62" i="1" s="1"/>
  <c r="O62" i="1" s="1"/>
  <c r="U14" i="2"/>
  <c r="U52" i="2"/>
  <c r="T16" i="2"/>
  <c r="T54" i="2" s="1"/>
  <c r="X3" i="2"/>
  <c r="L26" i="2"/>
  <c r="L56" i="2"/>
  <c r="R132" i="1"/>
  <c r="S57" i="1"/>
  <c r="O91" i="1"/>
  <c r="J57" i="2"/>
  <c r="J27" i="2"/>
  <c r="S26" i="2"/>
  <c r="L66" i="1"/>
  <c r="K61" i="1"/>
  <c r="U44" i="2"/>
  <c r="U24" i="2"/>
  <c r="K56" i="2"/>
  <c r="K21" i="2"/>
  <c r="K10" i="2"/>
  <c r="K136" i="1"/>
  <c r="K70" i="1"/>
  <c r="W48" i="2"/>
  <c r="X48" i="2" s="1"/>
  <c r="L36" i="1"/>
  <c r="L38" i="1"/>
  <c r="L35" i="1"/>
  <c r="L34" i="1" s="1"/>
  <c r="L10" i="2"/>
  <c r="L49" i="2" s="1"/>
  <c r="W34" i="2"/>
  <c r="V35" i="2"/>
  <c r="V11" i="2" s="1"/>
  <c r="V12" i="2"/>
  <c r="V7" i="2"/>
  <c r="V23" i="2" s="1"/>
  <c r="M47" i="2"/>
  <c r="M18" i="2"/>
  <c r="M46" i="2"/>
  <c r="M6" i="2"/>
  <c r="M9" i="2" s="1"/>
  <c r="M21" i="2" s="1"/>
  <c r="M25" i="2" s="1"/>
  <c r="N43" i="2"/>
  <c r="N5" i="2"/>
  <c r="T4" i="2"/>
  <c r="T43" i="2" s="1"/>
  <c r="K65" i="1"/>
  <c r="K135" i="1" s="1"/>
  <c r="AB45" i="2"/>
  <c r="AC13" i="2"/>
  <c r="AC45" i="2" s="1"/>
  <c r="M10" i="2" l="1"/>
  <c r="M49" i="2" s="1"/>
  <c r="M66" i="1"/>
  <c r="N47" i="2"/>
  <c r="N46" i="2"/>
  <c r="N6" i="2"/>
  <c r="N9" i="2" s="1"/>
  <c r="N10" i="2"/>
  <c r="N49" i="2" s="1"/>
  <c r="N18" i="2"/>
  <c r="N20" i="2" s="1"/>
  <c r="T5" i="2"/>
  <c r="T47" i="2" s="1"/>
  <c r="L30" i="1" s="1"/>
  <c r="L29" i="1" s="1"/>
  <c r="K25" i="2"/>
  <c r="K26" i="2" s="1"/>
  <c r="V24" i="2"/>
  <c r="V44" i="2"/>
  <c r="Y48" i="2"/>
  <c r="S27" i="2"/>
  <c r="S57" i="2"/>
  <c r="K52" i="1" s="1"/>
  <c r="T57" i="1"/>
  <c r="S132" i="1"/>
  <c r="M20" i="2"/>
  <c r="P91" i="1"/>
  <c r="V52" i="2"/>
  <c r="V14" i="2"/>
  <c r="J28" i="2"/>
  <c r="S28" i="2" s="1"/>
  <c r="S58" i="2" s="1"/>
  <c r="U51" i="2"/>
  <c r="U15" i="2"/>
  <c r="U22" i="2" s="1"/>
  <c r="U4" i="2"/>
  <c r="U19" i="2"/>
  <c r="M37" i="1"/>
  <c r="K49" i="2"/>
  <c r="Y3" i="2"/>
  <c r="W35" i="2"/>
  <c r="W11" i="2" s="1"/>
  <c r="X34" i="2"/>
  <c r="W7" i="2"/>
  <c r="W23" i="2" s="1"/>
  <c r="W12" i="2"/>
  <c r="K127" i="1"/>
  <c r="K134" i="1" s="1"/>
  <c r="K63" i="1"/>
  <c r="K128" i="1" s="1"/>
  <c r="P62" i="1"/>
  <c r="Q62" i="1" s="1"/>
  <c r="T6" i="2"/>
  <c r="L27" i="2"/>
  <c r="L57" i="2"/>
  <c r="J29" i="2" l="1"/>
  <c r="T18" i="2"/>
  <c r="K57" i="2"/>
  <c r="K27" i="2"/>
  <c r="K50" i="1"/>
  <c r="L52" i="1"/>
  <c r="N66" i="1"/>
  <c r="T132" i="1"/>
  <c r="U57" i="1"/>
  <c r="U132" i="1" s="1"/>
  <c r="M36" i="1"/>
  <c r="M38" i="1"/>
  <c r="M35" i="1"/>
  <c r="M34" i="1" s="1"/>
  <c r="V51" i="2"/>
  <c r="V15" i="2"/>
  <c r="V22" i="2" s="1"/>
  <c r="V4" i="2"/>
  <c r="V19" i="2"/>
  <c r="N37" i="1"/>
  <c r="M29" i="1"/>
  <c r="N29" i="1" s="1"/>
  <c r="O29" i="1" s="1"/>
  <c r="P29" i="1" s="1"/>
  <c r="Q29" i="1" s="1"/>
  <c r="R29" i="1" s="1"/>
  <c r="S29" i="1" s="1"/>
  <c r="T29" i="1" s="1"/>
  <c r="L28" i="1"/>
  <c r="L27" i="1" s="1"/>
  <c r="L31" i="1"/>
  <c r="M31" i="1" s="1"/>
  <c r="N31" i="1" s="1"/>
  <c r="O31" i="1" s="1"/>
  <c r="P31" i="1" s="1"/>
  <c r="Q31" i="1" s="1"/>
  <c r="R31" i="1" s="1"/>
  <c r="S31" i="1" s="1"/>
  <c r="T31" i="1" s="1"/>
  <c r="Y34" i="2"/>
  <c r="X7" i="2"/>
  <c r="X23" i="2" s="1"/>
  <c r="X12" i="2"/>
  <c r="X35" i="2"/>
  <c r="X11" i="2" s="1"/>
  <c r="S29" i="2"/>
  <c r="S61" i="2" s="1"/>
  <c r="N56" i="2"/>
  <c r="J61" i="2"/>
  <c r="J30" i="2"/>
  <c r="W52" i="2"/>
  <c r="W14" i="2"/>
  <c r="Q91" i="1"/>
  <c r="U43" i="2"/>
  <c r="U5" i="2"/>
  <c r="R62" i="1"/>
  <c r="S62" i="1" s="1"/>
  <c r="T62" i="1" s="1"/>
  <c r="U16" i="2"/>
  <c r="U54" i="2" s="1"/>
  <c r="N21" i="2"/>
  <c r="T9" i="2"/>
  <c r="Z3" i="2"/>
  <c r="L28" i="2"/>
  <c r="L29" i="2" s="1"/>
  <c r="T10" i="2"/>
  <c r="T49" i="2" s="1"/>
  <c r="M56" i="2"/>
  <c r="M26" i="2"/>
  <c r="T20" i="2"/>
  <c r="T56" i="2" s="1"/>
  <c r="W24" i="2"/>
  <c r="W44" i="2"/>
  <c r="O66" i="1"/>
  <c r="Z48" i="2"/>
  <c r="V16" i="2" l="1"/>
  <c r="V54" i="2" s="1"/>
  <c r="L30" i="2"/>
  <c r="L32" i="2" s="1"/>
  <c r="L61" i="2"/>
  <c r="AA3" i="2"/>
  <c r="L41" i="1"/>
  <c r="U47" i="2"/>
  <c r="U18" i="2"/>
  <c r="U20" i="2" s="1"/>
  <c r="U6" i="2"/>
  <c r="K28" i="2"/>
  <c r="Z34" i="2"/>
  <c r="Y7" i="2"/>
  <c r="Y23" i="2" s="1"/>
  <c r="Y12" i="2"/>
  <c r="Y35" i="2"/>
  <c r="Y11" i="2" s="1"/>
  <c r="K130" i="1"/>
  <c r="K49" i="1"/>
  <c r="U62" i="1"/>
  <c r="R91" i="1"/>
  <c r="M57" i="2"/>
  <c r="M27" i="2"/>
  <c r="N25" i="2"/>
  <c r="N26" i="2" s="1"/>
  <c r="T21" i="2"/>
  <c r="T25" i="2" s="1"/>
  <c r="N38" i="1"/>
  <c r="N35" i="1"/>
  <c r="N34" i="1" s="1"/>
  <c r="N36" i="1"/>
  <c r="L50" i="1"/>
  <c r="L130" i="1" s="1"/>
  <c r="M52" i="1"/>
  <c r="AA48" i="2"/>
  <c r="AB48" i="2" s="1"/>
  <c r="AC48" i="2" s="1"/>
  <c r="W51" i="2"/>
  <c r="W4" i="2"/>
  <c r="W19" i="2"/>
  <c r="W15" i="2"/>
  <c r="W22" i="2" s="1"/>
  <c r="O37" i="1"/>
  <c r="X52" i="2"/>
  <c r="X14" i="2"/>
  <c r="X44" i="2"/>
  <c r="X24" i="2"/>
  <c r="V43" i="2"/>
  <c r="V5" i="2"/>
  <c r="J32" i="2"/>
  <c r="S30" i="2"/>
  <c r="P66" i="1"/>
  <c r="W16" i="2" l="1"/>
  <c r="W54" i="2" s="1"/>
  <c r="K129" i="1"/>
  <c r="K56" i="1"/>
  <c r="K131" i="1" s="1"/>
  <c r="K125" i="1"/>
  <c r="K126" i="1" s="1"/>
  <c r="Q66" i="1"/>
  <c r="R66" i="1" s="1"/>
  <c r="S66" i="1" s="1"/>
  <c r="X51" i="2"/>
  <c r="X15" i="2"/>
  <c r="X22" i="2" s="1"/>
  <c r="X4" i="2"/>
  <c r="X19" i="2"/>
  <c r="P37" i="1"/>
  <c r="N57" i="2"/>
  <c r="N27" i="2"/>
  <c r="T26" i="2"/>
  <c r="Y52" i="2"/>
  <c r="Y14" i="2"/>
  <c r="U56" i="2"/>
  <c r="AB3" i="2"/>
  <c r="L46" i="1"/>
  <c r="L42" i="1"/>
  <c r="L47" i="1" s="1"/>
  <c r="L124" i="1" s="1"/>
  <c r="Y44" i="2"/>
  <c r="Y24" i="2"/>
  <c r="M30" i="1"/>
  <c r="M28" i="1" s="1"/>
  <c r="M27" i="1" s="1"/>
  <c r="U8" i="2"/>
  <c r="W43" i="2"/>
  <c r="W5" i="2"/>
  <c r="S59" i="2"/>
  <c r="S32" i="2"/>
  <c r="M28" i="2"/>
  <c r="M29" i="2"/>
  <c r="O38" i="1"/>
  <c r="O35" i="1"/>
  <c r="O34" i="1" s="1"/>
  <c r="O36" i="1"/>
  <c r="S91" i="1"/>
  <c r="Z7" i="2"/>
  <c r="Z23" i="2" s="1"/>
  <c r="Z12" i="2"/>
  <c r="AA34" i="2"/>
  <c r="Z35" i="2"/>
  <c r="Z11" i="2" s="1"/>
  <c r="N52" i="1"/>
  <c r="M50" i="1"/>
  <c r="M130" i="1" s="1"/>
  <c r="V47" i="2"/>
  <c r="N30" i="1" s="1"/>
  <c r="N28" i="1" s="1"/>
  <c r="V6" i="2"/>
  <c r="V18" i="2"/>
  <c r="V20" i="2" s="1"/>
  <c r="K29" i="2"/>
  <c r="P36" i="1" l="1"/>
  <c r="P38" i="1"/>
  <c r="P35" i="1" s="1"/>
  <c r="P34" i="1" s="1"/>
  <c r="Z52" i="2"/>
  <c r="Z14" i="2"/>
  <c r="X16" i="2"/>
  <c r="X54" i="2" s="1"/>
  <c r="AB34" i="2"/>
  <c r="AA12" i="2"/>
  <c r="AA35" i="2"/>
  <c r="AA11" i="2" s="1"/>
  <c r="AA7" i="2"/>
  <c r="AA23" i="2" s="1"/>
  <c r="V8" i="2"/>
  <c r="W8" i="2" s="1"/>
  <c r="Z44" i="2"/>
  <c r="Z24" i="2"/>
  <c r="M61" i="2"/>
  <c r="M30" i="2"/>
  <c r="M32" i="2" s="1"/>
  <c r="K30" i="2"/>
  <c r="K61" i="2"/>
  <c r="N27" i="1"/>
  <c r="M41" i="1"/>
  <c r="V56" i="2"/>
  <c r="Y15" i="2"/>
  <c r="Y22" i="2" s="1"/>
  <c r="Y19" i="2"/>
  <c r="Y51" i="2"/>
  <c r="Y4" i="2"/>
  <c r="Q37" i="1"/>
  <c r="X43" i="2"/>
  <c r="X5" i="2"/>
  <c r="K59" i="1"/>
  <c r="Y32" i="2"/>
  <c r="T66" i="1"/>
  <c r="U66" i="1" s="1"/>
  <c r="T91" i="1"/>
  <c r="T57" i="2"/>
  <c r="T27" i="2"/>
  <c r="W18" i="2"/>
  <c r="W20" i="2" s="1"/>
  <c r="W6" i="2"/>
  <c r="W9" i="2" s="1"/>
  <c r="W21" i="2" s="1"/>
  <c r="W25" i="2" s="1"/>
  <c r="W47" i="2"/>
  <c r="L68" i="1"/>
  <c r="L49" i="1"/>
  <c r="L123" i="1"/>
  <c r="L65" i="1"/>
  <c r="L135" i="1" s="1"/>
  <c r="L61" i="1"/>
  <c r="N28" i="2"/>
  <c r="T28" i="2" s="1"/>
  <c r="T58" i="2" s="1"/>
  <c r="O52" i="1"/>
  <c r="N50" i="1"/>
  <c r="N130" i="1" s="1"/>
  <c r="AC3" i="2"/>
  <c r="U9" i="2"/>
  <c r="O28" i="1" l="1"/>
  <c r="O30" i="1"/>
  <c r="K133" i="1"/>
  <c r="K72" i="1"/>
  <c r="L127" i="1"/>
  <c r="L134" i="1" s="1"/>
  <c r="L125" i="1"/>
  <c r="L126" i="1" s="1"/>
  <c r="L63" i="1"/>
  <c r="L128" i="1" s="1"/>
  <c r="W26" i="2"/>
  <c r="W56" i="2"/>
  <c r="X47" i="2"/>
  <c r="P30" i="1" s="1"/>
  <c r="P28" i="1" s="1"/>
  <c r="X18" i="2"/>
  <c r="X20" i="2" s="1"/>
  <c r="X6" i="2"/>
  <c r="Z19" i="2"/>
  <c r="Z51" i="2"/>
  <c r="Z16" i="2"/>
  <c r="Z54" i="2" s="1"/>
  <c r="Z4" i="2"/>
  <c r="Z15" i="2"/>
  <c r="Z22" i="2" s="1"/>
  <c r="R37" i="1"/>
  <c r="U21" i="2"/>
  <c r="U25" i="2" s="1"/>
  <c r="U26" i="2" s="1"/>
  <c r="U10" i="2"/>
  <c r="U49" i="2" s="1"/>
  <c r="T29" i="2"/>
  <c r="T61" i="2" s="1"/>
  <c r="M46" i="1"/>
  <c r="M42" i="1"/>
  <c r="M47" i="1" s="1"/>
  <c r="M124" i="1" s="1"/>
  <c r="O27" i="1"/>
  <c r="N41" i="1"/>
  <c r="Y16" i="2"/>
  <c r="Y54" i="2" s="1"/>
  <c r="AA52" i="2"/>
  <c r="AA14" i="2"/>
  <c r="L129" i="1"/>
  <c r="L56" i="1"/>
  <c r="L131" i="1" s="1"/>
  <c r="L136" i="1"/>
  <c r="L70" i="1"/>
  <c r="P52" i="1"/>
  <c r="O50" i="1"/>
  <c r="O130" i="1" s="1"/>
  <c r="K32" i="2"/>
  <c r="AA24" i="2"/>
  <c r="AA44" i="2"/>
  <c r="Q36" i="1"/>
  <c r="Q38" i="1"/>
  <c r="Q35" i="1" s="1"/>
  <c r="Q34" i="1" s="1"/>
  <c r="Y43" i="2"/>
  <c r="Y5" i="2"/>
  <c r="N29" i="2"/>
  <c r="W10" i="2"/>
  <c r="W49" i="2" s="1"/>
  <c r="V9" i="2"/>
  <c r="AB35" i="2"/>
  <c r="AB11" i="2" s="1"/>
  <c r="AC34" i="2"/>
  <c r="AB12" i="2"/>
  <c r="AB7" i="2"/>
  <c r="AB23" i="2" s="1"/>
  <c r="X8" i="2" l="1"/>
  <c r="N30" i="2"/>
  <c r="N61" i="2"/>
  <c r="W27" i="2"/>
  <c r="W57" i="2"/>
  <c r="AB52" i="2"/>
  <c r="AB14" i="2"/>
  <c r="AA51" i="2"/>
  <c r="AA19" i="2"/>
  <c r="AA15" i="2"/>
  <c r="AA22" i="2" s="1"/>
  <c r="AA4" i="2"/>
  <c r="S37" i="1"/>
  <c r="P50" i="1"/>
  <c r="P130" i="1" s="1"/>
  <c r="Q52" i="1"/>
  <c r="X9" i="2"/>
  <c r="U27" i="2"/>
  <c r="U57" i="2"/>
  <c r="K75" i="1"/>
  <c r="K79" i="1" s="1"/>
  <c r="K73" i="1"/>
  <c r="AC12" i="2"/>
  <c r="AC35" i="2"/>
  <c r="AC11" i="2" s="1"/>
  <c r="AC7" i="2"/>
  <c r="AC23" i="2" s="1"/>
  <c r="R36" i="1"/>
  <c r="R38" i="1"/>
  <c r="R35" i="1" s="1"/>
  <c r="R34" i="1" s="1"/>
  <c r="X56" i="2"/>
  <c r="Y47" i="2"/>
  <c r="Q30" i="1" s="1"/>
  <c r="Q28" i="1" s="1"/>
  <c r="Y6" i="2"/>
  <c r="Y18" i="2"/>
  <c r="Y20" i="2" s="1"/>
  <c r="V21" i="2"/>
  <c r="V25" i="2" s="1"/>
  <c r="V26" i="2" s="1"/>
  <c r="V10" i="2"/>
  <c r="V49" i="2" s="1"/>
  <c r="N46" i="1"/>
  <c r="N42" i="1"/>
  <c r="N47" i="1" s="1"/>
  <c r="N124" i="1" s="1"/>
  <c r="P27" i="1"/>
  <c r="O41" i="1"/>
  <c r="AB44" i="2"/>
  <c r="AB24" i="2"/>
  <c r="L59" i="1"/>
  <c r="M68" i="1"/>
  <c r="M49" i="1"/>
  <c r="M123" i="1"/>
  <c r="M65" i="1"/>
  <c r="M135" i="1" s="1"/>
  <c r="M61" i="1"/>
  <c r="Z43" i="2"/>
  <c r="Z5" i="2"/>
  <c r="Y8" i="2" l="1"/>
  <c r="K80" i="1"/>
  <c r="K76" i="1"/>
  <c r="K137" i="1"/>
  <c r="K139" i="1" s="1"/>
  <c r="AA43" i="2"/>
  <c r="AA5" i="2"/>
  <c r="W28" i="2"/>
  <c r="W29" i="2" s="1"/>
  <c r="M56" i="1"/>
  <c r="M131" i="1" s="1"/>
  <c r="M129" i="1"/>
  <c r="AC44" i="2"/>
  <c r="AC24" i="2"/>
  <c r="L133" i="1"/>
  <c r="L72" i="1"/>
  <c r="Y56" i="2"/>
  <c r="Z47" i="2"/>
  <c r="R30" i="1" s="1"/>
  <c r="R28" i="1" s="1"/>
  <c r="Z6" i="2"/>
  <c r="Z18" i="2"/>
  <c r="Z20" i="2" s="1"/>
  <c r="Y9" i="2"/>
  <c r="U28" i="2"/>
  <c r="U29" i="2"/>
  <c r="AA16" i="2"/>
  <c r="AA54" i="2" s="1"/>
  <c r="N32" i="2"/>
  <c r="T30" i="2"/>
  <c r="T59" i="2" s="1"/>
  <c r="AB51" i="2"/>
  <c r="AB19" i="2"/>
  <c r="AB15" i="2"/>
  <c r="AB22" i="2" s="1"/>
  <c r="AB4" i="2"/>
  <c r="T37" i="1"/>
  <c r="N61" i="1"/>
  <c r="N123" i="1"/>
  <c r="N65" i="1"/>
  <c r="N135" i="1" s="1"/>
  <c r="N49" i="1"/>
  <c r="N68" i="1"/>
  <c r="S36" i="1"/>
  <c r="S38" i="1"/>
  <c r="S35" i="1" s="1"/>
  <c r="S34" i="1" s="1"/>
  <c r="O46" i="1"/>
  <c r="O42" i="1"/>
  <c r="O47" i="1" s="1"/>
  <c r="O124" i="1" s="1"/>
  <c r="Q27" i="1"/>
  <c r="P41" i="1"/>
  <c r="X21" i="2"/>
  <c r="X25" i="2" s="1"/>
  <c r="X26" i="2" s="1"/>
  <c r="X10" i="2"/>
  <c r="X49" i="2" s="1"/>
  <c r="M136" i="1"/>
  <c r="M70" i="1"/>
  <c r="V57" i="2"/>
  <c r="V27" i="2"/>
  <c r="M125" i="1"/>
  <c r="M126" i="1" s="1"/>
  <c r="M127" i="1"/>
  <c r="M134" i="1" s="1"/>
  <c r="M63" i="1"/>
  <c r="M128" i="1" s="1"/>
  <c r="AC14" i="2"/>
  <c r="AC52" i="2"/>
  <c r="Q50" i="1"/>
  <c r="Q130" i="1" s="1"/>
  <c r="R52" i="1"/>
  <c r="AB16" i="2" l="1"/>
  <c r="AB54" i="2" s="1"/>
  <c r="M59" i="1"/>
  <c r="M133" i="1" s="1"/>
  <c r="W61" i="2"/>
  <c r="Z56" i="2"/>
  <c r="AA47" i="2"/>
  <c r="S30" i="1" s="1"/>
  <c r="S28" i="1" s="1"/>
  <c r="AA6" i="2"/>
  <c r="AA18" i="2"/>
  <c r="AA20" i="2" s="1"/>
  <c r="R27" i="1"/>
  <c r="Q41" i="1"/>
  <c r="N129" i="1"/>
  <c r="N56" i="1"/>
  <c r="N131" i="1" s="1"/>
  <c r="V28" i="2"/>
  <c r="V29" i="2" s="1"/>
  <c r="U59" i="2"/>
  <c r="V59" i="2" s="1"/>
  <c r="P46" i="1"/>
  <c r="P42" i="1"/>
  <c r="P47" i="1" s="1"/>
  <c r="P124" i="1" s="1"/>
  <c r="T36" i="1"/>
  <c r="T38" i="1"/>
  <c r="T35" i="1"/>
  <c r="T34" i="1" s="1"/>
  <c r="Z8" i="2"/>
  <c r="Z9" i="2" s="1"/>
  <c r="AB43" i="2"/>
  <c r="AB5" i="2"/>
  <c r="U61" i="2"/>
  <c r="O123" i="1"/>
  <c r="O68" i="1"/>
  <c r="O65" i="1"/>
  <c r="O135" i="1" s="1"/>
  <c r="O61" i="1"/>
  <c r="O49" i="1"/>
  <c r="W32" i="2"/>
  <c r="V32" i="2"/>
  <c r="U32" i="2"/>
  <c r="T32" i="2"/>
  <c r="R50" i="1"/>
  <c r="R130" i="1" s="1"/>
  <c r="S52" i="1"/>
  <c r="N125" i="1"/>
  <c r="N126" i="1" s="1"/>
  <c r="N63" i="1"/>
  <c r="N128" i="1" s="1"/>
  <c r="N127" i="1"/>
  <c r="N134" i="1" s="1"/>
  <c r="AC51" i="2"/>
  <c r="AC19" i="2"/>
  <c r="AC15" i="2"/>
  <c r="AC22" i="2" s="1"/>
  <c r="AC4" i="2"/>
  <c r="U37" i="1"/>
  <c r="X57" i="2"/>
  <c r="X27" i="2"/>
  <c r="N70" i="1"/>
  <c r="N136" i="1"/>
  <c r="Y21" i="2"/>
  <c r="Y25" i="2" s="1"/>
  <c r="Y26" i="2" s="1"/>
  <c r="Y10" i="2"/>
  <c r="Y49" i="2" s="1"/>
  <c r="L75" i="1"/>
  <c r="L79" i="1" s="1"/>
  <c r="L73" i="1"/>
  <c r="AC16" i="2" l="1"/>
  <c r="AC54" i="2" s="1"/>
  <c r="M72" i="1"/>
  <c r="M73" i="1" s="1"/>
  <c r="V61" i="2"/>
  <c r="V30" i="2"/>
  <c r="Z21" i="2"/>
  <c r="Z25" i="2" s="1"/>
  <c r="Z26" i="2" s="1"/>
  <c r="Z10" i="2"/>
  <c r="Z49" i="2" s="1"/>
  <c r="P61" i="1"/>
  <c r="P65" i="1"/>
  <c r="P135" i="1" s="1"/>
  <c r="P123" i="1"/>
  <c r="P68" i="1"/>
  <c r="P49" i="1"/>
  <c r="AB18" i="2"/>
  <c r="AB20" i="2" s="1"/>
  <c r="AB47" i="2"/>
  <c r="T30" i="1" s="1"/>
  <c r="T28" i="1" s="1"/>
  <c r="AB6" i="2"/>
  <c r="L137" i="1"/>
  <c r="L139" i="1" s="1"/>
  <c r="L76" i="1"/>
  <c r="U36" i="1"/>
  <c r="U38" i="1"/>
  <c r="U35" i="1" s="1"/>
  <c r="U34" i="1" s="1"/>
  <c r="O129" i="1"/>
  <c r="O56" i="1"/>
  <c r="O131" i="1" s="1"/>
  <c r="W59" i="2"/>
  <c r="AC43" i="2"/>
  <c r="AC5" i="2"/>
  <c r="O125" i="1"/>
  <c r="O126" i="1" s="1"/>
  <c r="O127" i="1"/>
  <c r="O134" i="1" s="1"/>
  <c r="O63" i="1"/>
  <c r="O128" i="1" s="1"/>
  <c r="AA8" i="2"/>
  <c r="Q46" i="1"/>
  <c r="Q42" i="1"/>
  <c r="Q47" i="1" s="1"/>
  <c r="Q124" i="1" s="1"/>
  <c r="S27" i="1"/>
  <c r="R41" i="1"/>
  <c r="AA56" i="2"/>
  <c r="L80" i="1"/>
  <c r="K85" i="1"/>
  <c r="K93" i="1" s="1"/>
  <c r="S50" i="1"/>
  <c r="S130" i="1" s="1"/>
  <c r="T52" i="1"/>
  <c r="T50" i="1" s="1"/>
  <c r="T130" i="1" s="1"/>
  <c r="AC32" i="2"/>
  <c r="AB32" i="2"/>
  <c r="Z32" i="2"/>
  <c r="AA32" i="2"/>
  <c r="Y57" i="2"/>
  <c r="Y27" i="2"/>
  <c r="O70" i="1"/>
  <c r="O136" i="1"/>
  <c r="X28" i="2"/>
  <c r="X29" i="2" s="1"/>
  <c r="U30" i="2"/>
  <c r="N59" i="1"/>
  <c r="AB8" i="2" l="1"/>
  <c r="M75" i="1"/>
  <c r="M79" i="1" s="1"/>
  <c r="X61" i="2"/>
  <c r="AB9" i="2"/>
  <c r="P127" i="1"/>
  <c r="P134" i="1" s="1"/>
  <c r="P125" i="1"/>
  <c r="P126" i="1" s="1"/>
  <c r="P63" i="1"/>
  <c r="P128" i="1" s="1"/>
  <c r="AC8" i="2"/>
  <c r="R46" i="1"/>
  <c r="R42" i="1"/>
  <c r="R47" i="1" s="1"/>
  <c r="R124" i="1" s="1"/>
  <c r="AB56" i="2"/>
  <c r="P129" i="1"/>
  <c r="P56" i="1"/>
  <c r="P131" i="1" s="1"/>
  <c r="Z57" i="2"/>
  <c r="Z27" i="2"/>
  <c r="N133" i="1"/>
  <c r="N72" i="1"/>
  <c r="T27" i="1"/>
  <c r="S41" i="1"/>
  <c r="Q65" i="1"/>
  <c r="Q135" i="1" s="1"/>
  <c r="Q123" i="1"/>
  <c r="Q68" i="1"/>
  <c r="Q61" i="1"/>
  <c r="Q49" i="1"/>
  <c r="W30" i="2"/>
  <c r="X59" i="2"/>
  <c r="P136" i="1"/>
  <c r="P70" i="1"/>
  <c r="AC47" i="2"/>
  <c r="U30" i="1" s="1"/>
  <c r="U28" i="1" s="1"/>
  <c r="AC18" i="2"/>
  <c r="AC20" i="2" s="1"/>
  <c r="AC6" i="2"/>
  <c r="Y28" i="2"/>
  <c r="Y29" i="2" s="1"/>
  <c r="AA9" i="2"/>
  <c r="O59" i="1"/>
  <c r="M76" i="1" l="1"/>
  <c r="M137" i="1"/>
  <c r="M139" i="1" s="1"/>
  <c r="P59" i="1"/>
  <c r="P72" i="1" s="1"/>
  <c r="S42" i="1"/>
  <c r="S47" i="1" s="1"/>
  <c r="S124" i="1" s="1"/>
  <c r="S46" i="1"/>
  <c r="U27" i="1"/>
  <c r="U41" i="1" s="1"/>
  <c r="T41" i="1"/>
  <c r="AB21" i="2"/>
  <c r="AB25" i="2" s="1"/>
  <c r="AB26" i="2" s="1"/>
  <c r="AB10" i="2"/>
  <c r="AB49" i="2" s="1"/>
  <c r="N75" i="1"/>
  <c r="N79" i="1" s="1"/>
  <c r="M85" i="1" s="1"/>
  <c r="N73" i="1"/>
  <c r="AC9" i="2"/>
  <c r="Y59" i="2"/>
  <c r="AA21" i="2"/>
  <c r="AA25" i="2" s="1"/>
  <c r="AA26" i="2" s="1"/>
  <c r="AA10" i="2"/>
  <c r="AA49" i="2" s="1"/>
  <c r="AC56" i="2"/>
  <c r="Q127" i="1"/>
  <c r="Q134" i="1" s="1"/>
  <c r="Q125" i="1"/>
  <c r="Q126" i="1" s="1"/>
  <c r="Q63" i="1"/>
  <c r="Q128" i="1" s="1"/>
  <c r="X30" i="2"/>
  <c r="Y61" i="2"/>
  <c r="O133" i="1"/>
  <c r="O72" i="1"/>
  <c r="Q129" i="1"/>
  <c r="Q56" i="1"/>
  <c r="Q131" i="1" s="1"/>
  <c r="M80" i="1"/>
  <c r="L85" i="1"/>
  <c r="Q136" i="1"/>
  <c r="Q70" i="1"/>
  <c r="Z28" i="2"/>
  <c r="Z29" i="2"/>
  <c r="R123" i="1"/>
  <c r="R65" i="1"/>
  <c r="R135" i="1" s="1"/>
  <c r="R68" i="1"/>
  <c r="R61" i="1"/>
  <c r="R49" i="1"/>
  <c r="P133" i="1" l="1"/>
  <c r="Z61" i="2"/>
  <c r="AB57" i="2"/>
  <c r="AB27" i="2"/>
  <c r="AC21" i="2"/>
  <c r="AC25" i="2" s="1"/>
  <c r="AC26" i="2" s="1"/>
  <c r="AC10" i="2"/>
  <c r="AC49" i="2" s="1"/>
  <c r="T46" i="1"/>
  <c r="T42" i="1"/>
  <c r="T47" i="1" s="1"/>
  <c r="T124" i="1" s="1"/>
  <c r="Z59" i="2"/>
  <c r="Z30" i="2" s="1"/>
  <c r="U46" i="1"/>
  <c r="U42" i="1"/>
  <c r="U47" i="1" s="1"/>
  <c r="U124" i="1" s="1"/>
  <c r="AB59" i="2"/>
  <c r="S65" i="1"/>
  <c r="S135" i="1" s="1"/>
  <c r="S123" i="1"/>
  <c r="S68" i="1"/>
  <c r="S61" i="1"/>
  <c r="S49" i="1"/>
  <c r="AA59" i="2"/>
  <c r="O73" i="1"/>
  <c r="O75" i="1"/>
  <c r="L86" i="1"/>
  <c r="L93" i="1"/>
  <c r="M86" i="1"/>
  <c r="M93" i="1"/>
  <c r="Y30" i="2"/>
  <c r="N80" i="1"/>
  <c r="AA57" i="2"/>
  <c r="AA27" i="2"/>
  <c r="Q59" i="1"/>
  <c r="R129" i="1"/>
  <c r="R56" i="1"/>
  <c r="R131" i="1" s="1"/>
  <c r="R127" i="1"/>
  <c r="R134" i="1" s="1"/>
  <c r="R63" i="1"/>
  <c r="R128" i="1" s="1"/>
  <c r="R125" i="1"/>
  <c r="R126" i="1" s="1"/>
  <c r="R136" i="1"/>
  <c r="R70" i="1"/>
  <c r="N137" i="1"/>
  <c r="N139" i="1" s="1"/>
  <c r="N76" i="1"/>
  <c r="P73" i="1"/>
  <c r="P75" i="1"/>
  <c r="P79" i="1" s="1"/>
  <c r="P80" i="1" l="1"/>
  <c r="O137" i="1"/>
  <c r="O139" i="1" s="1"/>
  <c r="O76" i="1"/>
  <c r="T123" i="1"/>
  <c r="T68" i="1"/>
  <c r="T61" i="1"/>
  <c r="T49" i="1"/>
  <c r="T65" i="1"/>
  <c r="T135" i="1" s="1"/>
  <c r="AC27" i="2"/>
  <c r="AC57" i="2"/>
  <c r="AB28" i="2"/>
  <c r="AB29" i="2" s="1"/>
  <c r="U68" i="1"/>
  <c r="U61" i="1"/>
  <c r="U49" i="1"/>
  <c r="U123" i="1"/>
  <c r="U65" i="1"/>
  <c r="U135" i="1" s="1"/>
  <c r="S136" i="1"/>
  <c r="S70" i="1"/>
  <c r="O79" i="1"/>
  <c r="R59" i="1"/>
  <c r="Q133" i="1"/>
  <c r="Q72" i="1"/>
  <c r="S129" i="1"/>
  <c r="S56" i="1"/>
  <c r="S131" i="1" s="1"/>
  <c r="P137" i="1"/>
  <c r="P139" i="1" s="1"/>
  <c r="P76" i="1"/>
  <c r="AA28" i="2"/>
  <c r="AA29" i="2" s="1"/>
  <c r="S127" i="1"/>
  <c r="S134" i="1" s="1"/>
  <c r="S63" i="1"/>
  <c r="S128" i="1" s="1"/>
  <c r="S125" i="1"/>
  <c r="S126" i="1" s="1"/>
  <c r="AC59" i="2"/>
  <c r="AA61" i="2" l="1"/>
  <c r="AA30" i="2"/>
  <c r="AB61" i="2"/>
  <c r="AB30" i="2"/>
  <c r="Q75" i="1"/>
  <c r="Q73" i="1"/>
  <c r="T129" i="1"/>
  <c r="T56" i="1"/>
  <c r="T131" i="1" s="1"/>
  <c r="T136" i="1"/>
  <c r="T70" i="1"/>
  <c r="T127" i="1"/>
  <c r="T134" i="1" s="1"/>
  <c r="T63" i="1"/>
  <c r="T128" i="1" s="1"/>
  <c r="T125" i="1"/>
  <c r="T126" i="1" s="1"/>
  <c r="U136" i="1"/>
  <c r="U70" i="1"/>
  <c r="AC28" i="2"/>
  <c r="AC29" i="2" s="1"/>
  <c r="U56" i="1"/>
  <c r="U131" i="1" s="1"/>
  <c r="U129" i="1"/>
  <c r="U127" i="1"/>
  <c r="U134" i="1" s="1"/>
  <c r="U125" i="1"/>
  <c r="U63" i="1"/>
  <c r="U128" i="1" s="1"/>
  <c r="R133" i="1"/>
  <c r="R72" i="1"/>
  <c r="O85" i="1"/>
  <c r="O80" i="1"/>
  <c r="N85" i="1"/>
  <c r="S59" i="1"/>
  <c r="U59" i="1" l="1"/>
  <c r="U72" i="1" s="1"/>
  <c r="N86" i="1"/>
  <c r="N93" i="1"/>
  <c r="Q137" i="1"/>
  <c r="Q139" i="1" s="1"/>
  <c r="Q76" i="1"/>
  <c r="Q79" i="1"/>
  <c r="S133" i="1"/>
  <c r="S72" i="1"/>
  <c r="O86" i="1"/>
  <c r="O93" i="1"/>
  <c r="R75" i="1"/>
  <c r="R79" i="1" s="1"/>
  <c r="R73" i="1"/>
  <c r="AC61" i="2"/>
  <c r="AC30" i="2"/>
  <c r="U126" i="1"/>
  <c r="T88" i="1"/>
  <c r="T59" i="1"/>
  <c r="U133" i="1" l="1"/>
  <c r="S75" i="1"/>
  <c r="S79" i="1" s="1"/>
  <c r="R85" i="1" s="1"/>
  <c r="S73" i="1"/>
  <c r="R80" i="1"/>
  <c r="T133" i="1"/>
  <c r="T72" i="1"/>
  <c r="Q85" i="1"/>
  <c r="Q80" i="1"/>
  <c r="P85" i="1"/>
  <c r="R137" i="1"/>
  <c r="R139" i="1" s="1"/>
  <c r="R76" i="1"/>
  <c r="U73" i="1"/>
  <c r="U75" i="1"/>
  <c r="R86" i="1" l="1"/>
  <c r="R93" i="1"/>
  <c r="P86" i="1"/>
  <c r="P93" i="1"/>
  <c r="S80" i="1"/>
  <c r="U137" i="1"/>
  <c r="U139" i="1" s="1"/>
  <c r="U76" i="1"/>
  <c r="T75" i="1"/>
  <c r="T79" i="1" s="1"/>
  <c r="S85" i="1" s="1"/>
  <c r="T73" i="1"/>
  <c r="Q86" i="1"/>
  <c r="Q93" i="1"/>
  <c r="U79" i="1"/>
  <c r="U80" i="1" s="1"/>
  <c r="S137" i="1"/>
  <c r="S139" i="1" s="1"/>
  <c r="S76" i="1"/>
  <c r="S86" i="1" l="1"/>
  <c r="S93" i="1"/>
  <c r="T80" i="1"/>
  <c r="T85" i="1"/>
  <c r="T137" i="1"/>
  <c r="T139" i="1" s="1"/>
  <c r="T76" i="1"/>
  <c r="T87" i="1" l="1"/>
  <c r="T89" i="1" s="1"/>
  <c r="T94" i="1" s="1"/>
  <c r="T86" i="1"/>
  <c r="T93" i="1"/>
  <c r="D96" i="1" l="1"/>
  <c r="D102" i="1" s="1"/>
  <c r="D105" i="1" s="1"/>
  <c r="C114" i="1" l="1"/>
  <c r="K114" i="1"/>
  <c r="G4" i="1"/>
  <c r="S4" i="1" s="1"/>
  <c r="S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<sst xmlns="http://schemas.openxmlformats.org/spreadsheetml/2006/main" count="255" uniqueCount="162">
  <si>
    <t>Blackstone DCF</t>
  </si>
  <si>
    <t>Ticker</t>
  </si>
  <si>
    <t>BX</t>
  </si>
  <si>
    <t>Implied Share Price</t>
  </si>
  <si>
    <t>Base Case</t>
  </si>
  <si>
    <t>Average</t>
  </si>
  <si>
    <t>10yr Price Target</t>
  </si>
  <si>
    <t>Date</t>
  </si>
  <si>
    <t>Current Share Price</t>
  </si>
  <si>
    <t>Optimistic Case</t>
  </si>
  <si>
    <t>Implied Upside (Downside)</t>
  </si>
  <si>
    <t>10yr CAGR</t>
  </si>
  <si>
    <t>x</t>
  </si>
  <si>
    <t>Assumptions</t>
  </si>
  <si>
    <t>Revenue Build Switches</t>
  </si>
  <si>
    <t>Conservative Case</t>
  </si>
  <si>
    <t>Base / Street Case</t>
  </si>
  <si>
    <t>Financials</t>
  </si>
  <si>
    <t>Service Revenue</t>
  </si>
  <si>
    <t>Service - 2023</t>
  </si>
  <si>
    <t>Cash &amp; Securities</t>
  </si>
  <si>
    <t>Service - 2032</t>
  </si>
  <si>
    <t>Non-operating Assets</t>
  </si>
  <si>
    <t>Performance Revenue</t>
  </si>
  <si>
    <t>Long &amp; Short Term Debt</t>
  </si>
  <si>
    <t>EBIT</t>
  </si>
  <si>
    <t>Minority Interest</t>
  </si>
  <si>
    <t>Taxes</t>
  </si>
  <si>
    <t>Market Value of Debt</t>
  </si>
  <si>
    <t>Exceptional Items - % of FCF</t>
  </si>
  <si>
    <t>Operating Leases</t>
  </si>
  <si>
    <t>Pre-tax Cost of Debt</t>
  </si>
  <si>
    <t>WACC</t>
  </si>
  <si>
    <t>Outstanding Diluted Shares</t>
  </si>
  <si>
    <t>TGR</t>
  </si>
  <si>
    <t>EV/EBITDA</t>
  </si>
  <si>
    <t>Market Numbers</t>
  </si>
  <si>
    <t>Riskfree Rate</t>
  </si>
  <si>
    <t>Valuation Assumptions</t>
  </si>
  <si>
    <t>Mature Market ERP</t>
  </si>
  <si>
    <t>Beta</t>
  </si>
  <si>
    <t>Revenue Build (12/31 FYE)</t>
  </si>
  <si>
    <t>Ending</t>
  </si>
  <si>
    <t>Service Based Revenue</t>
  </si>
  <si>
    <t xml:space="preserve">  % growth</t>
  </si>
  <si>
    <t>Optimstic Case</t>
  </si>
  <si>
    <t>Performance Based Revenue</t>
  </si>
  <si>
    <t>Total Revenue</t>
  </si>
  <si>
    <t>DCF (12/31 FYE)</t>
  </si>
  <si>
    <t>Revenue</t>
  </si>
  <si>
    <t>EBIT (Operating Income)</t>
  </si>
  <si>
    <t xml:space="preserve">  % of sales</t>
  </si>
  <si>
    <t xml:space="preserve">  % of EBIT</t>
  </si>
  <si>
    <t>EBIAT</t>
  </si>
  <si>
    <t>D&amp;A</t>
  </si>
  <si>
    <t xml:space="preserve">  % of CapEx</t>
  </si>
  <si>
    <t>CapEx</t>
  </si>
  <si>
    <t>dNWC</t>
  </si>
  <si>
    <t xml:space="preserve">  % of  change in sales</t>
  </si>
  <si>
    <t>FCF (Excl. Exceptional Items)</t>
  </si>
  <si>
    <t xml:space="preserve">Exceptional Items </t>
  </si>
  <si>
    <t xml:space="preserve">  % of FCF (Excl. Exceptional Items)</t>
  </si>
  <si>
    <t xml:space="preserve">FCF </t>
  </si>
  <si>
    <t>Projection Period (9/30 YE)</t>
  </si>
  <si>
    <t>Adjusted FCF</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</si>
  <si>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</si>
  <si>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</si>
  <si>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</si>
  <si>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</si>
  <si>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</si>
  <si>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</si>
  <si>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</si>
  <si>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</si>
  <si>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</si>
  <si>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</si>
  <si>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</si>
  <si>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</si>
  <si>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</si>
  <si>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</si>
  <si>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</si>
  <si>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</si>
  <si>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</si>
  <si>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</si>
  <si>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</si>
  <si>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</si>
  <si>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Summary Financials (12/31 FYE)</t>
  </si>
  <si>
    <t>EBITDA</t>
  </si>
  <si>
    <t xml:space="preserve">EBIT </t>
  </si>
  <si>
    <t xml:space="preserve">  (+) D&amp;A</t>
  </si>
  <si>
    <t xml:space="preserve">  (-) CapEx</t>
  </si>
  <si>
    <t xml:space="preserve">  (-) dNWC</t>
  </si>
  <si>
    <t xml:space="preserve">  (-) Exceptional Cash Flows</t>
  </si>
  <si>
    <t>FCF</t>
  </si>
  <si>
    <t>$ in millions</t>
  </si>
  <si>
    <t>Q121A</t>
  </si>
  <si>
    <t>Q221A</t>
  </si>
  <si>
    <t>Q321A</t>
  </si>
  <si>
    <t>Q421A</t>
  </si>
  <si>
    <t>Q122A</t>
  </si>
  <si>
    <t>Q222A</t>
  </si>
  <si>
    <t>Q322A</t>
  </si>
  <si>
    <t>Q422E</t>
  </si>
  <si>
    <t>Q123E</t>
  </si>
  <si>
    <t>Q223E</t>
  </si>
  <si>
    <t>Q323E</t>
  </si>
  <si>
    <t>Q423E</t>
  </si>
  <si>
    <t>Advisory</t>
  </si>
  <si>
    <t>Incentive</t>
  </si>
  <si>
    <t>GA &amp; Other</t>
  </si>
  <si>
    <t>Interest Expense</t>
  </si>
  <si>
    <t>Fund Expense</t>
  </si>
  <si>
    <t>OpEx</t>
  </si>
  <si>
    <t>OpInc</t>
  </si>
  <si>
    <t>Investment Income (Loss)</t>
  </si>
  <si>
    <t>Interest</t>
  </si>
  <si>
    <t>Other</t>
  </si>
  <si>
    <t>Compensation &amp; Benefits</t>
  </si>
  <si>
    <t>Service Expense</t>
  </si>
  <si>
    <t>Comp &amp; Benefits</t>
  </si>
  <si>
    <t>Interest Income</t>
  </si>
  <si>
    <t>Pretax Income</t>
  </si>
  <si>
    <t>Net Income</t>
  </si>
  <si>
    <t>Net Income Attributable to Blackstone</t>
  </si>
  <si>
    <t>Shares</t>
  </si>
  <si>
    <t>EPS</t>
  </si>
  <si>
    <t>dValue</t>
  </si>
  <si>
    <t>AUM ($ in B)</t>
  </si>
  <si>
    <t xml:space="preserve">  % growth q/q</t>
  </si>
  <si>
    <t xml:space="preserve">  % growth y/y</t>
  </si>
  <si>
    <t>Advisory Fees q/q</t>
  </si>
  <si>
    <t>Incentive Fees q/q</t>
  </si>
  <si>
    <t>Interest q/q</t>
  </si>
  <si>
    <t>Other q/q</t>
  </si>
  <si>
    <t>Service Revenue q/q</t>
  </si>
  <si>
    <t>Service Revenue y/y</t>
  </si>
  <si>
    <t>GA % of sales</t>
  </si>
  <si>
    <t>Operating Margin</t>
  </si>
  <si>
    <t xml:space="preserve">Performance Revenue </t>
  </si>
  <si>
    <t>Investment Income q/q</t>
  </si>
  <si>
    <t>Comp</t>
  </si>
  <si>
    <t>Total Revenue q/q</t>
  </si>
  <si>
    <t>Net Income to Blackstone</t>
  </si>
  <si>
    <t>Net Margin</t>
  </si>
  <si>
    <t>EPS Consensus</t>
  </si>
  <si>
    <t>Revenue Consensus ($ in B)</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</si>
  <si>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</si>
  <si>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</si>
  <si>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</si>
  <si>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</si>
  <si>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</si>
  <si>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</si>
  <si>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</si>
  <si>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</si>
  <si>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Equity Risk Premium</t>
  </si>
  <si>
    <t>E/(D+E)</t>
  </si>
  <si>
    <t>Cost of Equity</t>
  </si>
  <si>
    <t>Manual</t>
  </si>
  <si>
    <t>1 = Conservative Case, 2 = Base / Street Case, 3 = Optimistic Case, 4 = Manual</t>
  </si>
  <si>
    <t>Recommendation: Hold</t>
  </si>
  <si>
    <t>Price Target: $87.83</t>
  </si>
  <si>
    <t>10yr CAGR: 10.63%</t>
  </si>
  <si>
    <t>Investments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</si>
</sst>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19" x14ac:knownFonts="1">
    <font>
      <sz val="9"/>
      <name val="Geneva"/>
      <family val="2"/>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i/>
      <sz val="12"/>
      <name val="Calibri"/>
      <family val="2"/>
      <scheme val="minor"/>
    </font>
    <font>
      <i/>
      <sz val="12"/>
      <color theme="1"/>
      <name val="Calibri"/>
      <family val="2"/>
      <scheme val="minor"/>
    </font>
    <font>
      <b/>
      <sz val="18"/>
      <color theme="0"/>
      <name val="Calibri"/>
      <family val="2"/>
      <scheme val="minor"/>
    </font>
    <font>
      <b/>
      <sz val="16"/>
      <color theme="1"/>
      <name val="Calibri"/>
      <family val="2"/>
      <scheme val="minor"/>
    </font>
  </fonts>
  <fills count="6">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6">
    <xf numFmtId="0" fontId="0" fillId="0" borderId="0"/>
    <xf numFmtId="44" fontId="1" fillId="0" borderId="0" applyFont="0" applyFill="0" applyBorder="0" applyAlignment="0" applyProtection="0"/>
    <xf numFmtId="9" fontId="7" fillId="0" borderId="0" applyFont="0" applyFill="0" applyBorder="0" applyAlignment="0" applyProtection="0"/>
    <xf numFmtId="0" fontId="3" fillId="3" borderId="1" applyNumberFormat="0" applyAlignment="0" applyProtection="0"/>
    <xf numFmtId="0" fontId="1" fillId="0" borderId="0"/>
    <xf numFmtId="9" fontId="1" fillId="0" borderId="0" applyFont="0" applyFill="0" applyBorder="0" applyAlignment="0" applyProtection="0"/>
  </cellStyleXfs>
  <cellXfs count="128">
    <xf numFmtId="0" fontId="0" fillId="0" borderId="0" xfId="0"/>
    <xf numFmtId="0" fontId="8" fillId="0" borderId="2" xfId="0" applyFont="1" applyBorder="1"/>
    <xf numFmtId="0" fontId="9" fillId="0" borderId="2" xfId="0" applyFont="1" applyBorder="1"/>
    <xf numFmtId="0" fontId="10" fillId="0" borderId="2" xfId="0" applyFont="1" applyBorder="1"/>
    <xf numFmtId="0" fontId="11" fillId="0" borderId="2" xfId="0" applyFont="1" applyBorder="1"/>
    <xf numFmtId="0" fontId="8" fillId="0" borderId="0" xfId="0" applyFont="1"/>
    <xf numFmtId="0" fontId="3" fillId="3" borderId="1" xfId="3" applyAlignment="1">
      <alignment horizontal="center"/>
    </xf>
    <xf numFmtId="44" fontId="3" fillId="3" borderId="1" xfId="1" applyFont="1" applyFill="1" applyBorder="1"/>
    <xf numFmtId="44" fontId="3" fillId="3" borderId="1" xfId="3" applyNumberFormat="1"/>
    <xf numFmtId="14" fontId="3" fillId="3" borderId="1" xfId="3" applyNumberFormat="1" applyAlignment="1">
      <alignment horizontal="center"/>
    </xf>
    <xf numFmtId="164" fontId="3" fillId="3" borderId="1" xfId="3" applyNumberFormat="1"/>
    <xf numFmtId="10" fontId="3" fillId="3" borderId="1" xfId="2" applyNumberFormat="1" applyFont="1" applyFill="1" applyBorder="1" applyAlignment="1">
      <alignment horizontal="center"/>
    </xf>
    <xf numFmtId="0" fontId="4" fillId="4" borderId="0" xfId="0" applyFont="1" applyFill="1"/>
    <xf numFmtId="0" fontId="12" fillId="4" borderId="0" xfId="0" applyFont="1" applyFill="1"/>
    <xf numFmtId="0" fontId="13" fillId="4" borderId="0" xfId="0" applyFont="1" applyFill="1"/>
    <xf numFmtId="0" fontId="8" fillId="4" borderId="0" xfId="0" applyFont="1" applyFill="1"/>
    <xf numFmtId="0" fontId="14" fillId="0" borderId="0" xfId="0" applyFont="1"/>
    <xf numFmtId="0" fontId="0" fillId="0" borderId="0" xfId="0" applyAlignment="1">
      <alignment horizontal="center"/>
    </xf>
    <xf numFmtId="0" fontId="8" fillId="0" borderId="0" xfId="0" applyFont="1" applyAlignment="1">
      <alignment horizontal="center"/>
    </xf>
    <xf numFmtId="165" fontId="3" fillId="3" borderId="1" xfId="2" applyNumberFormat="1" applyFont="1" applyFill="1" applyBorder="1" applyAlignment="1">
      <alignment horizontal="center"/>
    </xf>
    <xf numFmtId="165" fontId="3" fillId="3" borderId="1" xfId="3" applyNumberFormat="1" applyAlignment="1">
      <alignment horizontal="center"/>
    </xf>
    <xf numFmtId="166" fontId="3" fillId="3" borderId="1" xfId="3" applyNumberFormat="1" applyAlignment="1">
      <alignment horizontal="center"/>
    </xf>
    <xf numFmtId="166" fontId="8" fillId="0" borderId="0" xfId="0" applyNumberFormat="1" applyFont="1"/>
    <xf numFmtId="167" fontId="4" fillId="4" borderId="0" xfId="0" applyNumberFormat="1" applyFont="1" applyFill="1"/>
    <xf numFmtId="168" fontId="4" fillId="4" borderId="0" xfId="0" applyNumberFormat="1" applyFont="1" applyFill="1"/>
    <xf numFmtId="17" fontId="4" fillId="4" borderId="0" xfId="0" applyNumberFormat="1" applyFont="1" applyFill="1"/>
    <xf numFmtId="37" fontId="8" fillId="0" borderId="0" xfId="0" applyNumberFormat="1" applyFont="1"/>
    <xf numFmtId="0" fontId="15" fillId="0" borderId="0" xfId="0" applyFont="1"/>
    <xf numFmtId="9" fontId="15" fillId="0" borderId="0" xfId="2" applyFont="1"/>
    <xf numFmtId="9" fontId="15" fillId="0" borderId="3" xfId="2" applyFont="1" applyBorder="1"/>
    <xf numFmtId="0" fontId="8" fillId="0" borderId="3" xfId="0" applyFont="1" applyBorder="1"/>
    <xf numFmtId="0" fontId="14" fillId="0" borderId="4" xfId="0" applyFont="1" applyBorder="1"/>
    <xf numFmtId="0" fontId="8" fillId="0" borderId="4" xfId="0" applyFont="1" applyBorder="1"/>
    <xf numFmtId="37" fontId="8" fillId="0" borderId="4" xfId="0" applyNumberFormat="1" applyFont="1" applyBorder="1"/>
    <xf numFmtId="37" fontId="8" fillId="0" borderId="5" xfId="0" applyNumberFormat="1" applyFont="1" applyBorder="1"/>
    <xf numFmtId="9" fontId="15" fillId="0" borderId="0" xfId="0" applyNumberFormat="1" applyFont="1"/>
    <xf numFmtId="9" fontId="15" fillId="0" borderId="3" xfId="0" applyNumberFormat="1" applyFont="1" applyBorder="1"/>
    <xf numFmtId="9" fontId="16" fillId="0" borderId="0" xfId="0" applyNumberFormat="1" applyFont="1"/>
    <xf numFmtId="0" fontId="8" fillId="0" borderId="6" xfId="0" applyFont="1" applyBorder="1"/>
    <xf numFmtId="37" fontId="8" fillId="0" borderId="6" xfId="0" applyNumberFormat="1" applyFont="1" applyBorder="1"/>
    <xf numFmtId="37" fontId="8" fillId="0" borderId="3" xfId="0" applyNumberFormat="1" applyFont="1" applyBorder="1"/>
    <xf numFmtId="9" fontId="8" fillId="0" borderId="0" xfId="2" applyFont="1"/>
    <xf numFmtId="9" fontId="8" fillId="0" borderId="3" xfId="2" applyFont="1" applyBorder="1"/>
    <xf numFmtId="9" fontId="8" fillId="0" borderId="0" xfId="2" applyFont="1" applyBorder="1"/>
    <xf numFmtId="37" fontId="8" fillId="0" borderId="0" xfId="2" applyNumberFormat="1" applyFont="1" applyBorder="1"/>
    <xf numFmtId="9" fontId="2" fillId="2" borderId="0" xfId="2" applyFont="1" applyFill="1"/>
    <xf numFmtId="37" fontId="4" fillId="4" borderId="0" xfId="0" applyNumberFormat="1" applyFont="1" applyFill="1"/>
    <xf numFmtId="0" fontId="5" fillId="0" borderId="0" xfId="0" applyFont="1"/>
    <xf numFmtId="37" fontId="8" fillId="0" borderId="0" xfId="2" applyNumberFormat="1" applyFont="1"/>
    <xf numFmtId="0" fontId="15" fillId="0" borderId="3" xfId="0" applyFont="1" applyBorder="1"/>
    <xf numFmtId="37" fontId="8" fillId="0" borderId="8" xfId="0" applyNumberFormat="1" applyFont="1" applyBorder="1"/>
    <xf numFmtId="0" fontId="8" fillId="0" borderId="8" xfId="0" applyFont="1" applyBorder="1"/>
    <xf numFmtId="0" fontId="8" fillId="0" borderId="9" xfId="0" applyFont="1" applyBorder="1"/>
    <xf numFmtId="2" fontId="8" fillId="0" borderId="0" xfId="0" applyNumberFormat="1" applyFont="1"/>
    <xf numFmtId="0" fontId="8" fillId="0" borderId="7" xfId="0" applyFont="1" applyBorder="1"/>
    <xf numFmtId="0" fontId="12" fillId="0" borderId="4" xfId="0" applyFont="1" applyBorder="1"/>
    <xf numFmtId="0" fontId="12" fillId="0" borderId="0" xfId="0" applyFont="1"/>
    <xf numFmtId="4" fontId="8" fillId="0" borderId="0" xfId="0" applyNumberFormat="1" applyFont="1"/>
    <xf numFmtId="0" fontId="6" fillId="4" borderId="0" xfId="0" applyFont="1" applyFill="1"/>
    <xf numFmtId="37" fontId="6" fillId="4" borderId="0" xfId="0" applyNumberFormat="1" applyFont="1" applyFill="1"/>
    <xf numFmtId="165" fontId="8" fillId="5" borderId="0" xfId="0" applyNumberFormat="1" applyFont="1" applyFill="1"/>
    <xf numFmtId="165" fontId="8" fillId="5" borderId="0" xfId="2" applyNumberFormat="1" applyFont="1" applyFill="1"/>
    <xf numFmtId="166" fontId="8" fillId="5" borderId="0" xfId="0" applyNumberFormat="1" applyFont="1" applyFill="1"/>
    <xf numFmtId="165" fontId="8" fillId="5" borderId="0" xfId="2" applyNumberFormat="1" applyFont="1" applyFill="1" applyAlignment="1"/>
    <xf numFmtId="2" fontId="8" fillId="5" borderId="0" xfId="0" applyNumberFormat="1" applyFont="1" applyFill="1"/>
    <xf numFmtId="2" fontId="6" fillId="4" borderId="0" xfId="0" applyNumberFormat="1" applyFont="1" applyFill="1"/>
    <xf numFmtId="37" fontId="8" fillId="0" borderId="9" xfId="0" applyNumberFormat="1" applyFont="1" applyBorder="1"/>
    <xf numFmtId="0" fontId="1" fillId="0" borderId="2" xfId="4" applyBorder="1"/>
    <xf numFmtId="0" fontId="1" fillId="0" borderId="0" xfId="4"/>
    <xf numFmtId="3" fontId="1" fillId="0" borderId="0" xfId="4" applyNumberFormat="1"/>
    <xf numFmtId="0" fontId="1" fillId="0" borderId="8" xfId="4" applyBorder="1"/>
    <xf numFmtId="10" fontId="1" fillId="0" borderId="8" xfId="5" applyNumberFormat="1" applyFont="1" applyBorder="1"/>
    <xf numFmtId="0" fontId="5" fillId="0" borderId="6" xfId="4" applyFont="1" applyBorder="1"/>
    <xf numFmtId="0" fontId="1" fillId="0" borderId="6" xfId="4" applyBorder="1"/>
    <xf numFmtId="0" fontId="5" fillId="0" borderId="0" xfId="4" applyFont="1"/>
    <xf numFmtId="0" fontId="5" fillId="0" borderId="6" xfId="4" applyFont="1" applyBorder="1" applyAlignment="1">
      <alignment vertical="center"/>
    </xf>
    <xf numFmtId="0" fontId="1" fillId="0" borderId="6" xfId="4" applyBorder="1" applyAlignment="1">
      <alignment vertical="center"/>
    </xf>
    <xf numFmtId="10" fontId="5" fillId="0" borderId="6" xfId="4" applyNumberFormat="1" applyFont="1" applyBorder="1" applyAlignment="1">
      <alignment vertical="center"/>
    </xf>
    <xf numFmtId="0" fontId="1" fillId="0" borderId="0" xfId="0" applyFont="1"/>
    <xf numFmtId="37" fontId="1" fillId="0" borderId="0" xfId="0" applyNumberFormat="1" applyFont="1"/>
    <xf numFmtId="37" fontId="1" fillId="0" borderId="3" xfId="0" applyNumberFormat="1" applyFont="1" applyBorder="1"/>
    <xf numFmtId="9" fontId="16" fillId="0" borderId="0" xfId="2" applyFont="1"/>
    <xf numFmtId="9" fontId="16" fillId="0" borderId="3" xfId="2" applyFont="1" applyBorder="1"/>
    <xf numFmtId="0" fontId="1" fillId="0" borderId="3" xfId="0" applyFont="1" applyBorder="1"/>
    <xf numFmtId="37" fontId="1" fillId="0" borderId="6" xfId="0" applyNumberFormat="1" applyFont="1" applyBorder="1"/>
    <xf numFmtId="37" fontId="1" fillId="0" borderId="7" xfId="0" applyNumberFormat="1" applyFont="1" applyBorder="1"/>
    <xf numFmtId="37" fontId="16" fillId="0" borderId="0" xfId="0" applyNumberFormat="1" applyFont="1"/>
    <xf numFmtId="9" fontId="1" fillId="0" borderId="0" xfId="2" applyFont="1"/>
    <xf numFmtId="9" fontId="1" fillId="0" borderId="3" xfId="2" applyFont="1" applyBorder="1"/>
    <xf numFmtId="37" fontId="1" fillId="0" borderId="4" xfId="2" applyNumberFormat="1" applyFont="1" applyBorder="1"/>
    <xf numFmtId="37" fontId="1" fillId="0" borderId="5" xfId="2" applyNumberFormat="1" applyFont="1" applyBorder="1"/>
    <xf numFmtId="9" fontId="1" fillId="0" borderId="0" xfId="2" applyFont="1" applyBorder="1"/>
    <xf numFmtId="37" fontId="1" fillId="0" borderId="0" xfId="2" applyNumberFormat="1" applyFont="1" applyBorder="1"/>
    <xf numFmtId="37" fontId="1" fillId="0" borderId="3" xfId="2" applyNumberFormat="1" applyFont="1" applyBorder="1"/>
    <xf numFmtId="9" fontId="16" fillId="0" borderId="0" xfId="2" applyFont="1" applyBorder="1"/>
    <xf numFmtId="0" fontId="16" fillId="0" borderId="0" xfId="0" applyFont="1"/>
    <xf numFmtId="9" fontId="16" fillId="0" borderId="3" xfId="0" applyNumberFormat="1" applyFont="1" applyBorder="1"/>
    <xf numFmtId="3" fontId="1" fillId="0" borderId="0" xfId="0" applyNumberFormat="1" applyFont="1"/>
    <xf numFmtId="165" fontId="1" fillId="0" borderId="0" xfId="2" applyNumberFormat="1" applyFont="1"/>
    <xf numFmtId="38" fontId="1" fillId="0" borderId="0" xfId="4" applyNumberFormat="1"/>
    <xf numFmtId="10" fontId="1" fillId="0" borderId="0" xfId="5" applyNumberFormat="1" applyFont="1"/>
    <xf numFmtId="10" fontId="1" fillId="0" borderId="6" xfId="4" applyNumberFormat="1" applyBorder="1"/>
    <xf numFmtId="10" fontId="1" fillId="0" borderId="0" xfId="4" applyNumberFormat="1"/>
    <xf numFmtId="3" fontId="1" fillId="0" borderId="4" xfId="0" applyNumberFormat="1" applyFont="1" applyBorder="1"/>
    <xf numFmtId="3" fontId="1" fillId="0" borderId="8" xfId="0" applyNumberFormat="1" applyFont="1" applyBorder="1"/>
    <xf numFmtId="0" fontId="3" fillId="3" borderId="1" xfId="3" applyAlignment="1" applyProtection="1">
      <alignment horizontal="center"/>
      <protection locked="0"/>
    </xf>
    <xf numFmtId="165" fontId="3" fillId="3" borderId="1" xfId="2" applyNumberFormat="1" applyFont="1" applyFill="1" applyBorder="1" applyAlignment="1" applyProtection="1">
      <alignment horizontal="center"/>
      <protection locked="0"/>
    </xf>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9" fontId="3" fillId="3" borderId="1" xfId="2" applyFont="1" applyFill="1" applyBorder="1" applyAlignment="1" applyProtection="1">
      <alignment horizontal="center"/>
      <protection locked="0"/>
    </xf>
    <xf numFmtId="37" fontId="3" fillId="3" borderId="1" xfId="2" applyNumberFormat="1" applyFont="1" applyFill="1" applyBorder="1" applyAlignment="1" applyProtection="1">
      <alignment horizontal="center"/>
      <protection locked="0"/>
    </xf>
    <xf numFmtId="0" fontId="3" fillId="3" borderId="1" xfId="2" applyNumberFormat="1" applyFont="1" applyFill="1" applyBorder="1" applyAlignment="1" applyProtection="1">
      <alignment horizontal="center"/>
      <protection locked="0"/>
    </xf>
    <xf numFmtId="9" fontId="3" fillId="3" borderId="1" xfId="3" applyNumberFormat="1" applyProtection="1">
      <protection locked="0"/>
    </xf>
    <xf numFmtId="166" fontId="3" fillId="3" borderId="1" xfId="2" applyNumberFormat="1" applyFont="1" applyFill="1" applyBorder="1" applyAlignment="1" applyProtection="1">
      <alignment horizontal="center"/>
      <protection locked="0"/>
    </xf>
    <xf numFmtId="0" fontId="18" fillId="0" borderId="2" xfId="4" applyFont="1" applyBorder="1"/>
    <xf numFmtId="0" fontId="1" fillId="0" borderId="0" xfId="0" applyFont="1" applyAlignment="1">
      <alignment horizontal="left"/>
    </xf>
    <xf numFmtId="0" fontId="1" fillId="0" borderId="0" xfId="0" applyFont="1" applyAlignment="1">
      <alignment horizontal="right"/>
    </xf>
    <xf numFmtId="167" fontId="1" fillId="0" borderId="0" xfId="0" applyNumberFormat="1" applyFont="1" applyAlignment="1">
      <alignment horizontal="right"/>
    </xf>
    <xf numFmtId="168" fontId="1" fillId="0" borderId="0" xfId="0" applyNumberFormat="1" applyFont="1" applyAlignment="1">
      <alignment horizontal="right"/>
    </xf>
    <xf numFmtId="37" fontId="5" fillId="0" borderId="0" xfId="0" applyNumberFormat="1" applyFont="1"/>
    <xf numFmtId="39" fontId="1" fillId="0" borderId="0" xfId="0" applyNumberFormat="1" applyFont="1"/>
    <xf numFmtId="10" fontId="1" fillId="0" borderId="0" xfId="2" applyNumberFormat="1" applyFont="1"/>
    <xf numFmtId="37" fontId="5" fillId="0" borderId="0" xfId="2" applyNumberFormat="1" applyFont="1"/>
    <xf numFmtId="9" fontId="1" fillId="0" borderId="0" xfId="0" applyNumberFormat="1" applyFont="1"/>
    <xf numFmtId="9" fontId="5" fillId="0" borderId="0" xfId="2" applyFont="1"/>
    <xf numFmtId="0" fontId="17" fillId="4" borderId="0" xfId="0" applyFont="1" applyFill="1" applyAlignment="1">
      <alignment horizontal="center" vertical="center"/>
    </xf>
    <xf numFmtId="0" fontId="4" fillId="4" borderId="0" xfId="4" applyFont="1" applyFill="1" applyAlignment="1">
      <alignment horizontal="center" vertical="center"/>
    </xf>
    <xf numFmtId="0" fontId="6" fillId="4" borderId="0" xfId="4" applyFont="1" applyFill="1" applyAlignment="1">
      <alignment horizontal="center" vertical="center"/>
    </xf>
  </cellXfs>
  <cellStyles count="6">
    <cellStyle name="Currency" xfId="1" builtinId="4"/>
    <cellStyle name="Input" xfId="3" builtinId="20"/>
    <cellStyle name="Normal" xfId="0" builtinId="0"/>
    <cellStyle name="Normal 2" xfId="4" xr:uid="{55AAA9BE-68A9-8243-A3E2-1CEA16CEE350}"/>
    <cellStyle name="Percent" xfId="2" builtinId="5"/>
    <cellStyle name="Percent 2" xfId="5" xr:uid="{57ADAE52-CBD3-0641-B87E-153F26B692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814916</xdr:colOff>
      <xdr:row>0</xdr:row>
      <xdr:rowOff>116417</xdr:rowOff>
    </xdr:from>
    <xdr:to>
      <xdr:col>9</xdr:col>
      <xdr:colOff>10583</xdr:colOff>
      <xdr:row>73</xdr:row>
      <xdr:rowOff>0</xdr:rowOff>
    </xdr:to>
    <xdr:cxnSp macro="">
      <xdr:nvCxnSpPr>
        <xdr:cNvPr id="2" name="Straight Connector 1">
          <a:extLst>
            <a:ext uri="{FF2B5EF4-FFF2-40B4-BE49-F238E27FC236}">
              <a16:creationId xmlns:a16="http://schemas.microsoft.com/office/drawing/2014/main" id="{199A77A2-0B68-8C4F-A393-3AFB956DFAF9}"/>
            </a:ext>
          </a:extLst>
        </xdr:cNvPr>
        <xdr:cNvCxnSpPr/>
      </xdr:nvCxnSpPr>
      <xdr:spPr>
        <a:xfrm>
          <a:off x="8257116" y="116417"/>
          <a:ext cx="21167" cy="11008783"/>
        </a:xfrm>
        <a:prstGeom prst="line">
          <a:avLst/>
        </a:prstGeom>
        <a:ln>
          <a:solidFill>
            <a:schemeClr val="dk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4233</xdr:colOff>
      <xdr:row>0</xdr:row>
      <xdr:rowOff>88900</xdr:rowOff>
    </xdr:from>
    <xdr:to>
      <xdr:col>18</xdr:col>
      <xdr:colOff>25400</xdr:colOff>
      <xdr:row>72</xdr:row>
      <xdr:rowOff>120649</xdr:rowOff>
    </xdr:to>
    <xdr:cxnSp macro="">
      <xdr:nvCxnSpPr>
        <xdr:cNvPr id="3" name="Straight Connector 2">
          <a:extLst>
            <a:ext uri="{FF2B5EF4-FFF2-40B4-BE49-F238E27FC236}">
              <a16:creationId xmlns:a16="http://schemas.microsoft.com/office/drawing/2014/main" id="{AB3F50DD-A1AC-1A4B-8B19-D17450869218}"/>
            </a:ext>
          </a:extLst>
        </xdr:cNvPr>
        <xdr:cNvCxnSpPr/>
      </xdr:nvCxnSpPr>
      <xdr:spPr>
        <a:xfrm>
          <a:off x="15699316" y="88900"/>
          <a:ext cx="21167" cy="10699749"/>
        </a:xfrm>
        <a:prstGeom prst="line">
          <a:avLst/>
        </a:prstGeom>
        <a:ln>
          <a:solidFill>
            <a:schemeClr val="dk1"/>
          </a:solidFill>
        </a:ln>
      </xdr:spPr>
      <xdr:style>
        <a:lnRef idx="2">
          <a:schemeClr val="dk1"/>
        </a:lnRef>
        <a:fillRef idx="0">
          <a:schemeClr val="dk1"/>
        </a:fillRef>
        <a:effectRef idx="1">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https://www.bing.com/financeapi/forcetrigger?t=a1p2ar&amp;q=XNYS%3aBX&amp;form=skydnc</v>
    <v>Learn more on Bing</v>
  </rv>
  <rv s="1">
    <v>0</v>
    <v>Blackstone Inc (XNYS:BX)</v>
    <v>2</v>
    <v>3</v>
    <v>Finance</v>
    <v>4</v>
    <v>en-US</v>
    <v>a1p2ar</v>
    <v>268435456</v>
    <v>1</v>
    <v>Powered by Refinitiv</v>
    <v>138.94990000000001</v>
    <v>71.72</v>
    <v>1.4652000000000001</v>
    <v>-1.89</v>
    <v>-2.2006999999999999E-2</v>
    <v>-0.11</v>
    <v>-1.31E-3</v>
    <v>USD</v>
    <v>Blackstone Inc. is an investment firm. Its asset management business includes investment vehicles focused on private equity, real estate, public debt and equity, life sciences, growth equity, opportunistic, non-investment grade credit, real assets and secondary funds. It operates through four segments, namely real estate, private equity, hedge fund solutions and credit and insurance. Its Blackstone Real Estate Partners (BREP) business makes investments in logistics, office, rental housing, hospitality and retail properties, as well as in a variety of real estate operating companies. The Private Equity segment includes corporate private equity business, which consists of Blackstone Capital Partners (BCP), Blackstone Energy Partners (BEP), and Capital Partners Asia and Blackstone Core Equity Partners (BCEP). The Hedge Fund Solutions segment consists of Blackstone Alternative Asset Management; and the Credit &amp; Insurance segment consists principally of Blackstone Credit.</v>
    <v>3795</v>
    <v>New York Stock Exchange</v>
    <v>XNYS</v>
    <v>XNYS</v>
    <v>345 Park Ave, NEW YORK, NY, 10154 US</v>
    <v>87.67</v>
    <v>Investment Banking &amp; Investment Services</v>
    <v>Stock</v>
    <v>44944.961253205467</v>
    <v>0</v>
    <v>83.93</v>
    <v>104180300000</v>
    <v>Blackstone Inc</v>
    <v>Blackstone Inc</v>
    <v>86.23</v>
    <v>24.219899999999999</v>
    <v>85.88</v>
    <v>83.99</v>
    <v>83.88</v>
    <v>1213092000</v>
    <v>BX</v>
    <v>Blackstone Inc (XNYS:BX)</v>
    <v>4978789</v>
    <v>5268751</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A6AA0-F580-2548-B3E0-FAC76E7CF2AD}">
  <dimension ref="A2:AA140"/>
  <sheetViews>
    <sheetView showGridLines="0" zoomScale="110" zoomScaleNormal="110" workbookViewId="0">
      <selection activeCell="H21" sqref="H21:H23"/>
    </sheetView>
  </sheetViews>
  <sheetFormatPr baseColWidth="10" defaultColWidth="11.83203125" defaultRowHeight="16" customHeight="1" x14ac:dyDescent="0.2"/>
  <cols>
    <col min="1" max="1" width="4.83203125" style="5" customWidth="1"/>
    <col min="2" max="16384" width="11.83203125" style="5"/>
  </cols>
  <sheetData>
    <row r="2" spans="1:27" s="1" customFormat="1" ht="31" customHeight="1" thickBot="1" x14ac:dyDescent="0.35">
      <c r="B2" s="2" t="s">
        <v>0</v>
      </c>
      <c r="E2" s="3" t="s">
        <v>159</v>
      </c>
      <c r="F2" s="4"/>
      <c r="G2" s="4"/>
      <c r="H2" s="3" t="s">
        <v>160</v>
      </c>
      <c r="K2" s="3" t="s">
        <v>158</v>
      </c>
    </row>
    <row r="4" spans="1:27" ht="16" customHeight="1" x14ac:dyDescent="0.2">
      <c r="B4" s="5" t="s">
        <v>1</v>
      </c>
      <c r="C4" s="6" t="s">
        <v>2</v>
      </c>
      <c r="E4" s="5" t="s">
        <v>3</v>
      </c>
      <c r="G4" s="7">
        <f ca="1">D105</f>
        <v>87.829105700364266</v>
      </c>
      <c r="I4" s="5" t="s">
        <v>4</v>
      </c>
      <c r="K4" s="7">
        <v>82.575606944683827</v>
      </c>
      <c r="M4" s="5" t="s">
        <v>5</v>
      </c>
      <c r="O4" s="8">
        <f>AVERAGE(K4:K5)</f>
        <v>98.930094469170569</v>
      </c>
      <c r="Q4" s="5" t="s">
        <v>6</v>
      </c>
      <c r="S4" s="8">
        <f ca="1">G4*(1+((1/T91)^(1/10)-1))^10</f>
        <v>230.66549098596118</v>
      </c>
    </row>
    <row r="5" spans="1:27" ht="16" customHeight="1" x14ac:dyDescent="0.2">
      <c r="B5" s="5" t="s">
        <v>7</v>
      </c>
      <c r="C5" s="9">
        <f ca="1">TODAY()</f>
        <v>44944</v>
      </c>
      <c r="E5" s="5" t="s">
        <v>8</v>
      </c>
      <c r="G5" s="10" cm="1">
        <f t="array" ref="G5">_FV('Financials + KPIs'!B1,"price")</f>
        <v>83.99</v>
      </c>
      <c r="I5" s="5" t="s">
        <v>9</v>
      </c>
      <c r="K5" s="7">
        <v>115.28458199365733</v>
      </c>
      <c r="M5" s="5" t="s">
        <v>10</v>
      </c>
      <c r="O5" s="11">
        <f>O4/G5-1</f>
        <v>0.17787944361436581</v>
      </c>
      <c r="Q5" s="5" t="s">
        <v>11</v>
      </c>
      <c r="S5" s="11">
        <f ca="1">(S4/G5)^(1/10)-1</f>
        <v>0.10630660300777217</v>
      </c>
    </row>
    <row r="7" spans="1:27" ht="16" customHeight="1" x14ac:dyDescent="0.2">
      <c r="A7" s="5" t="s">
        <v>12</v>
      </c>
      <c r="B7" s="12" t="s">
        <v>13</v>
      </c>
      <c r="C7" s="13"/>
      <c r="D7" s="13"/>
      <c r="E7" s="14" t="s">
        <v>157</v>
      </c>
      <c r="F7" s="13"/>
      <c r="G7" s="13"/>
      <c r="H7" s="13"/>
      <c r="I7" s="13"/>
      <c r="J7" s="15"/>
      <c r="K7" s="15"/>
      <c r="L7" s="15"/>
      <c r="M7" s="15"/>
      <c r="N7" s="15"/>
      <c r="O7" s="15"/>
      <c r="P7" s="15"/>
      <c r="Q7" s="15"/>
      <c r="R7" s="15"/>
      <c r="S7" s="15"/>
      <c r="T7" s="15"/>
      <c r="U7" s="15"/>
      <c r="V7" s="15"/>
      <c r="W7" s="15"/>
      <c r="X7" s="15"/>
      <c r="Y7" s="15"/>
      <c r="Z7" s="15"/>
      <c r="AA7" s="15"/>
    </row>
    <row r="8" spans="1:27" ht="16" customHeight="1" x14ac:dyDescent="0.2">
      <c r="B8" s="16" t="s">
        <v>14</v>
      </c>
      <c r="F8" s="16" t="s">
        <v>15</v>
      </c>
      <c r="J8" s="16" t="s">
        <v>16</v>
      </c>
      <c r="N8" s="16" t="s">
        <v>9</v>
      </c>
      <c r="R8" s="16" t="s">
        <v>17</v>
      </c>
      <c r="S8"/>
      <c r="T8"/>
    </row>
    <row r="9" spans="1:27" ht="16" customHeight="1" x14ac:dyDescent="0.2">
      <c r="B9" s="5" t="s">
        <v>18</v>
      </c>
      <c r="D9" s="105">
        <v>2</v>
      </c>
      <c r="F9" s="5" t="s">
        <v>19</v>
      </c>
      <c r="H9" s="109">
        <v>0.8</v>
      </c>
      <c r="J9" s="5" t="s">
        <v>19</v>
      </c>
      <c r="L9" s="17"/>
      <c r="N9" s="5" t="s">
        <v>19</v>
      </c>
      <c r="P9" s="109">
        <v>1.2</v>
      </c>
      <c r="R9" s="5" t="s">
        <v>20</v>
      </c>
      <c r="S9"/>
      <c r="T9" s="110">
        <v>3480</v>
      </c>
    </row>
    <row r="10" spans="1:27" ht="16" customHeight="1" x14ac:dyDescent="0.2">
      <c r="B10"/>
      <c r="C10"/>
      <c r="D10"/>
      <c r="F10" s="5" t="s">
        <v>21</v>
      </c>
      <c r="H10" s="109">
        <v>0.03</v>
      </c>
      <c r="J10" s="5" t="s">
        <v>21</v>
      </c>
      <c r="N10" s="5" t="s">
        <v>21</v>
      </c>
      <c r="P10" s="109">
        <v>7.0000000000000007E-2</v>
      </c>
      <c r="R10" s="5" t="s">
        <v>22</v>
      </c>
      <c r="S10"/>
      <c r="T10" s="110"/>
    </row>
    <row r="11" spans="1:27" ht="16" customHeight="1" x14ac:dyDescent="0.2">
      <c r="B11" s="5" t="s">
        <v>23</v>
      </c>
      <c r="D11" s="105">
        <v>3</v>
      </c>
      <c r="F11" s="5" t="str">
        <f>B11</f>
        <v>Performance Revenue</v>
      </c>
      <c r="H11" s="109">
        <v>0.8</v>
      </c>
      <c r="J11" s="5" t="str">
        <f>F11</f>
        <v>Performance Revenue</v>
      </c>
      <c r="L11" s="18"/>
      <c r="N11" s="5" t="str">
        <f>J11</f>
        <v>Performance Revenue</v>
      </c>
      <c r="P11" s="109">
        <v>1.2</v>
      </c>
      <c r="R11" s="5" t="s">
        <v>24</v>
      </c>
      <c r="S11"/>
      <c r="T11" s="110">
        <v>9965</v>
      </c>
    </row>
    <row r="12" spans="1:27" ht="16" customHeight="1" x14ac:dyDescent="0.2">
      <c r="B12" s="5" t="s">
        <v>25</v>
      </c>
      <c r="D12" s="105">
        <v>2</v>
      </c>
      <c r="F12" s="5" t="str">
        <f>B12</f>
        <v>EBIT</v>
      </c>
      <c r="H12" s="109">
        <f>L12-5%</f>
        <v>0.54999999999999993</v>
      </c>
      <c r="J12" s="5" t="str">
        <f>F12</f>
        <v>EBIT</v>
      </c>
      <c r="L12" s="109">
        <v>0.6</v>
      </c>
      <c r="N12" s="5" t="str">
        <f>J12</f>
        <v>EBIT</v>
      </c>
      <c r="P12" s="109">
        <f>L12+5%</f>
        <v>0.65</v>
      </c>
      <c r="R12" s="5" t="s">
        <v>26</v>
      </c>
      <c r="S12"/>
      <c r="T12" s="110"/>
    </row>
    <row r="13" spans="1:27" ht="16" customHeight="1" x14ac:dyDescent="0.2">
      <c r="B13" s="5" t="s">
        <v>27</v>
      </c>
      <c r="F13" s="5" t="s">
        <v>27</v>
      </c>
      <c r="J13" s="5" t="s">
        <v>27</v>
      </c>
      <c r="L13" s="109">
        <v>0.15</v>
      </c>
      <c r="N13" s="5" t="s">
        <v>27</v>
      </c>
      <c r="R13" s="5" t="s">
        <v>28</v>
      </c>
      <c r="S13"/>
      <c r="T13" s="110">
        <v>7188</v>
      </c>
    </row>
    <row r="14" spans="1:27" ht="16" customHeight="1" x14ac:dyDescent="0.2">
      <c r="B14" s="5" t="s">
        <v>29</v>
      </c>
      <c r="F14" s="5" t="s">
        <v>29</v>
      </c>
      <c r="J14" s="5" t="s">
        <v>29</v>
      </c>
      <c r="L14" s="109">
        <v>0.5</v>
      </c>
      <c r="N14" s="5" t="s">
        <v>29</v>
      </c>
      <c r="R14" s="5" t="s">
        <v>30</v>
      </c>
      <c r="T14" s="110">
        <v>702</v>
      </c>
    </row>
    <row r="15" spans="1:27" ht="16" customHeight="1" x14ac:dyDescent="0.2">
      <c r="D15" s="18"/>
      <c r="H15" s="18"/>
      <c r="R15" s="5" t="s">
        <v>31</v>
      </c>
      <c r="S15"/>
      <c r="T15" s="106">
        <v>4.5900000000000003E-2</v>
      </c>
    </row>
    <row r="16" spans="1:27" ht="16" customHeight="1" x14ac:dyDescent="0.2">
      <c r="B16" s="5" t="s">
        <v>32</v>
      </c>
      <c r="D16" s="105">
        <v>2</v>
      </c>
      <c r="F16" s="5" t="s">
        <v>32</v>
      </c>
      <c r="H16" s="106">
        <f>L16-1%</f>
        <v>0.10139147254776078</v>
      </c>
      <c r="J16" s="5" t="s">
        <v>32</v>
      </c>
      <c r="L16" s="107">
        <f>WACC!F22</f>
        <v>0.11139147254776077</v>
      </c>
      <c r="N16" s="5" t="s">
        <v>32</v>
      </c>
      <c r="P16" s="106">
        <f>L16+1%</f>
        <v>0.12139147254776077</v>
      </c>
      <c r="R16" s="5" t="s">
        <v>33</v>
      </c>
      <c r="T16" s="110">
        <v>736.9</v>
      </c>
    </row>
    <row r="17" spans="1:24" ht="16" customHeight="1" x14ac:dyDescent="0.2">
      <c r="B17" s="5" t="s">
        <v>34</v>
      </c>
      <c r="D17" s="105">
        <v>2</v>
      </c>
      <c r="F17" s="5" t="s">
        <v>34</v>
      </c>
      <c r="H17" s="107">
        <f>L17-0.5%</f>
        <v>2.4999999999999998E-2</v>
      </c>
      <c r="J17" s="5" t="s">
        <v>34</v>
      </c>
      <c r="L17" s="107">
        <v>0.03</v>
      </c>
      <c r="N17" s="5" t="s">
        <v>34</v>
      </c>
      <c r="P17" s="107">
        <f>L17+0.5%</f>
        <v>3.4999999999999996E-2</v>
      </c>
    </row>
    <row r="18" spans="1:24" ht="16" customHeight="1" x14ac:dyDescent="0.2">
      <c r="B18" s="5" t="s">
        <v>35</v>
      </c>
      <c r="D18" s="105">
        <v>2</v>
      </c>
      <c r="F18" s="5" t="s">
        <v>35</v>
      </c>
      <c r="H18" s="108">
        <v>12.5</v>
      </c>
      <c r="I18" s="22"/>
      <c r="J18" s="22" t="s">
        <v>35</v>
      </c>
      <c r="K18" s="22"/>
      <c r="L18" s="108">
        <v>13</v>
      </c>
      <c r="M18" s="22"/>
      <c r="N18" s="22" t="s">
        <v>35</v>
      </c>
      <c r="O18" s="22"/>
      <c r="P18" s="108">
        <v>13.5</v>
      </c>
      <c r="R18" s="16" t="s">
        <v>36</v>
      </c>
      <c r="S18"/>
      <c r="T18"/>
    </row>
    <row r="19" spans="1:24" customFormat="1" ht="16" customHeight="1" x14ac:dyDescent="0.2">
      <c r="R19" s="5" t="s">
        <v>37</v>
      </c>
      <c r="T19" s="106">
        <v>3.4770000000000002E-2</v>
      </c>
      <c r="V19" s="5"/>
      <c r="W19" s="5"/>
      <c r="X19" s="5"/>
    </row>
    <row r="20" spans="1:24" customFormat="1" ht="16" customHeight="1" x14ac:dyDescent="0.2">
      <c r="B20" s="16" t="s">
        <v>38</v>
      </c>
      <c r="F20" s="16" t="s">
        <v>156</v>
      </c>
      <c r="R20" s="5" t="s">
        <v>39</v>
      </c>
      <c r="T20" s="106">
        <v>5.11E-2</v>
      </c>
      <c r="V20" s="5"/>
      <c r="W20" s="5"/>
      <c r="X20" s="5"/>
    </row>
    <row r="21" spans="1:24" customFormat="1" ht="16" customHeight="1" x14ac:dyDescent="0.2">
      <c r="B21" s="5" t="s">
        <v>32</v>
      </c>
      <c r="D21" s="19">
        <f>CHOOSE(D16,H16,L16,P16,H21)</f>
        <v>0.11139147254776077</v>
      </c>
      <c r="F21" s="5" t="s">
        <v>32</v>
      </c>
      <c r="G21" s="5"/>
      <c r="H21" s="106"/>
      <c r="R21" s="5" t="s">
        <v>40</v>
      </c>
      <c r="S21" s="5"/>
      <c r="T21" s="111">
        <v>1.68</v>
      </c>
      <c r="V21" s="5"/>
      <c r="W21" s="5"/>
      <c r="X21" s="5"/>
    </row>
    <row r="22" spans="1:24" customFormat="1" ht="16" customHeight="1" x14ac:dyDescent="0.2">
      <c r="B22" s="5" t="s">
        <v>34</v>
      </c>
      <c r="D22" s="19">
        <f>CHOOSE(D17,H17,L17,P17,H22)</f>
        <v>0.03</v>
      </c>
      <c r="F22" s="5" t="s">
        <v>34</v>
      </c>
      <c r="G22" s="5"/>
      <c r="H22" s="107"/>
      <c r="V22" s="5"/>
    </row>
    <row r="23" spans="1:24" customFormat="1" ht="16" customHeight="1" x14ac:dyDescent="0.2">
      <c r="B23" s="5" t="s">
        <v>35</v>
      </c>
      <c r="D23" s="21">
        <f>CHOOSE(D18,H18,L18,P18,H23)</f>
        <v>13</v>
      </c>
      <c r="F23" s="22" t="s">
        <v>35</v>
      </c>
      <c r="G23" s="22"/>
      <c r="H23" s="108"/>
    </row>
    <row r="25" spans="1:24" ht="16" customHeight="1" x14ac:dyDescent="0.2">
      <c r="A25" s="5" t="s">
        <v>12</v>
      </c>
      <c r="B25" s="12" t="s">
        <v>41</v>
      </c>
      <c r="C25" s="12"/>
      <c r="D25" s="12"/>
      <c r="E25" s="23">
        <v>2016</v>
      </c>
      <c r="F25" s="23">
        <f>E25+1</f>
        <v>2017</v>
      </c>
      <c r="G25" s="23">
        <f t="shared" ref="G25:J25" si="0">F25+1</f>
        <v>2018</v>
      </c>
      <c r="H25" s="23">
        <f t="shared" si="0"/>
        <v>2019</v>
      </c>
      <c r="I25" s="23">
        <f t="shared" si="0"/>
        <v>2020</v>
      </c>
      <c r="J25" s="23">
        <f t="shared" si="0"/>
        <v>2021</v>
      </c>
      <c r="K25" s="24">
        <v>2022</v>
      </c>
      <c r="L25" s="24">
        <f>K25+1</f>
        <v>2023</v>
      </c>
      <c r="M25" s="24">
        <f t="shared" ref="M25:U25" si="1">L25+1</f>
        <v>2024</v>
      </c>
      <c r="N25" s="24">
        <f t="shared" si="1"/>
        <v>2025</v>
      </c>
      <c r="O25" s="24">
        <f t="shared" si="1"/>
        <v>2026</v>
      </c>
      <c r="P25" s="24">
        <f t="shared" si="1"/>
        <v>2027</v>
      </c>
      <c r="Q25" s="24">
        <f t="shared" si="1"/>
        <v>2028</v>
      </c>
      <c r="R25" s="24">
        <f t="shared" si="1"/>
        <v>2029</v>
      </c>
      <c r="S25" s="24">
        <f t="shared" si="1"/>
        <v>2030</v>
      </c>
      <c r="T25" s="24">
        <f t="shared" si="1"/>
        <v>2031</v>
      </c>
      <c r="U25" s="24">
        <f t="shared" si="1"/>
        <v>2032</v>
      </c>
    </row>
    <row r="26" spans="1:24" ht="16" customHeight="1" x14ac:dyDescent="0.2">
      <c r="B26" s="12" t="s">
        <v>42</v>
      </c>
      <c r="C26" s="12"/>
      <c r="D26" s="12"/>
      <c r="E26" s="25">
        <f t="shared" ref="E26:I26" si="2">EDATE(F26,-12)</f>
        <v>42735</v>
      </c>
      <c r="F26" s="25">
        <f t="shared" si="2"/>
        <v>43100</v>
      </c>
      <c r="G26" s="25">
        <f t="shared" si="2"/>
        <v>43465</v>
      </c>
      <c r="H26" s="25">
        <f t="shared" si="2"/>
        <v>43830</v>
      </c>
      <c r="I26" s="25">
        <f t="shared" si="2"/>
        <v>44196</v>
      </c>
      <c r="J26" s="25">
        <f>EDATE(K26,-12)</f>
        <v>44561</v>
      </c>
      <c r="K26" s="25">
        <v>44926</v>
      </c>
      <c r="L26" s="25">
        <f>EDATE(K26,12)</f>
        <v>45291</v>
      </c>
      <c r="M26" s="25">
        <f t="shared" ref="M26:U26" si="3">EDATE(L26,12)</f>
        <v>45657</v>
      </c>
      <c r="N26" s="25">
        <f t="shared" si="3"/>
        <v>46022</v>
      </c>
      <c r="O26" s="25">
        <f t="shared" si="3"/>
        <v>46387</v>
      </c>
      <c r="P26" s="25">
        <f t="shared" si="3"/>
        <v>46752</v>
      </c>
      <c r="Q26" s="25">
        <f t="shared" si="3"/>
        <v>47118</v>
      </c>
      <c r="R26" s="25">
        <f t="shared" si="3"/>
        <v>47483</v>
      </c>
      <c r="S26" s="25">
        <f t="shared" si="3"/>
        <v>47848</v>
      </c>
      <c r="T26" s="25">
        <f t="shared" si="3"/>
        <v>48213</v>
      </c>
      <c r="U26" s="25">
        <f t="shared" si="3"/>
        <v>48579</v>
      </c>
    </row>
    <row r="27" spans="1:24" ht="16" customHeight="1" x14ac:dyDescent="0.2">
      <c r="B27" s="16" t="s">
        <v>43</v>
      </c>
      <c r="E27" s="79">
        <f>2464.29+149.928</f>
        <v>2614.2179999999998</v>
      </c>
      <c r="F27" s="79">
        <f>2751.322+242.514</f>
        <v>2993.8360000000002</v>
      </c>
      <c r="G27" s="97">
        <f>3027.796+57.54</f>
        <v>3085.3359999999998</v>
      </c>
      <c r="H27" s="79">
        <f>'Financials + KPIs'!P5</f>
        <v>3602.0660000000003</v>
      </c>
      <c r="I27" s="79">
        <f>'Financials + KPIs'!Q5</f>
        <v>4231.21</v>
      </c>
      <c r="J27" s="80">
        <f>'Financials + KPIs'!R5</f>
        <v>5424.6980000000003</v>
      </c>
      <c r="K27" s="26">
        <f ca="1">J27*(1+K28)</f>
        <v>6738.244157600001</v>
      </c>
      <c r="L27" s="26">
        <f t="shared" ref="L27:U27" ca="1" si="4">K27*(1+L28)</f>
        <v>8245.393287991601</v>
      </c>
      <c r="M27" s="26">
        <f t="shared" ca="1" si="4"/>
        <v>10039.449408787203</v>
      </c>
      <c r="N27" s="26">
        <f t="shared" ca="1" si="4"/>
        <v>11833.591039096684</v>
      </c>
      <c r="O27" s="26">
        <f t="shared" ca="1" si="4"/>
        <v>13483.258935042153</v>
      </c>
      <c r="P27" s="26">
        <f t="shared" ca="1" si="4"/>
        <v>15097.555912921831</v>
      </c>
      <c r="Q27" s="26">
        <f t="shared" ca="1" si="4"/>
        <v>16589.074959611684</v>
      </c>
      <c r="R27" s="26">
        <f t="shared" ca="1" si="4"/>
        <v>17880.592319241088</v>
      </c>
      <c r="S27" s="26">
        <f t="shared" ca="1" si="4"/>
        <v>18898.517034078628</v>
      </c>
      <c r="T27" s="26">
        <f t="shared" ca="1" si="4"/>
        <v>19579.604131020751</v>
      </c>
      <c r="U27" s="26">
        <f t="shared" ca="1" si="4"/>
        <v>20575.721050237236</v>
      </c>
    </row>
    <row r="28" spans="1:24" s="27" customFormat="1" ht="16" customHeight="1" x14ac:dyDescent="0.2">
      <c r="B28" s="27" t="s">
        <v>44</v>
      </c>
      <c r="F28" s="28">
        <f t="shared" ref="F28:H28" si="5">F27/E27-1</f>
        <v>0.14521283228866166</v>
      </c>
      <c r="G28" s="28">
        <f t="shared" si="5"/>
        <v>3.0562796358918565E-2</v>
      </c>
      <c r="H28" s="28">
        <f t="shared" si="5"/>
        <v>0.16747932802132426</v>
      </c>
      <c r="I28" s="28">
        <f>I27/H27-1</f>
        <v>0.17466198564934676</v>
      </c>
      <c r="J28" s="29">
        <f>J27/I27-1</f>
        <v>0.28206777730247379</v>
      </c>
      <c r="K28" s="28">
        <f ca="1">OFFSET(K28,$D$9,0)</f>
        <v>0.24214180358058646</v>
      </c>
      <c r="L28" s="28">
        <f t="shared" ref="L28:U28" ca="1" si="6">OFFSET(L28,$D$9,0)</f>
        <v>0.22367089929380213</v>
      </c>
      <c r="M28" s="28">
        <f t="shared" ca="1" si="6"/>
        <v>0.21758284391460414</v>
      </c>
      <c r="N28" s="28">
        <f t="shared" ca="1" si="6"/>
        <v>0.17870916593684183</v>
      </c>
      <c r="O28" s="28">
        <f t="shared" ca="1" si="6"/>
        <v>0.1394055186202714</v>
      </c>
      <c r="P28" s="28">
        <f t="shared" ca="1" si="6"/>
        <v>0.11972602363099472</v>
      </c>
      <c r="Q28" s="28">
        <f t="shared" ca="1" si="6"/>
        <v>9.8792086301417781E-2</v>
      </c>
      <c r="R28" s="28">
        <f t="shared" ca="1" si="6"/>
        <v>7.7853488682990246E-2</v>
      </c>
      <c r="S28" s="28">
        <f t="shared" ca="1" si="6"/>
        <v>5.6929026548083739E-2</v>
      </c>
      <c r="T28" s="28">
        <f t="shared" ca="1" si="6"/>
        <v>3.6039182106932355E-2</v>
      </c>
      <c r="U28" s="28">
        <f t="shared" ca="1" si="6"/>
        <v>5.0875232846934626E-2</v>
      </c>
    </row>
    <row r="29" spans="1:24" ht="16" customHeight="1" x14ac:dyDescent="0.2">
      <c r="B29" s="5" t="s">
        <v>15</v>
      </c>
      <c r="J29" s="30"/>
      <c r="K29" s="112">
        <f>K30</f>
        <v>0.24214180358058646</v>
      </c>
      <c r="L29" s="112">
        <f>L30*$H$9</f>
        <v>0.17893671943504172</v>
      </c>
      <c r="M29" s="112">
        <f>L29-($L$29-$U$29)/($U$25-$L$25)</f>
        <v>0.16238819505337043</v>
      </c>
      <c r="N29" s="112">
        <f t="shared" ref="N29:T29" si="7">M29-($L$29-$U$29)/($U$25-$L$25)</f>
        <v>0.14583967067169912</v>
      </c>
      <c r="O29" s="112">
        <f t="shared" si="7"/>
        <v>0.1292911462900278</v>
      </c>
      <c r="P29" s="112">
        <f t="shared" si="7"/>
        <v>0.1127426219083565</v>
      </c>
      <c r="Q29" s="112">
        <f t="shared" si="7"/>
        <v>9.6194097526685202E-2</v>
      </c>
      <c r="R29" s="112">
        <f t="shared" si="7"/>
        <v>7.9645573145013901E-2</v>
      </c>
      <c r="S29" s="112">
        <f t="shared" si="7"/>
        <v>6.30970487633426E-2</v>
      </c>
      <c r="T29" s="112">
        <f t="shared" si="7"/>
        <v>4.65485243816713E-2</v>
      </c>
      <c r="U29" s="112">
        <f>H10</f>
        <v>0.03</v>
      </c>
    </row>
    <row r="30" spans="1:24" ht="16" customHeight="1" x14ac:dyDescent="0.2">
      <c r="B30" s="5" t="s">
        <v>16</v>
      </c>
      <c r="J30" s="30"/>
      <c r="K30" s="112">
        <f>'Financials + KPIs'!S47</f>
        <v>0.24214180358058646</v>
      </c>
      <c r="L30" s="112">
        <f>'Financials + KPIs'!T47</f>
        <v>0.22367089929380213</v>
      </c>
      <c r="M30" s="112">
        <f>'Financials + KPIs'!U47</f>
        <v>0.21758284391460414</v>
      </c>
      <c r="N30" s="112">
        <f>'Financials + KPIs'!V47</f>
        <v>0.17870916593684183</v>
      </c>
      <c r="O30" s="112">
        <f>'Financials + KPIs'!W47</f>
        <v>0.1394055186202714</v>
      </c>
      <c r="P30" s="112">
        <f>'Financials + KPIs'!X47</f>
        <v>0.11972602363099472</v>
      </c>
      <c r="Q30" s="112">
        <f>'Financials + KPIs'!Y47</f>
        <v>9.8792086301417781E-2</v>
      </c>
      <c r="R30" s="112">
        <f>'Financials + KPIs'!Z47</f>
        <v>7.7853488682990246E-2</v>
      </c>
      <c r="S30" s="112">
        <f>'Financials + KPIs'!AA47</f>
        <v>5.6929026548083739E-2</v>
      </c>
      <c r="T30" s="112">
        <f>'Financials + KPIs'!AB47</f>
        <v>3.6039182106932355E-2</v>
      </c>
      <c r="U30" s="112">
        <f>'Financials + KPIs'!AC47</f>
        <v>5.0875232846934626E-2</v>
      </c>
    </row>
    <row r="31" spans="1:24" ht="16" customHeight="1" x14ac:dyDescent="0.2">
      <c r="B31" s="5" t="s">
        <v>45</v>
      </c>
      <c r="J31" s="30"/>
      <c r="K31" s="112">
        <f>K30</f>
        <v>0.24214180358058646</v>
      </c>
      <c r="L31" s="112">
        <f>L30*$P$9</f>
        <v>0.26840507915256256</v>
      </c>
      <c r="M31" s="112">
        <f>L31-($L$31-$U$31)/($U$25-$L$25)</f>
        <v>0.24636007035783339</v>
      </c>
      <c r="N31" s="112">
        <f t="shared" ref="N31:T31" si="8">M31-($L$31-$U$31)/($U$25-$L$25)</f>
        <v>0.22431506156310421</v>
      </c>
      <c r="O31" s="112">
        <f t="shared" si="8"/>
        <v>0.20227005276837504</v>
      </c>
      <c r="P31" s="112">
        <f t="shared" si="8"/>
        <v>0.18022504397364586</v>
      </c>
      <c r="Q31" s="112">
        <f t="shared" si="8"/>
        <v>0.15818003517891668</v>
      </c>
      <c r="R31" s="112">
        <f t="shared" si="8"/>
        <v>0.13613502638418751</v>
      </c>
      <c r="S31" s="112">
        <f t="shared" si="8"/>
        <v>0.11409001758945833</v>
      </c>
      <c r="T31" s="112">
        <f t="shared" si="8"/>
        <v>9.2045008794729155E-2</v>
      </c>
      <c r="U31" s="112">
        <f>P10</f>
        <v>7.0000000000000007E-2</v>
      </c>
    </row>
    <row r="32" spans="1:24" ht="16" customHeight="1" x14ac:dyDescent="0.2">
      <c r="B32" s="5" t="s">
        <v>156</v>
      </c>
      <c r="J32" s="30"/>
      <c r="K32" s="112"/>
      <c r="L32" s="112"/>
      <c r="M32" s="112"/>
      <c r="N32" s="112"/>
      <c r="O32" s="112"/>
      <c r="P32" s="112"/>
      <c r="Q32" s="112"/>
      <c r="R32" s="112"/>
      <c r="S32" s="112"/>
      <c r="T32" s="112"/>
      <c r="U32" s="112"/>
    </row>
    <row r="33" spans="1:21" ht="16" customHeight="1" x14ac:dyDescent="0.2">
      <c r="J33" s="30"/>
    </row>
    <row r="34" spans="1:21" ht="16" customHeight="1" x14ac:dyDescent="0.2">
      <c r="B34" s="16" t="s">
        <v>46</v>
      </c>
      <c r="E34" s="79">
        <f>2903.659+171.947+672.317</f>
        <v>3747.9230000000002</v>
      </c>
      <c r="F34" s="79">
        <f>4144.712+139.696-133.229</f>
        <v>4151.1790000000001</v>
      </c>
      <c r="G34" s="79">
        <f>2381.604+95.724+54.753</f>
        <v>2532.0810000000001</v>
      </c>
      <c r="H34" s="79">
        <f>'Financials + KPIs'!P14</f>
        <v>3736.2040000000002</v>
      </c>
      <c r="I34" s="79">
        <f>'Financials + KPIs'!Q14</f>
        <v>1870.7169999999999</v>
      </c>
      <c r="J34" s="80">
        <f>'Financials + KPIs'!R14</f>
        <v>17152.45</v>
      </c>
      <c r="K34" s="79">
        <f ca="1">J34*(1+K35)</f>
        <v>2781.5584400000021</v>
      </c>
      <c r="L34" s="26">
        <f t="shared" ref="L34:U34" ca="1" si="9">K34*(1+L35)</f>
        <v>3867.9476041292201</v>
      </c>
      <c r="M34" s="26">
        <f t="shared" ca="1" si="9"/>
        <v>4261.8099003297657</v>
      </c>
      <c r="N34" s="26">
        <f t="shared" ca="1" si="9"/>
        <v>4768.1092157742905</v>
      </c>
      <c r="O34" s="26">
        <f t="shared" ca="1" si="9"/>
        <v>5340.2264535044087</v>
      </c>
      <c r="P34" s="26">
        <f t="shared" ca="1" si="9"/>
        <v>5986.8219285271907</v>
      </c>
      <c r="Q34" s="26">
        <f t="shared" ca="1" si="9"/>
        <v>6717.6990750630512</v>
      </c>
      <c r="R34" s="26">
        <f t="shared" ca="1" si="9"/>
        <v>7543.9553129902806</v>
      </c>
      <c r="S34" s="26">
        <f t="shared" ca="1" si="9"/>
        <v>8478.1528277652924</v>
      </c>
      <c r="T34" s="26">
        <f t="shared" ca="1" si="9"/>
        <v>9534.5118927126496</v>
      </c>
      <c r="U34" s="26">
        <f t="shared" ca="1" si="9"/>
        <v>10729.129709543886</v>
      </c>
    </row>
    <row r="35" spans="1:21" s="27" customFormat="1" ht="16" customHeight="1" x14ac:dyDescent="0.2">
      <c r="B35" s="27" t="s">
        <v>44</v>
      </c>
      <c r="F35" s="28">
        <f t="shared" ref="F35:H35" si="10">F34/E34-1</f>
        <v>0.10759452635499711</v>
      </c>
      <c r="G35" s="28">
        <f t="shared" si="10"/>
        <v>-0.39003328933780013</v>
      </c>
      <c r="H35" s="28">
        <f t="shared" si="10"/>
        <v>0.4755467933292814</v>
      </c>
      <c r="I35" s="28">
        <f>I34/H34-1</f>
        <v>-0.49930009175087875</v>
      </c>
      <c r="J35" s="29">
        <f>J34/I34-1</f>
        <v>8.1689175861447794</v>
      </c>
      <c r="K35" s="28">
        <f ca="1">OFFSET(K35,$D$11,0)</f>
        <v>-0.83783317018851522</v>
      </c>
      <c r="L35" s="28">
        <f t="shared" ref="L35:U35" ca="1" si="11">OFFSET(L35,$D$11,0)</f>
        <v>0.39056852033251432</v>
      </c>
      <c r="M35" s="28">
        <f t="shared" ca="1" si="11"/>
        <v>0.10182720566847347</v>
      </c>
      <c r="N35" s="28">
        <f t="shared" ca="1" si="11"/>
        <v>0.11879913165656414</v>
      </c>
      <c r="O35" s="28">
        <f t="shared" ca="1" si="11"/>
        <v>0.11998828295236769</v>
      </c>
      <c r="P35" s="28">
        <f t="shared" ca="1" si="11"/>
        <v>0.12108016029890772</v>
      </c>
      <c r="Q35" s="28">
        <f t="shared" ca="1" si="11"/>
        <v>0.12208098975739246</v>
      </c>
      <c r="R35" s="28">
        <f t="shared" ca="1" si="11"/>
        <v>0.12299691139699868</v>
      </c>
      <c r="S35" s="28">
        <f t="shared" ca="1" si="11"/>
        <v>0.12383391417581348</v>
      </c>
      <c r="T35" s="28">
        <f t="shared" ca="1" si="11"/>
        <v>0.12459778520243985</v>
      </c>
      <c r="U35" s="28">
        <f t="shared" ca="1" si="11"/>
        <v>0.12529407171271112</v>
      </c>
    </row>
    <row r="36" spans="1:21" ht="16" customHeight="1" x14ac:dyDescent="0.2">
      <c r="B36" s="5" t="s">
        <v>15</v>
      </c>
      <c r="J36" s="30"/>
      <c r="K36" s="112">
        <f>K37</f>
        <v>-0.83783317018851522</v>
      </c>
      <c r="L36" s="112">
        <f>L37*$H$11</f>
        <v>0.26037901355500959</v>
      </c>
      <c r="M36" s="112">
        <f t="shared" ref="M36:U36" si="12">M37*$H$11</f>
        <v>6.7884803778982317E-2</v>
      </c>
      <c r="N36" s="112">
        <f t="shared" si="12"/>
        <v>7.9199421104376111E-2</v>
      </c>
      <c r="O36" s="112">
        <f t="shared" si="12"/>
        <v>7.9992188634911809E-2</v>
      </c>
      <c r="P36" s="112">
        <f t="shared" si="12"/>
        <v>8.0720106865938501E-2</v>
      </c>
      <c r="Q36" s="112">
        <f t="shared" si="12"/>
        <v>8.1387326504928303E-2</v>
      </c>
      <c r="R36" s="112">
        <f t="shared" si="12"/>
        <v>8.1997940931332461E-2</v>
      </c>
      <c r="S36" s="112">
        <f t="shared" si="12"/>
        <v>8.2555942783875666E-2</v>
      </c>
      <c r="T36" s="112">
        <f t="shared" si="12"/>
        <v>8.3065190134959901E-2</v>
      </c>
      <c r="U36" s="112">
        <f t="shared" si="12"/>
        <v>8.3529381141807413E-2</v>
      </c>
    </row>
    <row r="37" spans="1:21" ht="16" customHeight="1" x14ac:dyDescent="0.2">
      <c r="B37" s="5" t="s">
        <v>16</v>
      </c>
      <c r="J37" s="30"/>
      <c r="K37" s="112">
        <f>'Financials + KPIs'!S14/'Financials + KPIs'!R14-1</f>
        <v>-0.83783317018851522</v>
      </c>
      <c r="L37" s="112">
        <f>'Financials + KPIs'!T14/'Financials + KPIs'!S14-1</f>
        <v>0.32547376694376196</v>
      </c>
      <c r="M37" s="112">
        <f>'Financials + KPIs'!U14/'Financials + KPIs'!T14-1</f>
        <v>8.4856004723727896E-2</v>
      </c>
      <c r="N37" s="112">
        <f>'Financials + KPIs'!V14/'Financials + KPIs'!U14-1</f>
        <v>9.8999276380470125E-2</v>
      </c>
      <c r="O37" s="112">
        <f>'Financials + KPIs'!W14/'Financials + KPIs'!V14-1</f>
        <v>9.9990235793639748E-2</v>
      </c>
      <c r="P37" s="112">
        <f>'Financials + KPIs'!X14/'Financials + KPIs'!W14-1</f>
        <v>0.10090013358242311</v>
      </c>
      <c r="Q37" s="112">
        <f>'Financials + KPIs'!Y14/'Financials + KPIs'!X14-1</f>
        <v>0.10173415813116038</v>
      </c>
      <c r="R37" s="112">
        <f>'Financials + KPIs'!Z14/'Financials + KPIs'!Y14-1</f>
        <v>0.10249742616416557</v>
      </c>
      <c r="S37" s="112">
        <f>'Financials + KPIs'!AA14/'Financials + KPIs'!Z14-1</f>
        <v>0.10319492847984457</v>
      </c>
      <c r="T37" s="112">
        <f>'Financials + KPIs'!AB14/'Financials + KPIs'!AA14-1</f>
        <v>0.10383148766869987</v>
      </c>
      <c r="U37" s="112">
        <f>'Financials + KPIs'!AC14/'Financials + KPIs'!AB14-1</f>
        <v>0.10441172642725927</v>
      </c>
    </row>
    <row r="38" spans="1:21" ht="16" customHeight="1" x14ac:dyDescent="0.2">
      <c r="B38" s="5" t="s">
        <v>45</v>
      </c>
      <c r="J38" s="30"/>
      <c r="K38" s="112">
        <f>K37</f>
        <v>-0.83783317018851522</v>
      </c>
      <c r="L38" s="112">
        <f>L37*$P$11</f>
        <v>0.39056852033251432</v>
      </c>
      <c r="M38" s="112">
        <f t="shared" ref="M38:U38" si="13">M37*$P$11</f>
        <v>0.10182720566847347</v>
      </c>
      <c r="N38" s="112">
        <f t="shared" si="13"/>
        <v>0.11879913165656414</v>
      </c>
      <c r="O38" s="112">
        <f t="shared" si="13"/>
        <v>0.11998828295236769</v>
      </c>
      <c r="P38" s="112">
        <f t="shared" si="13"/>
        <v>0.12108016029890772</v>
      </c>
      <c r="Q38" s="112">
        <f t="shared" si="13"/>
        <v>0.12208098975739246</v>
      </c>
      <c r="R38" s="112">
        <f t="shared" si="13"/>
        <v>0.12299691139699868</v>
      </c>
      <c r="S38" s="112">
        <f t="shared" si="13"/>
        <v>0.12383391417581348</v>
      </c>
      <c r="T38" s="112">
        <f t="shared" si="13"/>
        <v>0.12459778520243985</v>
      </c>
      <c r="U38" s="112">
        <f t="shared" si="13"/>
        <v>0.12529407171271112</v>
      </c>
    </row>
    <row r="39" spans="1:21" ht="16" customHeight="1" x14ac:dyDescent="0.2">
      <c r="B39" s="5" t="s">
        <v>156</v>
      </c>
      <c r="J39" s="30"/>
      <c r="K39" s="112"/>
      <c r="L39" s="112"/>
      <c r="M39" s="112"/>
      <c r="N39" s="112"/>
      <c r="O39" s="112"/>
      <c r="P39" s="112"/>
      <c r="Q39" s="112"/>
      <c r="R39" s="112"/>
      <c r="S39" s="112"/>
      <c r="T39" s="112"/>
      <c r="U39" s="112"/>
    </row>
    <row r="40" spans="1:21" ht="16" customHeight="1" x14ac:dyDescent="0.2">
      <c r="J40" s="30"/>
    </row>
    <row r="41" spans="1:21" ht="16" customHeight="1" x14ac:dyDescent="0.2">
      <c r="B41" s="31" t="s">
        <v>47</v>
      </c>
      <c r="C41" s="32"/>
      <c r="D41" s="32"/>
      <c r="E41" s="33">
        <f t="shared" ref="E41:U41" si="14">E34+E27</f>
        <v>6362.1409999999996</v>
      </c>
      <c r="F41" s="33">
        <f t="shared" si="14"/>
        <v>7145.0150000000003</v>
      </c>
      <c r="G41" s="33">
        <f t="shared" si="14"/>
        <v>5617.4169999999995</v>
      </c>
      <c r="H41" s="33">
        <f t="shared" si="14"/>
        <v>7338.27</v>
      </c>
      <c r="I41" s="33">
        <f t="shared" si="14"/>
        <v>6101.9269999999997</v>
      </c>
      <c r="J41" s="34">
        <f t="shared" si="14"/>
        <v>22577.148000000001</v>
      </c>
      <c r="K41" s="33">
        <f ca="1">K34+K27</f>
        <v>9519.8025976000026</v>
      </c>
      <c r="L41" s="33">
        <f t="shared" ca="1" si="14"/>
        <v>12113.340892120821</v>
      </c>
      <c r="M41" s="33">
        <f t="shared" ca="1" si="14"/>
        <v>14301.259309116969</v>
      </c>
      <c r="N41" s="33">
        <f t="shared" ca="1" si="14"/>
        <v>16601.700254870975</v>
      </c>
      <c r="O41" s="33">
        <f t="shared" ca="1" si="14"/>
        <v>18823.485388546564</v>
      </c>
      <c r="P41" s="33">
        <f t="shared" ca="1" si="14"/>
        <v>21084.377841449023</v>
      </c>
      <c r="Q41" s="33">
        <f t="shared" ca="1" si="14"/>
        <v>23306.774034674734</v>
      </c>
      <c r="R41" s="33">
        <f t="shared" ca="1" si="14"/>
        <v>25424.54763223137</v>
      </c>
      <c r="S41" s="33">
        <f t="shared" ca="1" si="14"/>
        <v>27376.669861843919</v>
      </c>
      <c r="T41" s="33">
        <f t="shared" ca="1" si="14"/>
        <v>29114.116023733401</v>
      </c>
      <c r="U41" s="33">
        <f t="shared" ca="1" si="14"/>
        <v>31304.850759781122</v>
      </c>
    </row>
    <row r="42" spans="1:21" s="27" customFormat="1" ht="16" customHeight="1" x14ac:dyDescent="0.2">
      <c r="B42" s="27" t="s">
        <v>44</v>
      </c>
      <c r="F42" s="28">
        <f>F41/E41-1</f>
        <v>0.12305197259853262</v>
      </c>
      <c r="G42" s="28">
        <f t="shared" ref="G42:U42" si="15">G41/F41-1</f>
        <v>-0.21379913128243966</v>
      </c>
      <c r="H42" s="28">
        <f t="shared" si="15"/>
        <v>0.30634239900651861</v>
      </c>
      <c r="I42" s="28">
        <f t="shared" si="15"/>
        <v>-0.16847881040081658</v>
      </c>
      <c r="J42" s="29">
        <f t="shared" si="15"/>
        <v>2.7000029662760636</v>
      </c>
      <c r="K42" s="28">
        <f t="shared" ca="1" si="15"/>
        <v>-0.57834343834748292</v>
      </c>
      <c r="L42" s="28">
        <f t="shared" ca="1" si="15"/>
        <v>0.27243614223415347</v>
      </c>
      <c r="M42" s="28">
        <f t="shared" ca="1" si="15"/>
        <v>0.18062056013129202</v>
      </c>
      <c r="N42" s="28">
        <f t="shared" ca="1" si="15"/>
        <v>0.16085583066712794</v>
      </c>
      <c r="O42" s="28">
        <f t="shared" ca="1" si="15"/>
        <v>0.13382877052148379</v>
      </c>
      <c r="P42" s="28">
        <f t="shared" ca="1" si="15"/>
        <v>0.12011019246616961</v>
      </c>
      <c r="Q42" s="28">
        <f t="shared" ca="1" si="15"/>
        <v>0.10540487416502198</v>
      </c>
      <c r="R42" s="28">
        <f t="shared" ca="1" si="15"/>
        <v>9.0865153384415587E-2</v>
      </c>
      <c r="S42" s="28">
        <f t="shared" ca="1" si="15"/>
        <v>7.6781001489198308E-2</v>
      </c>
      <c r="T42" s="28">
        <f t="shared" ca="1" si="15"/>
        <v>6.3464481642854453E-2</v>
      </c>
      <c r="U42" s="28">
        <f t="shared" ca="1" si="15"/>
        <v>7.5246479551770218E-2</v>
      </c>
    </row>
    <row r="43" spans="1:21" ht="16" customHeight="1" x14ac:dyDescent="0.2">
      <c r="J43" s="30"/>
    </row>
    <row r="44" spans="1:21" ht="16" customHeight="1" x14ac:dyDescent="0.2">
      <c r="A44" s="5" t="s">
        <v>12</v>
      </c>
      <c r="B44" s="12" t="s">
        <v>48</v>
      </c>
      <c r="C44" s="12"/>
      <c r="D44" s="12"/>
      <c r="E44" s="23">
        <v>2016</v>
      </c>
      <c r="F44" s="23">
        <f>E44+1</f>
        <v>2017</v>
      </c>
      <c r="G44" s="23">
        <f t="shared" ref="G44:J44" si="16">F44+1</f>
        <v>2018</v>
      </c>
      <c r="H44" s="23">
        <f t="shared" si="16"/>
        <v>2019</v>
      </c>
      <c r="I44" s="23">
        <f t="shared" si="16"/>
        <v>2020</v>
      </c>
      <c r="J44" s="23">
        <f t="shared" si="16"/>
        <v>2021</v>
      </c>
      <c r="K44" s="24">
        <v>2022</v>
      </c>
      <c r="L44" s="24">
        <f>K44+1</f>
        <v>2023</v>
      </c>
      <c r="M44" s="24">
        <f t="shared" ref="M44:U44" si="17">L44+1</f>
        <v>2024</v>
      </c>
      <c r="N44" s="24">
        <f t="shared" si="17"/>
        <v>2025</v>
      </c>
      <c r="O44" s="24">
        <f t="shared" si="17"/>
        <v>2026</v>
      </c>
      <c r="P44" s="24">
        <f t="shared" si="17"/>
        <v>2027</v>
      </c>
      <c r="Q44" s="24">
        <f t="shared" si="17"/>
        <v>2028</v>
      </c>
      <c r="R44" s="24">
        <f t="shared" si="17"/>
        <v>2029</v>
      </c>
      <c r="S44" s="24">
        <f t="shared" si="17"/>
        <v>2030</v>
      </c>
      <c r="T44" s="24">
        <f t="shared" si="17"/>
        <v>2031</v>
      </c>
      <c r="U44" s="24">
        <f t="shared" si="17"/>
        <v>2032</v>
      </c>
    </row>
    <row r="45" spans="1:21" ht="16" customHeight="1" x14ac:dyDescent="0.2">
      <c r="B45" s="12" t="s">
        <v>42</v>
      </c>
      <c r="C45" s="12"/>
      <c r="D45" s="12"/>
      <c r="E45" s="25">
        <f t="shared" ref="E45:I45" si="18">EDATE(F45,-12)</f>
        <v>42735</v>
      </c>
      <c r="F45" s="25">
        <f t="shared" si="18"/>
        <v>43100</v>
      </c>
      <c r="G45" s="25">
        <f t="shared" si="18"/>
        <v>43465</v>
      </c>
      <c r="H45" s="25">
        <f t="shared" si="18"/>
        <v>43830</v>
      </c>
      <c r="I45" s="25">
        <f t="shared" si="18"/>
        <v>44196</v>
      </c>
      <c r="J45" s="25">
        <f>EDATE(K45,-12)</f>
        <v>44561</v>
      </c>
      <c r="K45" s="25">
        <v>44926</v>
      </c>
      <c r="L45" s="25">
        <f>EDATE(K45,12)</f>
        <v>45291</v>
      </c>
      <c r="M45" s="25">
        <f t="shared" ref="M45:U45" si="19">EDATE(L45,12)</f>
        <v>45657</v>
      </c>
      <c r="N45" s="25">
        <f t="shared" si="19"/>
        <v>46022</v>
      </c>
      <c r="O45" s="25">
        <f t="shared" si="19"/>
        <v>46387</v>
      </c>
      <c r="P45" s="25">
        <f t="shared" si="19"/>
        <v>46752</v>
      </c>
      <c r="Q45" s="25">
        <f t="shared" si="19"/>
        <v>47118</v>
      </c>
      <c r="R45" s="25">
        <f t="shared" si="19"/>
        <v>47483</v>
      </c>
      <c r="S45" s="25">
        <f t="shared" si="19"/>
        <v>47848</v>
      </c>
      <c r="T45" s="25">
        <f t="shared" si="19"/>
        <v>48213</v>
      </c>
      <c r="U45" s="25">
        <f t="shared" si="19"/>
        <v>48579</v>
      </c>
    </row>
    <row r="46" spans="1:21" ht="16" customHeight="1" x14ac:dyDescent="0.2">
      <c r="B46" s="5" t="s">
        <v>49</v>
      </c>
      <c r="E46" s="79">
        <f>E41</f>
        <v>6362.1409999999996</v>
      </c>
      <c r="F46" s="79">
        <f t="shared" ref="F46:U47" si="20">F41</f>
        <v>7145.0150000000003</v>
      </c>
      <c r="G46" s="79">
        <f t="shared" si="20"/>
        <v>5617.4169999999995</v>
      </c>
      <c r="H46" s="79">
        <f t="shared" si="20"/>
        <v>7338.27</v>
      </c>
      <c r="I46" s="79">
        <f t="shared" si="20"/>
        <v>6101.9269999999997</v>
      </c>
      <c r="J46" s="80">
        <f t="shared" si="20"/>
        <v>22577.148000000001</v>
      </c>
      <c r="K46" s="79">
        <f t="shared" ca="1" si="20"/>
        <v>9519.8025976000026</v>
      </c>
      <c r="L46" s="79">
        <f t="shared" ca="1" si="20"/>
        <v>12113.340892120821</v>
      </c>
      <c r="M46" s="79">
        <f t="shared" ca="1" si="20"/>
        <v>14301.259309116969</v>
      </c>
      <c r="N46" s="79">
        <f t="shared" ca="1" si="20"/>
        <v>16601.700254870975</v>
      </c>
      <c r="O46" s="79">
        <f t="shared" ca="1" si="20"/>
        <v>18823.485388546564</v>
      </c>
      <c r="P46" s="79">
        <f t="shared" ca="1" si="20"/>
        <v>21084.377841449023</v>
      </c>
      <c r="Q46" s="79">
        <f t="shared" ca="1" si="20"/>
        <v>23306.774034674734</v>
      </c>
      <c r="R46" s="79">
        <f t="shared" ca="1" si="20"/>
        <v>25424.54763223137</v>
      </c>
      <c r="S46" s="79">
        <f t="shared" ca="1" si="20"/>
        <v>27376.669861843919</v>
      </c>
      <c r="T46" s="79">
        <f t="shared" ca="1" si="20"/>
        <v>29114.116023733401</v>
      </c>
      <c r="U46" s="79">
        <f t="shared" ca="1" si="20"/>
        <v>31304.850759781122</v>
      </c>
    </row>
    <row r="47" spans="1:21" s="27" customFormat="1" ht="16" customHeight="1" x14ac:dyDescent="0.2">
      <c r="B47" s="27" t="s">
        <v>44</v>
      </c>
      <c r="E47" s="95"/>
      <c r="F47" s="37">
        <f>F42</f>
        <v>0.12305197259853262</v>
      </c>
      <c r="G47" s="37">
        <f t="shared" si="20"/>
        <v>-0.21379913128243966</v>
      </c>
      <c r="H47" s="37">
        <f t="shared" si="20"/>
        <v>0.30634239900651861</v>
      </c>
      <c r="I47" s="37">
        <f t="shared" si="20"/>
        <v>-0.16847881040081658</v>
      </c>
      <c r="J47" s="96">
        <f t="shared" si="20"/>
        <v>2.7000029662760636</v>
      </c>
      <c r="K47" s="37">
        <f t="shared" ca="1" si="20"/>
        <v>-0.57834343834748292</v>
      </c>
      <c r="L47" s="37">
        <f t="shared" ca="1" si="20"/>
        <v>0.27243614223415347</v>
      </c>
      <c r="M47" s="37">
        <f t="shared" ca="1" si="20"/>
        <v>0.18062056013129202</v>
      </c>
      <c r="N47" s="37">
        <f t="shared" ca="1" si="20"/>
        <v>0.16085583066712794</v>
      </c>
      <c r="O47" s="37">
        <f t="shared" ca="1" si="20"/>
        <v>0.13382877052148379</v>
      </c>
      <c r="P47" s="37">
        <f t="shared" ca="1" si="20"/>
        <v>0.12011019246616961</v>
      </c>
      <c r="Q47" s="37">
        <f t="shared" ca="1" si="20"/>
        <v>0.10540487416502198</v>
      </c>
      <c r="R47" s="37">
        <f t="shared" ca="1" si="20"/>
        <v>9.0865153384415587E-2</v>
      </c>
      <c r="S47" s="37">
        <f t="shared" ca="1" si="20"/>
        <v>7.6781001489198308E-2</v>
      </c>
      <c r="T47" s="37">
        <f t="shared" ca="1" si="20"/>
        <v>6.3464481642854453E-2</v>
      </c>
      <c r="U47" s="37">
        <f t="shared" ca="1" si="20"/>
        <v>7.5246479551770218E-2</v>
      </c>
    </row>
    <row r="48" spans="1:21" ht="16" customHeight="1" x14ac:dyDescent="0.2">
      <c r="E48" s="78"/>
      <c r="F48" s="78"/>
      <c r="G48" s="78"/>
      <c r="H48" s="78"/>
      <c r="I48" s="78"/>
      <c r="J48" s="83"/>
      <c r="K48" s="78"/>
      <c r="L48" s="78"/>
      <c r="M48" s="78"/>
      <c r="N48" s="78"/>
      <c r="O48" s="78"/>
      <c r="P48" s="78"/>
      <c r="Q48" s="78"/>
      <c r="R48" s="78"/>
      <c r="S48" s="78"/>
      <c r="T48" s="78"/>
      <c r="U48" s="78"/>
    </row>
    <row r="49" spans="2:21" s="26" customFormat="1" ht="16" customHeight="1" x14ac:dyDescent="0.2">
      <c r="B49" s="26" t="s">
        <v>50</v>
      </c>
      <c r="E49" s="79">
        <f>2381.604+152.654</f>
        <v>2534.2579999999998</v>
      </c>
      <c r="F49" s="79">
        <f>4118.089+197.486</f>
        <v>4315.5749999999998</v>
      </c>
      <c r="G49" s="79">
        <f>3512.941+163.99</f>
        <v>3676.9309999999996</v>
      </c>
      <c r="H49" s="79">
        <f>3818.015+199.648</f>
        <v>4017.663</v>
      </c>
      <c r="I49" s="79">
        <f>2617.52+166.152</f>
        <v>2783.672</v>
      </c>
      <c r="J49" s="80">
        <f>198.268+13559.396</f>
        <v>13757.664000000001</v>
      </c>
      <c r="K49" s="79">
        <f ca="1">K46*K50</f>
        <v>4957.7720573479774</v>
      </c>
      <c r="L49" s="79">
        <f t="shared" ref="L49:U49" ca="1" si="21">L46*L50</f>
        <v>6404.4039691825783</v>
      </c>
      <c r="M49" s="79">
        <f t="shared" ca="1" si="21"/>
        <v>7674.4581774108265</v>
      </c>
      <c r="N49" s="79">
        <f t="shared" ca="1" si="21"/>
        <v>9040.449601266404</v>
      </c>
      <c r="O49" s="79">
        <f t="shared" ca="1" si="21"/>
        <v>10399.431767331414</v>
      </c>
      <c r="P49" s="79">
        <f t="shared" ca="1" si="21"/>
        <v>11815.529049515228</v>
      </c>
      <c r="Q49" s="79">
        <f t="shared" ca="1" si="21"/>
        <v>13245.567605899003</v>
      </c>
      <c r="R49" s="79">
        <f t="shared" ca="1" si="21"/>
        <v>14650.528248389204</v>
      </c>
      <c r="S49" s="79">
        <f t="shared" ca="1" si="21"/>
        <v>15992.274292132997</v>
      </c>
      <c r="T49" s="79">
        <f t="shared" ca="1" si="21"/>
        <v>17237.842652306808</v>
      </c>
      <c r="U49" s="79">
        <f t="shared" ca="1" si="21"/>
        <v>18782.910455868674</v>
      </c>
    </row>
    <row r="50" spans="2:21" s="27" customFormat="1" ht="16" customHeight="1" x14ac:dyDescent="0.2">
      <c r="B50" s="27" t="s">
        <v>51</v>
      </c>
      <c r="E50" s="81">
        <f>E49/E46</f>
        <v>0.39833414569089243</v>
      </c>
      <c r="F50" s="81">
        <f t="shared" ref="F50:J50" si="22">F49/F46</f>
        <v>0.60399803219447401</v>
      </c>
      <c r="G50" s="81">
        <f t="shared" si="22"/>
        <v>0.65455902597225735</v>
      </c>
      <c r="H50" s="81">
        <f t="shared" si="22"/>
        <v>0.54749457297155868</v>
      </c>
      <c r="I50" s="81">
        <f t="shared" si="22"/>
        <v>0.45619555920613281</v>
      </c>
      <c r="J50" s="82">
        <f t="shared" si="22"/>
        <v>0.60936235170181818</v>
      </c>
      <c r="K50" s="81">
        <f ca="1">OFFSET(K50,$D$12,0)</f>
        <v>0.52078517453690276</v>
      </c>
      <c r="L50" s="81">
        <f t="shared" ref="L50:U50" ca="1" si="23">OFFSET(L50,$D$12,0)</f>
        <v>0.52870665708321252</v>
      </c>
      <c r="M50" s="81">
        <f t="shared" ca="1" si="23"/>
        <v>0.53662813962952227</v>
      </c>
      <c r="N50" s="81">
        <f t="shared" ca="1" si="23"/>
        <v>0.54454962217583203</v>
      </c>
      <c r="O50" s="81">
        <f t="shared" ca="1" si="23"/>
        <v>0.55247110472214178</v>
      </c>
      <c r="P50" s="81">
        <f t="shared" ca="1" si="23"/>
        <v>0.56039258726845154</v>
      </c>
      <c r="Q50" s="81">
        <f t="shared" ca="1" si="23"/>
        <v>0.56831406981476129</v>
      </c>
      <c r="R50" s="81">
        <f t="shared" ca="1" si="23"/>
        <v>0.57623555236107105</v>
      </c>
      <c r="S50" s="81">
        <f t="shared" ca="1" si="23"/>
        <v>0.5841570349073808</v>
      </c>
      <c r="T50" s="81">
        <f t="shared" ca="1" si="23"/>
        <v>0.59207851745369056</v>
      </c>
      <c r="U50" s="81">
        <f t="shared" ca="1" si="23"/>
        <v>0.6</v>
      </c>
    </row>
    <row r="51" spans="2:21" ht="16" customHeight="1" x14ac:dyDescent="0.2">
      <c r="B51" s="5" t="s">
        <v>15</v>
      </c>
      <c r="J51" s="30"/>
      <c r="K51" s="112">
        <v>0.5</v>
      </c>
      <c r="L51" s="112">
        <f>K51-($K$51-$U$51)/($U$44-$K$44)</f>
        <v>0.505</v>
      </c>
      <c r="M51" s="112">
        <f t="shared" ref="M51:T51" si="24">L51-($K$51-$U$51)/($U$44-$K$44)</f>
        <v>0.51</v>
      </c>
      <c r="N51" s="112">
        <f t="shared" si="24"/>
        <v>0.51500000000000001</v>
      </c>
      <c r="O51" s="112">
        <f t="shared" si="24"/>
        <v>0.52</v>
      </c>
      <c r="P51" s="112">
        <f t="shared" si="24"/>
        <v>0.52500000000000002</v>
      </c>
      <c r="Q51" s="112">
        <f t="shared" si="24"/>
        <v>0.53</v>
      </c>
      <c r="R51" s="112">
        <f t="shared" si="24"/>
        <v>0.53500000000000003</v>
      </c>
      <c r="S51" s="112">
        <f t="shared" si="24"/>
        <v>0.54</v>
      </c>
      <c r="T51" s="112">
        <f t="shared" si="24"/>
        <v>0.54500000000000004</v>
      </c>
      <c r="U51" s="112">
        <f>H12</f>
        <v>0.54999999999999993</v>
      </c>
    </row>
    <row r="52" spans="2:21" ht="16" customHeight="1" x14ac:dyDescent="0.2">
      <c r="B52" s="5" t="s">
        <v>16</v>
      </c>
      <c r="J52" s="30"/>
      <c r="K52" s="112">
        <f>'Financials + KPIs'!S57</f>
        <v>0.52078517453690276</v>
      </c>
      <c r="L52" s="112">
        <f>K52-($K$52-$U$52)/($U$44-$K$44)</f>
        <v>0.52870665708321252</v>
      </c>
      <c r="M52" s="112">
        <f t="shared" ref="M52:T52" si="25">L52-($K$52-$U$52)/($U$44-$K$44)</f>
        <v>0.53662813962952227</v>
      </c>
      <c r="N52" s="112">
        <f t="shared" si="25"/>
        <v>0.54454962217583203</v>
      </c>
      <c r="O52" s="112">
        <f t="shared" si="25"/>
        <v>0.55247110472214178</v>
      </c>
      <c r="P52" s="112">
        <f t="shared" si="25"/>
        <v>0.56039258726845154</v>
      </c>
      <c r="Q52" s="112">
        <f t="shared" si="25"/>
        <v>0.56831406981476129</v>
      </c>
      <c r="R52" s="112">
        <f t="shared" si="25"/>
        <v>0.57623555236107105</v>
      </c>
      <c r="S52" s="112">
        <f t="shared" si="25"/>
        <v>0.5841570349073808</v>
      </c>
      <c r="T52" s="112">
        <f t="shared" si="25"/>
        <v>0.59207851745369056</v>
      </c>
      <c r="U52" s="112">
        <f>L12</f>
        <v>0.6</v>
      </c>
    </row>
    <row r="53" spans="2:21" ht="16" customHeight="1" x14ac:dyDescent="0.2">
      <c r="B53" s="5" t="s">
        <v>45</v>
      </c>
      <c r="J53" s="30"/>
      <c r="K53" s="112">
        <v>0.54</v>
      </c>
      <c r="L53" s="112">
        <f>K53-($K$53-$U$53)/($U$44-$K$44)</f>
        <v>0.55100000000000005</v>
      </c>
      <c r="M53" s="112">
        <f t="shared" ref="M53:T53" si="26">L53-($K$53-$U$53)/($U$44-$K$44)</f>
        <v>0.56200000000000006</v>
      </c>
      <c r="N53" s="112">
        <f t="shared" si="26"/>
        <v>0.57300000000000006</v>
      </c>
      <c r="O53" s="112">
        <f t="shared" si="26"/>
        <v>0.58400000000000007</v>
      </c>
      <c r="P53" s="112">
        <f t="shared" si="26"/>
        <v>0.59500000000000008</v>
      </c>
      <c r="Q53" s="112">
        <f t="shared" si="26"/>
        <v>0.60600000000000009</v>
      </c>
      <c r="R53" s="112">
        <f t="shared" si="26"/>
        <v>0.6170000000000001</v>
      </c>
      <c r="S53" s="112">
        <f t="shared" si="26"/>
        <v>0.62800000000000011</v>
      </c>
      <c r="T53" s="112">
        <f t="shared" si="26"/>
        <v>0.63900000000000012</v>
      </c>
      <c r="U53" s="112">
        <f>P12</f>
        <v>0.65</v>
      </c>
    </row>
    <row r="54" spans="2:21" ht="16" customHeight="1" x14ac:dyDescent="0.2">
      <c r="B54" s="5" t="s">
        <v>156</v>
      </c>
      <c r="J54" s="30"/>
      <c r="K54" s="112"/>
      <c r="L54" s="112"/>
      <c r="M54" s="112"/>
      <c r="N54" s="112"/>
      <c r="O54" s="112"/>
      <c r="P54" s="112"/>
      <c r="Q54" s="112"/>
      <c r="R54" s="112"/>
      <c r="S54" s="112"/>
      <c r="T54" s="112"/>
      <c r="U54" s="112"/>
    </row>
    <row r="55" spans="2:21" ht="16" customHeight="1" x14ac:dyDescent="0.2">
      <c r="J55" s="30"/>
    </row>
    <row r="56" spans="2:21" ht="16" customHeight="1" x14ac:dyDescent="0.2">
      <c r="B56" s="5" t="s">
        <v>27</v>
      </c>
      <c r="E56" s="78">
        <v>132.4</v>
      </c>
      <c r="F56" s="78">
        <v>743.1</v>
      </c>
      <c r="G56" s="78">
        <v>249.4</v>
      </c>
      <c r="H56" s="79">
        <f>'Financials + KPIs'!P28</f>
        <v>-47.951999999999998</v>
      </c>
      <c r="I56" s="79">
        <f>'Financials + KPIs'!Q28</f>
        <v>365.01400000000001</v>
      </c>
      <c r="J56" s="80">
        <f>'Financials + KPIs'!R28</f>
        <v>1184.4010000000001</v>
      </c>
      <c r="K56" s="79">
        <f t="shared" ref="K56:U56" ca="1" si="27">K49*K57</f>
        <v>743.66580860219653</v>
      </c>
      <c r="L56" s="79">
        <f t="shared" ca="1" si="27"/>
        <v>960.6605953773867</v>
      </c>
      <c r="M56" s="79">
        <f t="shared" ca="1" si="27"/>
        <v>1151.1687266116239</v>
      </c>
      <c r="N56" s="79">
        <f t="shared" ca="1" si="27"/>
        <v>1356.0674401899605</v>
      </c>
      <c r="O56" s="79">
        <f t="shared" ca="1" si="27"/>
        <v>1559.9147650997122</v>
      </c>
      <c r="P56" s="79">
        <f t="shared" ca="1" si="27"/>
        <v>1772.3293574272841</v>
      </c>
      <c r="Q56" s="79">
        <f t="shared" ca="1" si="27"/>
        <v>1986.8351408848503</v>
      </c>
      <c r="R56" s="79">
        <f t="shared" ca="1" si="27"/>
        <v>2197.5792372583805</v>
      </c>
      <c r="S56" s="79">
        <f t="shared" ca="1" si="27"/>
        <v>2398.8411438199496</v>
      </c>
      <c r="T56" s="79">
        <f t="shared" ca="1" si="27"/>
        <v>2585.6763978460212</v>
      </c>
      <c r="U56" s="79">
        <f t="shared" ca="1" si="27"/>
        <v>2817.4365683803012</v>
      </c>
    </row>
    <row r="57" spans="2:21" s="27" customFormat="1" ht="16" customHeight="1" x14ac:dyDescent="0.2">
      <c r="B57" s="27" t="s">
        <v>52</v>
      </c>
      <c r="E57" s="81">
        <f t="shared" ref="E57:J57" si="28">E56/E49</f>
        <v>5.2244088802324E-2</v>
      </c>
      <c r="F57" s="81">
        <f t="shared" si="28"/>
        <v>0.17219026433325804</v>
      </c>
      <c r="G57" s="81">
        <f t="shared" si="28"/>
        <v>6.7828305725617377E-2</v>
      </c>
      <c r="H57" s="81">
        <f t="shared" si="28"/>
        <v>-1.1935296713537198E-2</v>
      </c>
      <c r="I57" s="81">
        <f t="shared" si="28"/>
        <v>0.13112679942177097</v>
      </c>
      <c r="J57" s="82">
        <f t="shared" si="28"/>
        <v>8.6090269394571636E-2</v>
      </c>
      <c r="K57" s="81">
        <f>L13</f>
        <v>0.15</v>
      </c>
      <c r="L57" s="37">
        <f>K57</f>
        <v>0.15</v>
      </c>
      <c r="M57" s="37">
        <f t="shared" ref="M57:U57" si="29">L57</f>
        <v>0.15</v>
      </c>
      <c r="N57" s="37">
        <f t="shared" si="29"/>
        <v>0.15</v>
      </c>
      <c r="O57" s="37">
        <f t="shared" si="29"/>
        <v>0.15</v>
      </c>
      <c r="P57" s="37">
        <f t="shared" si="29"/>
        <v>0.15</v>
      </c>
      <c r="Q57" s="37">
        <f t="shared" si="29"/>
        <v>0.15</v>
      </c>
      <c r="R57" s="37">
        <f t="shared" si="29"/>
        <v>0.15</v>
      </c>
      <c r="S57" s="37">
        <f t="shared" si="29"/>
        <v>0.15</v>
      </c>
      <c r="T57" s="37">
        <f t="shared" si="29"/>
        <v>0.15</v>
      </c>
      <c r="U57" s="37">
        <f t="shared" si="29"/>
        <v>0.15</v>
      </c>
    </row>
    <row r="58" spans="2:21" ht="16" customHeight="1" x14ac:dyDescent="0.2">
      <c r="E58" s="78"/>
      <c r="F58" s="78"/>
      <c r="G58" s="78"/>
      <c r="H58" s="78"/>
      <c r="I58" s="78"/>
      <c r="J58" s="83"/>
      <c r="K58" s="78"/>
      <c r="L58" s="78"/>
      <c r="M58" s="78"/>
      <c r="N58" s="78"/>
      <c r="O58" s="78"/>
      <c r="P58" s="78"/>
      <c r="Q58" s="78"/>
      <c r="R58" s="78"/>
      <c r="S58" s="78"/>
      <c r="T58" s="78"/>
      <c r="U58" s="78"/>
    </row>
    <row r="59" spans="2:21" ht="16" customHeight="1" x14ac:dyDescent="0.2">
      <c r="B59" s="38" t="s">
        <v>53</v>
      </c>
      <c r="C59" s="38"/>
      <c r="D59" s="38"/>
      <c r="E59" s="84">
        <f t="shared" ref="E59:J59" si="30">E49-E56</f>
        <v>2401.8579999999997</v>
      </c>
      <c r="F59" s="84">
        <f t="shared" si="30"/>
        <v>3572.4749999999999</v>
      </c>
      <c r="G59" s="84">
        <f t="shared" si="30"/>
        <v>3427.5309999999995</v>
      </c>
      <c r="H59" s="84">
        <f t="shared" si="30"/>
        <v>4065.6149999999998</v>
      </c>
      <c r="I59" s="84">
        <f t="shared" si="30"/>
        <v>2418.6579999999999</v>
      </c>
      <c r="J59" s="85">
        <f t="shared" si="30"/>
        <v>12573.263000000001</v>
      </c>
      <c r="K59" s="84">
        <f ca="1">K49-K56</f>
        <v>4214.1062487457812</v>
      </c>
      <c r="L59" s="84">
        <f t="shared" ref="L59:U59" ca="1" si="31">L49-L56</f>
        <v>5443.7433738051914</v>
      </c>
      <c r="M59" s="84">
        <f t="shared" ca="1" si="31"/>
        <v>6523.2894507992023</v>
      </c>
      <c r="N59" s="84">
        <f t="shared" ca="1" si="31"/>
        <v>7684.3821610764435</v>
      </c>
      <c r="O59" s="84">
        <f ca="1">O49-O56</f>
        <v>8839.5170022317016</v>
      </c>
      <c r="P59" s="84">
        <f t="shared" ca="1" si="31"/>
        <v>10043.199692087943</v>
      </c>
      <c r="Q59" s="84">
        <f t="shared" ca="1" si="31"/>
        <v>11258.732465014153</v>
      </c>
      <c r="R59" s="84">
        <f t="shared" ca="1" si="31"/>
        <v>12452.949011130824</v>
      </c>
      <c r="S59" s="84">
        <f t="shared" ca="1" si="31"/>
        <v>13593.433148313048</v>
      </c>
      <c r="T59" s="84">
        <f t="shared" ca="1" si="31"/>
        <v>14652.166254460786</v>
      </c>
      <c r="U59" s="84">
        <f t="shared" ca="1" si="31"/>
        <v>15965.473887488373</v>
      </c>
    </row>
    <row r="60" spans="2:21" ht="16" customHeight="1" x14ac:dyDescent="0.2">
      <c r="E60" s="78"/>
      <c r="F60" s="78"/>
      <c r="G60" s="78"/>
      <c r="H60" s="78"/>
      <c r="I60" s="78"/>
      <c r="J60" s="83"/>
      <c r="K60" s="78"/>
      <c r="L60" s="78"/>
      <c r="M60" s="78"/>
      <c r="N60" s="78"/>
      <c r="O60" s="78"/>
      <c r="P60" s="78"/>
      <c r="Q60" s="78"/>
      <c r="R60" s="78"/>
      <c r="S60" s="78"/>
      <c r="T60" s="78"/>
      <c r="U60" s="78"/>
    </row>
    <row r="61" spans="2:21" ht="16" customHeight="1" x14ac:dyDescent="0.2">
      <c r="B61" s="5" t="s">
        <v>54</v>
      </c>
      <c r="E61" s="79">
        <v>21.8</v>
      </c>
      <c r="F61" s="79">
        <v>24.3</v>
      </c>
      <c r="G61" s="79">
        <v>18.399999999999999</v>
      </c>
      <c r="H61" s="79">
        <v>60.3</v>
      </c>
      <c r="I61" s="79">
        <v>111.7</v>
      </c>
      <c r="J61" s="80">
        <v>64.3</v>
      </c>
      <c r="K61" s="79">
        <f ca="1">K46*K62</f>
        <v>62.630653688546374</v>
      </c>
      <c r="L61" s="79">
        <f t="shared" ref="L61:U61" ca="1" si="32">L46*L62</f>
        <v>86.057992192643781</v>
      </c>
      <c r="M61" s="79">
        <f t="shared" ca="1" si="32"/>
        <v>110.42910900858836</v>
      </c>
      <c r="N61" s="79">
        <f t="shared" ca="1" si="32"/>
        <v>140.4944351932516</v>
      </c>
      <c r="O61" s="79">
        <f t="shared" ca="1" si="32"/>
        <v>160.06669460277232</v>
      </c>
      <c r="P61" s="79">
        <f t="shared" ca="1" si="32"/>
        <v>144.84703550360135</v>
      </c>
      <c r="Q61" s="79">
        <f t="shared" ca="1" si="32"/>
        <v>175.73739155034389</v>
      </c>
      <c r="R61" s="79">
        <f t="shared" ca="1" si="32"/>
        <v>195.77880300574299</v>
      </c>
      <c r="S61" s="79">
        <f t="shared" ca="1" si="32"/>
        <v>213.53025271537609</v>
      </c>
      <c r="T61" s="79">
        <f t="shared" ca="1" si="32"/>
        <v>227.46071500330501</v>
      </c>
      <c r="U61" s="79">
        <f t="shared" ca="1" si="32"/>
        <v>241.18537157088087</v>
      </c>
    </row>
    <row r="62" spans="2:21" s="27" customFormat="1" ht="16" customHeight="1" x14ac:dyDescent="0.2">
      <c r="B62" s="27" t="s">
        <v>51</v>
      </c>
      <c r="E62" s="81">
        <f t="shared" ref="E62:J62" si="33">E61/E46</f>
        <v>3.4265194688391852E-3</v>
      </c>
      <c r="F62" s="81">
        <f t="shared" si="33"/>
        <v>3.4009725661877546E-3</v>
      </c>
      <c r="G62" s="81">
        <f t="shared" si="33"/>
        <v>3.2755268124121818E-3</v>
      </c>
      <c r="H62" s="81">
        <f t="shared" si="33"/>
        <v>8.2171956060488362E-3</v>
      </c>
      <c r="I62" s="81">
        <f t="shared" si="33"/>
        <v>1.8305692611530752E-2</v>
      </c>
      <c r="J62" s="82">
        <f t="shared" si="33"/>
        <v>2.8480125124750034E-3</v>
      </c>
      <c r="K62" s="81">
        <f>AVERAGE(E62:J62)</f>
        <v>6.5789865962489523E-3</v>
      </c>
      <c r="L62" s="81">
        <f t="shared" ref="L62:U62" si="34">AVERAGE(F62:K62)</f>
        <v>7.1043977841505805E-3</v>
      </c>
      <c r="M62" s="81">
        <f t="shared" si="34"/>
        <v>7.7216353204777183E-3</v>
      </c>
      <c r="N62" s="81">
        <f t="shared" si="34"/>
        <v>8.4626534051553074E-3</v>
      </c>
      <c r="O62" s="81">
        <f t="shared" si="34"/>
        <v>8.503563038339719E-3</v>
      </c>
      <c r="P62" s="81">
        <f t="shared" si="34"/>
        <v>6.8698747761412127E-3</v>
      </c>
      <c r="Q62" s="81">
        <f t="shared" si="34"/>
        <v>7.5401851534189143E-3</v>
      </c>
      <c r="R62" s="81">
        <f t="shared" si="34"/>
        <v>7.7003849129472423E-3</v>
      </c>
      <c r="S62" s="81">
        <f t="shared" si="34"/>
        <v>7.7997161010800184E-3</v>
      </c>
      <c r="T62" s="81">
        <f t="shared" si="34"/>
        <v>7.8127295645137353E-3</v>
      </c>
      <c r="U62" s="81">
        <f t="shared" si="34"/>
        <v>7.7044089244068066E-3</v>
      </c>
    </row>
    <row r="63" spans="2:21" s="27" customFormat="1" ht="16" customHeight="1" x14ac:dyDescent="0.2">
      <c r="B63" s="27" t="s">
        <v>55</v>
      </c>
      <c r="E63" s="81">
        <f>E61/E65</f>
        <v>0.18973020017406439</v>
      </c>
      <c r="F63" s="81">
        <f t="shared" ref="F63:U63" si="35">F61/F65</f>
        <v>0.33750000000000002</v>
      </c>
      <c r="G63" s="81">
        <f t="shared" si="35"/>
        <v>0.22195416164053072</v>
      </c>
      <c r="H63" s="81">
        <f t="shared" si="35"/>
        <v>0.61973278520041108</v>
      </c>
      <c r="I63" s="81">
        <f t="shared" si="35"/>
        <v>1.051789077212806</v>
      </c>
      <c r="J63" s="82">
        <f t="shared" si="35"/>
        <v>0.50590086546026747</v>
      </c>
      <c r="K63" s="81">
        <f t="shared" ca="1" si="35"/>
        <v>0.4984850737926263</v>
      </c>
      <c r="L63" s="81">
        <f t="shared" ca="1" si="35"/>
        <v>0.57350750726455513</v>
      </c>
      <c r="M63" s="81">
        <f t="shared" ca="1" si="35"/>
        <v>0.60454022683264907</v>
      </c>
      <c r="N63" s="81">
        <f t="shared" ca="1" si="35"/>
        <v>0.68017272040584775</v>
      </c>
      <c r="O63" s="81">
        <f t="shared" ca="1" si="35"/>
        <v>0.69102661836313428</v>
      </c>
      <c r="P63" s="81">
        <f t="shared" ca="1" si="35"/>
        <v>0.59967892917943122</v>
      </c>
      <c r="Q63" s="81">
        <f t="shared" ca="1" si="35"/>
        <v>0.60675938098310433</v>
      </c>
      <c r="R63" s="81">
        <f t="shared" ca="1" si="35"/>
        <v>0.62612491867525277</v>
      </c>
      <c r="S63" s="81">
        <f t="shared" ca="1" si="35"/>
        <v>0.63496873961184708</v>
      </c>
      <c r="T63" s="81">
        <f t="shared" ca="1" si="35"/>
        <v>0.64027732599884213</v>
      </c>
      <c r="U63" s="81">
        <f t="shared" ca="1" si="35"/>
        <v>0.63347513063209593</v>
      </c>
    </row>
    <row r="64" spans="2:21" ht="16" customHeight="1" x14ac:dyDescent="0.2">
      <c r="E64" s="79"/>
      <c r="F64" s="79"/>
      <c r="G64" s="79"/>
      <c r="H64" s="79"/>
      <c r="I64" s="79"/>
      <c r="J64" s="80"/>
      <c r="K64" s="79"/>
      <c r="L64" s="79"/>
      <c r="M64" s="79"/>
      <c r="N64" s="79"/>
      <c r="O64" s="79"/>
      <c r="P64" s="79"/>
      <c r="Q64" s="79"/>
      <c r="R64" s="79"/>
      <c r="S64" s="79"/>
      <c r="T64" s="79"/>
      <c r="U64" s="79"/>
    </row>
    <row r="65" spans="2:21" ht="16" customHeight="1" x14ac:dyDescent="0.2">
      <c r="B65" s="5" t="s">
        <v>56</v>
      </c>
      <c r="E65" s="79">
        <v>114.9</v>
      </c>
      <c r="F65" s="79">
        <v>72</v>
      </c>
      <c r="G65" s="79">
        <v>82.9</v>
      </c>
      <c r="H65" s="79">
        <v>97.3</v>
      </c>
      <c r="I65" s="79">
        <v>106.2</v>
      </c>
      <c r="J65" s="80">
        <v>127.1</v>
      </c>
      <c r="K65" s="79">
        <f t="shared" ref="K65:U65" ca="1" si="36">K46*K66</f>
        <v>125.64198404584772</v>
      </c>
      <c r="L65" s="79">
        <f t="shared" ca="1" si="36"/>
        <v>150.05556353239822</v>
      </c>
      <c r="M65" s="79">
        <f t="shared" ca="1" si="36"/>
        <v>182.66627117132722</v>
      </c>
      <c r="N65" s="79">
        <f t="shared" ca="1" si="36"/>
        <v>206.55699791873587</v>
      </c>
      <c r="O65" s="79">
        <f t="shared" ca="1" si="36"/>
        <v>231.63607645379778</v>
      </c>
      <c r="P65" s="79">
        <f t="shared" ca="1" si="36"/>
        <v>241.54097877309502</v>
      </c>
      <c r="Q65" s="79">
        <f t="shared" ca="1" si="36"/>
        <v>289.63275568249918</v>
      </c>
      <c r="R65" s="79">
        <f t="shared" ca="1" si="36"/>
        <v>312.68329556339864</v>
      </c>
      <c r="S65" s="79">
        <f t="shared" ca="1" si="36"/>
        <v>336.28466945617822</v>
      </c>
      <c r="T65" s="79">
        <f t="shared" ca="1" si="36"/>
        <v>355.25342811173726</v>
      </c>
      <c r="U65" s="79">
        <f t="shared" ca="1" si="36"/>
        <v>380.7337650812284</v>
      </c>
    </row>
    <row r="66" spans="2:21" s="27" customFormat="1" ht="16" customHeight="1" x14ac:dyDescent="0.2">
      <c r="B66" s="27" t="s">
        <v>51</v>
      </c>
      <c r="E66" s="81">
        <f t="shared" ref="E66:J66" si="37">E65/E46</f>
        <v>1.8059958117872588E-2</v>
      </c>
      <c r="F66" s="81">
        <f t="shared" si="37"/>
        <v>1.0076955751667421E-2</v>
      </c>
      <c r="G66" s="81">
        <f t="shared" si="37"/>
        <v>1.4757672432009233E-2</v>
      </c>
      <c r="H66" s="81">
        <f t="shared" si="37"/>
        <v>1.3259255928168354E-2</v>
      </c>
      <c r="I66" s="81">
        <f t="shared" si="37"/>
        <v>1.7404338006665764E-2</v>
      </c>
      <c r="J66" s="82">
        <f t="shared" si="37"/>
        <v>5.6295861638502786E-3</v>
      </c>
      <c r="K66" s="81">
        <f>AVERAGE(E66:J66)</f>
        <v>1.3197961066705606E-2</v>
      </c>
      <c r="L66" s="81">
        <f t="shared" ref="L66:U66" si="38">AVERAGE(F66:K66)</f>
        <v>1.2387628224844441E-2</v>
      </c>
      <c r="M66" s="81">
        <f t="shared" si="38"/>
        <v>1.2772740303707279E-2</v>
      </c>
      <c r="N66" s="81">
        <f t="shared" si="38"/>
        <v>1.2441918282323619E-2</v>
      </c>
      <c r="O66" s="81">
        <f t="shared" si="38"/>
        <v>1.2305695341349497E-2</v>
      </c>
      <c r="P66" s="81">
        <f t="shared" si="38"/>
        <v>1.1455921563796788E-2</v>
      </c>
      <c r="Q66" s="81">
        <f t="shared" si="38"/>
        <v>1.242697746378787E-2</v>
      </c>
      <c r="R66" s="81">
        <f t="shared" si="38"/>
        <v>1.2298480196634915E-2</v>
      </c>
      <c r="S66" s="81">
        <f t="shared" si="38"/>
        <v>1.2283622191933326E-2</v>
      </c>
      <c r="T66" s="81">
        <f t="shared" si="38"/>
        <v>1.2202102506637669E-2</v>
      </c>
      <c r="U66" s="81">
        <f t="shared" si="38"/>
        <v>1.2162133210690011E-2</v>
      </c>
    </row>
    <row r="67" spans="2:21" ht="16" customHeight="1" x14ac:dyDescent="0.2">
      <c r="B67" s="27"/>
      <c r="E67" s="79"/>
      <c r="F67" s="79"/>
      <c r="G67" s="79"/>
      <c r="H67" s="79"/>
      <c r="I67" s="79"/>
      <c r="J67" s="80"/>
      <c r="K67" s="79"/>
      <c r="L67" s="79"/>
      <c r="M67" s="79"/>
      <c r="N67" s="79"/>
      <c r="O67" s="79"/>
      <c r="P67" s="79"/>
      <c r="Q67" s="79"/>
      <c r="R67" s="79"/>
      <c r="S67" s="79"/>
      <c r="T67" s="79"/>
      <c r="U67" s="79"/>
    </row>
    <row r="68" spans="2:21" ht="16" customHeight="1" x14ac:dyDescent="0.2">
      <c r="B68" s="5" t="s">
        <v>57</v>
      </c>
      <c r="E68" s="79">
        <v>1806.6999999999998</v>
      </c>
      <c r="F68" s="79">
        <v>-726.59999999999945</v>
      </c>
      <c r="G68" s="79">
        <v>-400.50000000000045</v>
      </c>
      <c r="H68" s="79">
        <v>729.79999999999927</v>
      </c>
      <c r="I68" s="79">
        <v>292.40000000000055</v>
      </c>
      <c r="J68" s="80">
        <v>852.20000000000073</v>
      </c>
      <c r="K68" s="79">
        <f ca="1">K46*K69</f>
        <v>-3236.7328831840009</v>
      </c>
      <c r="L68" s="79">
        <f t="shared" ref="L68:U68" ca="1" si="39">L46*L69</f>
        <v>1695.8677248969152</v>
      </c>
      <c r="M68" s="79">
        <f ca="1">M46*M69</f>
        <v>1430.125930911697</v>
      </c>
      <c r="N68" s="79">
        <f t="shared" ca="1" si="39"/>
        <v>1328.1360203896782</v>
      </c>
      <c r="O68" s="79">
        <f t="shared" ca="1" si="39"/>
        <v>1129.4091233127938</v>
      </c>
      <c r="P68" s="79">
        <f t="shared" ca="1" si="39"/>
        <v>843.37511365796092</v>
      </c>
      <c r="Q68" s="79">
        <f t="shared" ca="1" si="39"/>
        <v>932.27096138698937</v>
      </c>
      <c r="R68" s="79">
        <f t="shared" ca="1" si="39"/>
        <v>1016.9819052892548</v>
      </c>
      <c r="S68" s="79">
        <f t="shared" ca="1" si="39"/>
        <v>1095.0667944737568</v>
      </c>
      <c r="T68" s="79">
        <f t="shared" ca="1" si="39"/>
        <v>1164.5646409493361</v>
      </c>
      <c r="U68" s="79">
        <f t="shared" ca="1" si="39"/>
        <v>1252.194030391245</v>
      </c>
    </row>
    <row r="69" spans="2:21" s="27" customFormat="1" ht="16" customHeight="1" x14ac:dyDescent="0.2">
      <c r="B69" s="27" t="s">
        <v>51</v>
      </c>
      <c r="E69" s="81">
        <f t="shared" ref="E69:J69" si="40">E68/E46</f>
        <v>0.28397673047485117</v>
      </c>
      <c r="F69" s="81">
        <f t="shared" si="40"/>
        <v>-0.10169327846057698</v>
      </c>
      <c r="G69" s="81">
        <f t="shared" si="40"/>
        <v>-7.1296113498428279E-2</v>
      </c>
      <c r="H69" s="81">
        <f t="shared" si="40"/>
        <v>9.9451233056292457E-2</v>
      </c>
      <c r="I69" s="81">
        <f t="shared" si="40"/>
        <v>4.791928844773144E-2</v>
      </c>
      <c r="J69" s="82">
        <f t="shared" si="40"/>
        <v>3.7746131619458785E-2</v>
      </c>
      <c r="K69" s="81">
        <v>-0.34</v>
      </c>
      <c r="L69" s="81">
        <v>0.14000000000000001</v>
      </c>
      <c r="M69" s="81">
        <v>0.1</v>
      </c>
      <c r="N69" s="81">
        <v>0.08</v>
      </c>
      <c r="O69" s="81">
        <v>0.06</v>
      </c>
      <c r="P69" s="81">
        <v>0.04</v>
      </c>
      <c r="Q69" s="81">
        <v>0.04</v>
      </c>
      <c r="R69" s="81">
        <v>0.04</v>
      </c>
      <c r="S69" s="81">
        <v>0.04</v>
      </c>
      <c r="T69" s="81">
        <v>0.04</v>
      </c>
      <c r="U69" s="81">
        <v>0.04</v>
      </c>
    </row>
    <row r="70" spans="2:21" s="27" customFormat="1" ht="16" customHeight="1" x14ac:dyDescent="0.2">
      <c r="B70" s="27" t="s">
        <v>58</v>
      </c>
      <c r="E70" s="86"/>
      <c r="F70" s="81">
        <f t="shared" ref="F70:U70" si="41">F68/(F46-E46)</f>
        <v>-0.92811870109366101</v>
      </c>
      <c r="G70" s="81">
        <f t="shared" si="41"/>
        <v>0.26217630554635463</v>
      </c>
      <c r="H70" s="81">
        <f t="shared" si="41"/>
        <v>0.42409200553446391</v>
      </c>
      <c r="I70" s="81">
        <f t="shared" si="41"/>
        <v>-0.23650394752912449</v>
      </c>
      <c r="J70" s="82">
        <f t="shared" si="41"/>
        <v>5.1726165008651515E-2</v>
      </c>
      <c r="K70" s="81">
        <f t="shared" ca="1" si="41"/>
        <v>0.24788598167810397</v>
      </c>
      <c r="L70" s="81">
        <f t="shared" ca="1" si="41"/>
        <v>0.65388189119075391</v>
      </c>
      <c r="M70" s="81">
        <f t="shared" ca="1" si="41"/>
        <v>0.65364682695763177</v>
      </c>
      <c r="N70" s="81">
        <f t="shared" ca="1" si="41"/>
        <v>0.57733975864108111</v>
      </c>
      <c r="O70" s="81">
        <f t="shared" ca="1" si="41"/>
        <v>0.5083340896445584</v>
      </c>
      <c r="P70" s="81">
        <f t="shared" ca="1" si="41"/>
        <v>0.37302752396526595</v>
      </c>
      <c r="Q70" s="81">
        <f t="shared" ca="1" si="41"/>
        <v>0.4194890921019076</v>
      </c>
      <c r="R70" s="81">
        <f t="shared" ca="1" si="41"/>
        <v>0.48021276044927064</v>
      </c>
      <c r="S70" s="81">
        <f t="shared" ca="1" si="41"/>
        <v>0.5609622071109257</v>
      </c>
      <c r="T70" s="81">
        <f t="shared" ca="1" si="41"/>
        <v>0.67027379984129454</v>
      </c>
      <c r="U70" s="81">
        <f t="shared" ca="1" si="41"/>
        <v>0.57158633119147662</v>
      </c>
    </row>
    <row r="71" spans="2:21" ht="16" customHeight="1" x14ac:dyDescent="0.2">
      <c r="B71" s="27"/>
      <c r="E71" s="79"/>
      <c r="F71" s="87"/>
      <c r="G71" s="87"/>
      <c r="H71" s="87"/>
      <c r="I71" s="87"/>
      <c r="J71" s="88"/>
      <c r="K71" s="87"/>
      <c r="L71" s="87"/>
      <c r="M71" s="87"/>
      <c r="N71" s="87"/>
      <c r="O71" s="87"/>
      <c r="P71" s="87"/>
      <c r="Q71" s="87"/>
      <c r="R71" s="87"/>
      <c r="S71" s="87"/>
      <c r="T71" s="87"/>
      <c r="U71" s="87"/>
    </row>
    <row r="72" spans="2:21" ht="16" customHeight="1" x14ac:dyDescent="0.2">
      <c r="B72" s="32" t="s">
        <v>59</v>
      </c>
      <c r="C72" s="32"/>
      <c r="D72" s="32"/>
      <c r="E72" s="89">
        <f t="shared" ref="E72:U72" si="42">E59+E61-E65-E68</f>
        <v>502.05799999999999</v>
      </c>
      <c r="F72" s="89">
        <f t="shared" si="42"/>
        <v>4251.375</v>
      </c>
      <c r="G72" s="89">
        <f t="shared" si="42"/>
        <v>3763.5309999999999</v>
      </c>
      <c r="H72" s="89">
        <f t="shared" si="42"/>
        <v>3298.8150000000005</v>
      </c>
      <c r="I72" s="89">
        <f t="shared" si="42"/>
        <v>2131.7579999999994</v>
      </c>
      <c r="J72" s="90">
        <f>J59+J61-J65-J68</f>
        <v>11658.262999999999</v>
      </c>
      <c r="K72" s="89">
        <f ca="1">K59+K61-K65-K68</f>
        <v>7387.8278015724809</v>
      </c>
      <c r="L72" s="89">
        <f t="shared" ca="1" si="42"/>
        <v>3683.8780775685218</v>
      </c>
      <c r="M72" s="89">
        <f t="shared" ca="1" si="42"/>
        <v>5020.9263577247666</v>
      </c>
      <c r="N72" s="89">
        <f t="shared" ca="1" si="42"/>
        <v>6290.1835779612811</v>
      </c>
      <c r="O72" s="89">
        <f ca="1">O59+O61-O65-O68</f>
        <v>7638.5384970678815</v>
      </c>
      <c r="P72" s="89">
        <f t="shared" ca="1" si="42"/>
        <v>9103.1306351604871</v>
      </c>
      <c r="Q72" s="89">
        <f t="shared" ca="1" si="42"/>
        <v>10212.566139495006</v>
      </c>
      <c r="R72" s="89">
        <f t="shared" ca="1" si="42"/>
        <v>11319.062613283915</v>
      </c>
      <c r="S72" s="89">
        <f t="shared" ca="1" si="42"/>
        <v>12375.611937098491</v>
      </c>
      <c r="T72" s="89">
        <f t="shared" ca="1" si="42"/>
        <v>13359.808900403017</v>
      </c>
      <c r="U72" s="89">
        <f t="shared" ca="1" si="42"/>
        <v>14573.731463586781</v>
      </c>
    </row>
    <row r="73" spans="2:21" ht="16" customHeight="1" x14ac:dyDescent="0.2">
      <c r="B73" s="27" t="s">
        <v>51</v>
      </c>
      <c r="E73" s="91">
        <f t="shared" ref="E73:U73" si="43">E72/E46</f>
        <v>7.8913372086535025E-2</v>
      </c>
      <c r="F73" s="91">
        <f t="shared" si="43"/>
        <v>0.5950127466492372</v>
      </c>
      <c r="G73" s="91">
        <f t="shared" si="43"/>
        <v>0.66997536412198</v>
      </c>
      <c r="H73" s="91">
        <f t="shared" si="43"/>
        <v>0.44953578977061354</v>
      </c>
      <c r="I73" s="91">
        <f t="shared" si="43"/>
        <v>0.34935816177414108</v>
      </c>
      <c r="J73" s="88">
        <f t="shared" si="43"/>
        <v>0.51637447741406484</v>
      </c>
      <c r="K73" s="91">
        <f t="shared" ca="1" si="43"/>
        <v>0.77604842388591078</v>
      </c>
      <c r="L73" s="91">
        <f t="shared" ca="1" si="43"/>
        <v>0.30411742808003672</v>
      </c>
      <c r="M73" s="91">
        <f t="shared" ca="1" si="43"/>
        <v>0.35108281370186439</v>
      </c>
      <c r="N73" s="91">
        <f t="shared" ca="1" si="43"/>
        <v>0.37888791397228894</v>
      </c>
      <c r="O73" s="91">
        <f t="shared" ca="1" si="43"/>
        <v>0.40579830671081069</v>
      </c>
      <c r="P73" s="91">
        <f t="shared" ca="1" si="43"/>
        <v>0.43174765239052815</v>
      </c>
      <c r="Q73" s="91">
        <f t="shared" ca="1" si="43"/>
        <v>0.43818016703217805</v>
      </c>
      <c r="R73" s="91">
        <f t="shared" ca="1" si="43"/>
        <v>0.44520212422322281</v>
      </c>
      <c r="S73" s="91">
        <f t="shared" ca="1" si="43"/>
        <v>0.45204957358042042</v>
      </c>
      <c r="T73" s="91">
        <f t="shared" ca="1" si="43"/>
        <v>0.45887736689351299</v>
      </c>
      <c r="U73" s="91">
        <f t="shared" ca="1" si="43"/>
        <v>0.46554227571371681</v>
      </c>
    </row>
    <row r="74" spans="2:21" ht="16" customHeight="1" x14ac:dyDescent="0.2">
      <c r="B74" s="27"/>
      <c r="E74" s="91"/>
      <c r="F74" s="91"/>
      <c r="G74" s="91"/>
      <c r="H74" s="91"/>
      <c r="I74" s="91"/>
      <c r="J74" s="88"/>
      <c r="K74" s="91"/>
      <c r="L74" s="91"/>
      <c r="M74" s="91"/>
      <c r="N74" s="91"/>
      <c r="O74" s="91"/>
      <c r="P74" s="91"/>
      <c r="Q74" s="91"/>
      <c r="R74" s="91"/>
      <c r="S74" s="91"/>
      <c r="T74" s="91"/>
      <c r="U74" s="91"/>
    </row>
    <row r="75" spans="2:21" ht="16" customHeight="1" x14ac:dyDescent="0.2">
      <c r="B75" s="5" t="s">
        <v>60</v>
      </c>
      <c r="E75" s="92">
        <f>E72*E77</f>
        <v>251.029</v>
      </c>
      <c r="F75" s="92">
        <f t="shared" ref="F75:J75" si="44">F72*F77</f>
        <v>2125.6875</v>
      </c>
      <c r="G75" s="92">
        <f t="shared" si="44"/>
        <v>1881.7655</v>
      </c>
      <c r="H75" s="92">
        <f t="shared" si="44"/>
        <v>1649.4075000000003</v>
      </c>
      <c r="I75" s="92">
        <f t="shared" si="44"/>
        <v>1065.8789999999997</v>
      </c>
      <c r="J75" s="93">
        <f t="shared" si="44"/>
        <v>5829.1314999999995</v>
      </c>
      <c r="K75" s="92">
        <f ca="1">K72*K77</f>
        <v>3693.9139007862404</v>
      </c>
      <c r="L75" s="92">
        <f t="shared" ref="L75:U75" ca="1" si="45">L72*L77</f>
        <v>1841.9390387842609</v>
      </c>
      <c r="M75" s="92">
        <f t="shared" ca="1" si="45"/>
        <v>2510.4631788623833</v>
      </c>
      <c r="N75" s="92">
        <f t="shared" ca="1" si="45"/>
        <v>3145.0917889806406</v>
      </c>
      <c r="O75" s="92">
        <f ca="1">O72*O77</f>
        <v>3819.2692485339408</v>
      </c>
      <c r="P75" s="92">
        <f t="shared" ca="1" si="45"/>
        <v>4551.5653175802436</v>
      </c>
      <c r="Q75" s="92">
        <f t="shared" ca="1" si="45"/>
        <v>5106.2830697475029</v>
      </c>
      <c r="R75" s="92">
        <f t="shared" ca="1" si="45"/>
        <v>5659.5313066419576</v>
      </c>
      <c r="S75" s="92">
        <f t="shared" ca="1" si="45"/>
        <v>6187.8059685492453</v>
      </c>
      <c r="T75" s="92">
        <f t="shared" ca="1" si="45"/>
        <v>6679.9044502015086</v>
      </c>
      <c r="U75" s="92">
        <f t="shared" ca="1" si="45"/>
        <v>7286.8657317933903</v>
      </c>
    </row>
    <row r="76" spans="2:21" s="27" customFormat="1" ht="16" customHeight="1" x14ac:dyDescent="0.2">
      <c r="B76" s="27" t="s">
        <v>51</v>
      </c>
      <c r="E76" s="94">
        <f t="shared" ref="E76:J76" si="46">E75/E46</f>
        <v>3.9456686043267512E-2</v>
      </c>
      <c r="F76" s="94">
        <f t="shared" si="46"/>
        <v>0.2975063733246186</v>
      </c>
      <c r="G76" s="94">
        <f t="shared" si="46"/>
        <v>0.33498768206099</v>
      </c>
      <c r="H76" s="94">
        <f t="shared" si="46"/>
        <v>0.22476789488530677</v>
      </c>
      <c r="I76" s="94">
        <f t="shared" si="46"/>
        <v>0.17467908088707054</v>
      </c>
      <c r="J76" s="82">
        <f t="shared" si="46"/>
        <v>0.25818723870703242</v>
      </c>
      <c r="K76" s="94">
        <f ca="1">K75/K46</f>
        <v>0.38802421194295539</v>
      </c>
      <c r="L76" s="94">
        <f t="shared" ref="L76:U76" ca="1" si="47">L75/L46</f>
        <v>0.15205871404001836</v>
      </c>
      <c r="M76" s="94">
        <f t="shared" ca="1" si="47"/>
        <v>0.1755414068509322</v>
      </c>
      <c r="N76" s="94">
        <f t="shared" ca="1" si="47"/>
        <v>0.18944395698614447</v>
      </c>
      <c r="O76" s="94">
        <f t="shared" ca="1" si="47"/>
        <v>0.20289915335540534</v>
      </c>
      <c r="P76" s="94">
        <f t="shared" ca="1" si="47"/>
        <v>0.21587382619526407</v>
      </c>
      <c r="Q76" s="94">
        <f t="shared" ca="1" si="47"/>
        <v>0.21909008351608902</v>
      </c>
      <c r="R76" s="94">
        <f t="shared" ca="1" si="47"/>
        <v>0.2226010621116114</v>
      </c>
      <c r="S76" s="94">
        <f t="shared" ca="1" si="47"/>
        <v>0.22602478679021021</v>
      </c>
      <c r="T76" s="94">
        <f t="shared" ca="1" si="47"/>
        <v>0.2294386834467565</v>
      </c>
      <c r="U76" s="94">
        <f t="shared" ca="1" si="47"/>
        <v>0.23277113785685841</v>
      </c>
    </row>
    <row r="77" spans="2:21" s="27" customFormat="1" ht="16" customHeight="1" x14ac:dyDescent="0.2">
      <c r="B77" s="27" t="s">
        <v>61</v>
      </c>
      <c r="E77" s="94">
        <v>0.5</v>
      </c>
      <c r="F77" s="94">
        <v>0.5</v>
      </c>
      <c r="G77" s="94">
        <v>0.5</v>
      </c>
      <c r="H77" s="94">
        <v>0.5</v>
      </c>
      <c r="I77" s="94">
        <v>0.5</v>
      </c>
      <c r="J77" s="82">
        <v>0.5</v>
      </c>
      <c r="K77" s="94">
        <f>L14</f>
        <v>0.5</v>
      </c>
      <c r="L77" s="94">
        <f>K77</f>
        <v>0.5</v>
      </c>
      <c r="M77" s="94">
        <f t="shared" ref="M77:U77" si="48">L77</f>
        <v>0.5</v>
      </c>
      <c r="N77" s="94">
        <f t="shared" si="48"/>
        <v>0.5</v>
      </c>
      <c r="O77" s="94">
        <f t="shared" si="48"/>
        <v>0.5</v>
      </c>
      <c r="P77" s="94">
        <f t="shared" si="48"/>
        <v>0.5</v>
      </c>
      <c r="Q77" s="94">
        <f t="shared" si="48"/>
        <v>0.5</v>
      </c>
      <c r="R77" s="94">
        <f t="shared" si="48"/>
        <v>0.5</v>
      </c>
      <c r="S77" s="94">
        <f t="shared" si="48"/>
        <v>0.5</v>
      </c>
      <c r="T77" s="94">
        <f t="shared" si="48"/>
        <v>0.5</v>
      </c>
      <c r="U77" s="94">
        <f t="shared" si="48"/>
        <v>0.5</v>
      </c>
    </row>
    <row r="78" spans="2:21" ht="16" customHeight="1" x14ac:dyDescent="0.2">
      <c r="B78" s="27"/>
      <c r="E78" s="79"/>
      <c r="F78" s="91"/>
      <c r="G78" s="91"/>
      <c r="H78" s="91"/>
      <c r="I78" s="91"/>
      <c r="J78" s="88"/>
      <c r="K78" s="91"/>
      <c r="L78" s="91"/>
      <c r="M78" s="91"/>
      <c r="N78" s="91"/>
      <c r="O78" s="91"/>
      <c r="P78" s="91"/>
      <c r="Q78" s="91"/>
      <c r="R78" s="91"/>
      <c r="S78" s="91"/>
      <c r="T78" s="91"/>
      <c r="U78" s="91"/>
    </row>
    <row r="79" spans="2:21" ht="16" customHeight="1" x14ac:dyDescent="0.2">
      <c r="B79" s="32" t="s">
        <v>62</v>
      </c>
      <c r="C79" s="32"/>
      <c r="D79" s="32"/>
      <c r="E79" s="89">
        <f>E72-E75</f>
        <v>251.029</v>
      </c>
      <c r="F79" s="89">
        <f t="shared" ref="F79:U79" si="49">F72-F75</f>
        <v>2125.6875</v>
      </c>
      <c r="G79" s="89">
        <f>G72-G75</f>
        <v>1881.7655</v>
      </c>
      <c r="H79" s="89">
        <f t="shared" si="49"/>
        <v>1649.4075000000003</v>
      </c>
      <c r="I79" s="89">
        <f t="shared" si="49"/>
        <v>1065.8789999999997</v>
      </c>
      <c r="J79" s="90">
        <f t="shared" si="49"/>
        <v>5829.1314999999995</v>
      </c>
      <c r="K79" s="89">
        <f t="shared" ca="1" si="49"/>
        <v>3693.9139007862404</v>
      </c>
      <c r="L79" s="89">
        <f t="shared" ca="1" si="49"/>
        <v>1841.9390387842609</v>
      </c>
      <c r="M79" s="89">
        <f t="shared" ca="1" si="49"/>
        <v>2510.4631788623833</v>
      </c>
      <c r="N79" s="89">
        <f t="shared" ca="1" si="49"/>
        <v>3145.0917889806406</v>
      </c>
      <c r="O79" s="89">
        <f t="shared" ca="1" si="49"/>
        <v>3819.2692485339408</v>
      </c>
      <c r="P79" s="89">
        <f t="shared" ca="1" si="49"/>
        <v>4551.5653175802436</v>
      </c>
      <c r="Q79" s="89">
        <f t="shared" ca="1" si="49"/>
        <v>5106.2830697475029</v>
      </c>
      <c r="R79" s="89">
        <f t="shared" ca="1" si="49"/>
        <v>5659.5313066419576</v>
      </c>
      <c r="S79" s="89">
        <f t="shared" ca="1" si="49"/>
        <v>6187.8059685492453</v>
      </c>
      <c r="T79" s="89">
        <f t="shared" ca="1" si="49"/>
        <v>6679.9044502015086</v>
      </c>
      <c r="U79" s="89">
        <f t="shared" ca="1" si="49"/>
        <v>7286.8657317933903</v>
      </c>
    </row>
    <row r="80" spans="2:21" s="27" customFormat="1" ht="16" customHeight="1" x14ac:dyDescent="0.2">
      <c r="B80" s="27" t="s">
        <v>51</v>
      </c>
      <c r="E80" s="94">
        <f>E79/E46</f>
        <v>3.9456686043267512E-2</v>
      </c>
      <c r="F80" s="94">
        <f t="shared" ref="F80:U80" si="50">F79/F46</f>
        <v>0.2975063733246186</v>
      </c>
      <c r="G80" s="94">
        <f t="shared" si="50"/>
        <v>0.33498768206099</v>
      </c>
      <c r="H80" s="94">
        <f t="shared" si="50"/>
        <v>0.22476789488530677</v>
      </c>
      <c r="I80" s="94">
        <f t="shared" si="50"/>
        <v>0.17467908088707054</v>
      </c>
      <c r="J80" s="82">
        <f t="shared" si="50"/>
        <v>0.25818723870703242</v>
      </c>
      <c r="K80" s="94">
        <f t="shared" ca="1" si="50"/>
        <v>0.38802421194295539</v>
      </c>
      <c r="L80" s="94">
        <f t="shared" ca="1" si="50"/>
        <v>0.15205871404001836</v>
      </c>
      <c r="M80" s="94">
        <f t="shared" ca="1" si="50"/>
        <v>0.1755414068509322</v>
      </c>
      <c r="N80" s="94">
        <f t="shared" ca="1" si="50"/>
        <v>0.18944395698614447</v>
      </c>
      <c r="O80" s="94">
        <f t="shared" ca="1" si="50"/>
        <v>0.20289915335540534</v>
      </c>
      <c r="P80" s="94">
        <f t="shared" ca="1" si="50"/>
        <v>0.21587382619526407</v>
      </c>
      <c r="Q80" s="94">
        <f t="shared" ca="1" si="50"/>
        <v>0.21909008351608902</v>
      </c>
      <c r="R80" s="94">
        <f t="shared" ca="1" si="50"/>
        <v>0.2226010621116114</v>
      </c>
      <c r="S80" s="94">
        <f t="shared" ca="1" si="50"/>
        <v>0.22602478679021021</v>
      </c>
      <c r="T80" s="94">
        <f t="shared" ca="1" si="50"/>
        <v>0.2294386834467565</v>
      </c>
      <c r="U80" s="94">
        <f t="shared" ca="1" si="50"/>
        <v>0.23277113785685841</v>
      </c>
    </row>
    <row r="81" spans="1:21" ht="16" customHeight="1" x14ac:dyDescent="0.2">
      <c r="E81" s="26"/>
      <c r="F81" s="43"/>
      <c r="G81" s="43"/>
      <c r="H81" s="43"/>
      <c r="I81" s="43"/>
      <c r="J81" s="42"/>
      <c r="K81" s="44"/>
      <c r="L81" s="44"/>
      <c r="M81" s="44"/>
      <c r="N81" s="44"/>
      <c r="O81" s="44"/>
      <c r="P81" s="44"/>
      <c r="Q81" s="44"/>
      <c r="R81" s="44"/>
      <c r="S81" s="44"/>
      <c r="T81" s="44"/>
      <c r="U81" s="44"/>
    </row>
    <row r="82" spans="1:21" ht="16" customHeight="1" x14ac:dyDescent="0.2">
      <c r="J82" s="30"/>
      <c r="K82" s="45">
        <v>0.25</v>
      </c>
      <c r="L82" s="45">
        <v>0.75</v>
      </c>
      <c r="U82"/>
    </row>
    <row r="83" spans="1:21" ht="16" customHeight="1" x14ac:dyDescent="0.2">
      <c r="A83" s="5" t="s">
        <v>12</v>
      </c>
      <c r="B83" s="12" t="s">
        <v>63</v>
      </c>
      <c r="C83" s="12"/>
      <c r="D83" s="12"/>
      <c r="E83" s="46"/>
      <c r="F83" s="46"/>
      <c r="G83" s="46"/>
      <c r="H83" s="46"/>
      <c r="I83" s="46"/>
      <c r="J83" s="46"/>
      <c r="K83" s="46">
        <v>1</v>
      </c>
      <c r="L83" s="46">
        <f>K83+1</f>
        <v>2</v>
      </c>
      <c r="M83" s="46">
        <f t="shared" ref="M83:T83" si="51">L83+1</f>
        <v>3</v>
      </c>
      <c r="N83" s="46">
        <f t="shared" si="51"/>
        <v>4</v>
      </c>
      <c r="O83" s="46">
        <f t="shared" si="51"/>
        <v>5</v>
      </c>
      <c r="P83" s="46">
        <f t="shared" si="51"/>
        <v>6</v>
      </c>
      <c r="Q83" s="46">
        <f t="shared" si="51"/>
        <v>7</v>
      </c>
      <c r="R83" s="46">
        <f t="shared" si="51"/>
        <v>8</v>
      </c>
      <c r="S83" s="46">
        <f t="shared" si="51"/>
        <v>9</v>
      </c>
      <c r="T83" s="46">
        <f t="shared" si="51"/>
        <v>10</v>
      </c>
      <c r="U83" s="46"/>
    </row>
    <row r="84" spans="1:21" s="47" customFormat="1" ht="16" customHeight="1" x14ac:dyDescent="0.2">
      <c r="B84" s="12" t="s">
        <v>42</v>
      </c>
      <c r="C84" s="12"/>
      <c r="D84" s="12"/>
      <c r="E84" s="46"/>
      <c r="F84" s="46"/>
      <c r="G84" s="46"/>
      <c r="H84" s="46"/>
      <c r="I84" s="46"/>
      <c r="J84" s="46"/>
      <c r="K84" s="25">
        <v>45192</v>
      </c>
      <c r="L84" s="25">
        <f>EDATE(K84,12)</f>
        <v>45558</v>
      </c>
      <c r="M84" s="25">
        <f t="shared" ref="M84:T84" si="52">EDATE(L84,12)</f>
        <v>45923</v>
      </c>
      <c r="N84" s="25">
        <f t="shared" si="52"/>
        <v>46288</v>
      </c>
      <c r="O84" s="25">
        <f t="shared" si="52"/>
        <v>46653</v>
      </c>
      <c r="P84" s="25">
        <f t="shared" si="52"/>
        <v>47019</v>
      </c>
      <c r="Q84" s="25">
        <f t="shared" si="52"/>
        <v>47384</v>
      </c>
      <c r="R84" s="25">
        <f t="shared" si="52"/>
        <v>47749</v>
      </c>
      <c r="S84" s="25">
        <f t="shared" si="52"/>
        <v>48114</v>
      </c>
      <c r="T84" s="25">
        <f t="shared" si="52"/>
        <v>48480</v>
      </c>
      <c r="U84" s="46"/>
    </row>
    <row r="85" spans="1:21" ht="16" customHeight="1" x14ac:dyDescent="0.2">
      <c r="B85" s="5" t="s">
        <v>64</v>
      </c>
      <c r="E85" s="41"/>
      <c r="F85" s="41"/>
      <c r="G85" s="41"/>
      <c r="H85" s="41"/>
      <c r="I85" s="41"/>
      <c r="J85" s="42"/>
      <c r="K85" s="48">
        <f ca="1">$K$82*K79+$L$82*L79</f>
        <v>2304.9327542847559</v>
      </c>
      <c r="L85" s="48">
        <f t="shared" ref="L85:S85" ca="1" si="53">$K$82*L79+$L$82*M79</f>
        <v>2343.3321438428529</v>
      </c>
      <c r="M85" s="48">
        <f t="shared" ca="1" si="53"/>
        <v>2986.4346364510761</v>
      </c>
      <c r="N85" s="48">
        <f t="shared" ca="1" si="53"/>
        <v>3650.7248836456156</v>
      </c>
      <c r="O85" s="48">
        <f t="shared" ca="1" si="53"/>
        <v>4368.4913003186675</v>
      </c>
      <c r="P85" s="48">
        <f t="shared" ca="1" si="53"/>
        <v>4967.6036317056878</v>
      </c>
      <c r="Q85" s="48">
        <f t="shared" ca="1" si="53"/>
        <v>5521.2192474183439</v>
      </c>
      <c r="R85" s="48">
        <f t="shared" ca="1" si="53"/>
        <v>6055.7373030724239</v>
      </c>
      <c r="S85" s="48">
        <f t="shared" ca="1" si="53"/>
        <v>6556.8798297884423</v>
      </c>
      <c r="T85" s="48">
        <f ca="1">$K$82*T79+$L$82*U79</f>
        <v>7135.1254113954201</v>
      </c>
      <c r="U85"/>
    </row>
    <row r="86" spans="1:21" s="27" customFormat="1" ht="16" customHeight="1" x14ac:dyDescent="0.2">
      <c r="B86" s="27" t="s">
        <v>44</v>
      </c>
      <c r="J86" s="49"/>
      <c r="L86" s="28">
        <f ca="1">L85/K85-1</f>
        <v>1.6659657201154587E-2</v>
      </c>
      <c r="M86" s="28">
        <f t="shared" ref="M86:T86" ca="1" si="54">M85/L85-1</f>
        <v>0.27443932534190107</v>
      </c>
      <c r="N86" s="28">
        <f t="shared" ca="1" si="54"/>
        <v>0.22243589030428179</v>
      </c>
      <c r="O86" s="28">
        <f t="shared" ca="1" si="54"/>
        <v>0.19660928707295255</v>
      </c>
      <c r="P86" s="28">
        <f t="shared" ca="1" si="54"/>
        <v>0.13714399095708796</v>
      </c>
      <c r="Q86" s="28">
        <f t="shared" ca="1" si="54"/>
        <v>0.11144520713754402</v>
      </c>
      <c r="R86" s="28">
        <f t="shared" ca="1" si="54"/>
        <v>9.681159752966062E-2</v>
      </c>
      <c r="S86" s="28">
        <f t="shared" ca="1" si="54"/>
        <v>8.2754997721212309E-2</v>
      </c>
      <c r="T86" s="28">
        <f t="shared" ca="1" si="54"/>
        <v>8.8189138220889918E-2</v>
      </c>
    </row>
    <row r="87" spans="1:21" ht="16" customHeight="1" x14ac:dyDescent="0.2">
      <c r="B87" s="5" t="s">
        <v>65</v>
      </c>
      <c r="J87" s="30"/>
      <c r="T87" s="26">
        <f ca="1">T85*(1+D22)/(T90-D22)</f>
        <v>119710.09765272916</v>
      </c>
    </row>
    <row r="88" spans="1:21" ht="16" customHeight="1" x14ac:dyDescent="0.2">
      <c r="B88" s="5" t="s">
        <v>66</v>
      </c>
      <c r="J88" s="30"/>
      <c r="T88" s="50">
        <f ca="1">U125*D23*T77</f>
        <v>123656.62287835711</v>
      </c>
    </row>
    <row r="89" spans="1:21" ht="16" customHeight="1" x14ac:dyDescent="0.2">
      <c r="B89" s="51" t="s">
        <v>67</v>
      </c>
      <c r="C89" s="51"/>
      <c r="D89" s="51"/>
      <c r="E89" s="51"/>
      <c r="F89" s="51"/>
      <c r="G89" s="51"/>
      <c r="H89" s="51"/>
      <c r="I89" s="51"/>
      <c r="J89" s="52"/>
      <c r="K89" s="51"/>
      <c r="L89" s="51"/>
      <c r="M89" s="51"/>
      <c r="N89" s="51"/>
      <c r="O89" s="51"/>
      <c r="P89" s="51"/>
      <c r="Q89" s="51"/>
      <c r="R89" s="51"/>
      <c r="S89" s="51"/>
      <c r="T89" s="50">
        <f ca="1">AVERAGE(T87:T88)</f>
        <v>121683.36026554313</v>
      </c>
    </row>
    <row r="90" spans="1:21" ht="16" customHeight="1" x14ac:dyDescent="0.2">
      <c r="B90" s="5" t="s">
        <v>32</v>
      </c>
      <c r="J90" s="30"/>
      <c r="K90" s="98">
        <f>D21</f>
        <v>0.11139147254776077</v>
      </c>
      <c r="L90" s="98">
        <f t="shared" ref="L90:S90" si="55">K90-($K$90-$T$90)/($T$83-$K$83)</f>
        <v>0.10916925032553855</v>
      </c>
      <c r="M90" s="98">
        <f t="shared" si="55"/>
        <v>0.10694702810331633</v>
      </c>
      <c r="N90" s="98">
        <f t="shared" si="55"/>
        <v>0.1047248058810941</v>
      </c>
      <c r="O90" s="98">
        <f t="shared" si="55"/>
        <v>0.10250258365887188</v>
      </c>
      <c r="P90" s="98">
        <f t="shared" si="55"/>
        <v>0.10028036143664966</v>
      </c>
      <c r="Q90" s="98">
        <f t="shared" si="55"/>
        <v>9.8058139214427437E-2</v>
      </c>
      <c r="R90" s="98">
        <f t="shared" si="55"/>
        <v>9.5835916992205214E-2</v>
      </c>
      <c r="S90" s="98">
        <f t="shared" si="55"/>
        <v>9.3613694769982991E-2</v>
      </c>
      <c r="T90" s="98">
        <f>K90-2%</f>
        <v>9.1391472547760769E-2</v>
      </c>
    </row>
    <row r="91" spans="1:21" ht="16" customHeight="1" x14ac:dyDescent="0.2">
      <c r="B91" s="5" t="s">
        <v>68</v>
      </c>
      <c r="J91" s="30"/>
      <c r="K91" s="53">
        <f>1/(1+K90)</f>
        <v>0.89977296452310707</v>
      </c>
      <c r="L91" s="53">
        <f>K91*(1/(1+L90))</f>
        <v>0.81121340522109298</v>
      </c>
      <c r="M91" s="53">
        <f t="shared" ref="M91:T91" si="56">L91*(1/(1+M90))</f>
        <v>0.73283850502860626</v>
      </c>
      <c r="N91" s="53">
        <f t="shared" si="56"/>
        <v>0.66336747498316295</v>
      </c>
      <c r="O91" s="53">
        <f t="shared" si="56"/>
        <v>0.60169244482098849</v>
      </c>
      <c r="P91" s="53">
        <f t="shared" si="56"/>
        <v>0.54685375283382431</v>
      </c>
      <c r="Q91" s="53">
        <f t="shared" si="56"/>
        <v>0.49801894207992875</v>
      </c>
      <c r="R91" s="53">
        <f t="shared" si="56"/>
        <v>0.45446488325265511</v>
      </c>
      <c r="S91" s="53">
        <f t="shared" si="56"/>
        <v>0.4155625386057748</v>
      </c>
      <c r="T91" s="53">
        <f t="shared" si="56"/>
        <v>0.38076395964106202</v>
      </c>
    </row>
    <row r="92" spans="1:21" ht="16" customHeight="1" x14ac:dyDescent="0.2">
      <c r="J92" s="30"/>
    </row>
    <row r="93" spans="1:21" ht="16" customHeight="1" x14ac:dyDescent="0.2">
      <c r="B93" s="38" t="s">
        <v>69</v>
      </c>
      <c r="C93" s="38"/>
      <c r="D93" s="38"/>
      <c r="E93" s="38"/>
      <c r="F93" s="38"/>
      <c r="G93" s="38"/>
      <c r="H93" s="38"/>
      <c r="I93" s="38"/>
      <c r="J93" s="54"/>
      <c r="K93" s="39">
        <f t="shared" ref="K93:T93" ca="1" si="57">K91*K85</f>
        <v>2073.9161773492051</v>
      </c>
      <c r="L93" s="39">
        <f t="shared" ca="1" si="57"/>
        <v>1900.9424479708048</v>
      </c>
      <c r="M93" s="39">
        <f t="shared" ca="1" si="57"/>
        <v>2188.5742943424557</v>
      </c>
      <c r="N93" s="39">
        <f t="shared" ca="1" si="57"/>
        <v>2421.7721479221932</v>
      </c>
      <c r="O93" s="39">
        <f t="shared" ca="1" si="57"/>
        <v>2628.4882106679584</v>
      </c>
      <c r="P93" s="39">
        <f t="shared" ca="1" si="57"/>
        <v>2716.5526885891904</v>
      </c>
      <c r="Q93" s="39">
        <f t="shared" ca="1" si="57"/>
        <v>2749.6717685906242</v>
      </c>
      <c r="R93" s="39">
        <f t="shared" ca="1" si="57"/>
        <v>2752.1199464495576</v>
      </c>
      <c r="S93" s="39">
        <f t="shared" ca="1" si="57"/>
        <v>2724.7936273998857</v>
      </c>
      <c r="T93" s="39">
        <f t="shared" ca="1" si="57"/>
        <v>2716.7986041784816</v>
      </c>
    </row>
    <row r="94" spans="1:21" ht="16" customHeight="1" x14ac:dyDescent="0.2">
      <c r="B94" s="5" t="s">
        <v>70</v>
      </c>
      <c r="T94" s="26">
        <f ca="1">T91*T89</f>
        <v>46332.638077138072</v>
      </c>
    </row>
    <row r="96" spans="1:21" ht="16" customHeight="1" x14ac:dyDescent="0.2">
      <c r="B96" s="55" t="s">
        <v>71</v>
      </c>
      <c r="C96" s="32"/>
      <c r="D96" s="33">
        <f ca="1">SUM(K93:T94)</f>
        <v>71206.267990598426</v>
      </c>
    </row>
    <row r="98" spans="1:21" ht="16" customHeight="1" x14ac:dyDescent="0.2">
      <c r="B98" s="5" t="s">
        <v>72</v>
      </c>
      <c r="D98" s="97">
        <f>T9</f>
        <v>3480</v>
      </c>
    </row>
    <row r="99" spans="1:21" ht="16" customHeight="1" x14ac:dyDescent="0.2">
      <c r="B99" s="5" t="s">
        <v>73</v>
      </c>
      <c r="D99" s="97"/>
    </row>
    <row r="100" spans="1:21" ht="16" customHeight="1" x14ac:dyDescent="0.2">
      <c r="B100" s="5" t="s">
        <v>74</v>
      </c>
      <c r="D100" s="97">
        <f>T11</f>
        <v>9965</v>
      </c>
    </row>
    <row r="101" spans="1:21" ht="16" customHeight="1" x14ac:dyDescent="0.2">
      <c r="B101" s="5" t="s">
        <v>75</v>
      </c>
      <c r="D101" s="97"/>
      <c r="H101" s="5" t="s">
        <v>76</v>
      </c>
    </row>
    <row r="102" spans="1:21" ht="16" customHeight="1" x14ac:dyDescent="0.2">
      <c r="B102" s="55" t="s">
        <v>77</v>
      </c>
      <c r="C102" s="32"/>
      <c r="D102" s="103">
        <f ca="1">D96+D98+D99-D100-D101</f>
        <v>64721.267990598426</v>
      </c>
    </row>
    <row r="103" spans="1:21" ht="16" customHeight="1" x14ac:dyDescent="0.2">
      <c r="D103" s="78"/>
    </row>
    <row r="104" spans="1:21" ht="16" customHeight="1" x14ac:dyDescent="0.2">
      <c r="B104" s="51" t="s">
        <v>78</v>
      </c>
      <c r="C104" s="51"/>
      <c r="D104" s="104">
        <f>T16</f>
        <v>736.9</v>
      </c>
    </row>
    <row r="105" spans="1:21" ht="16" customHeight="1" x14ac:dyDescent="0.2">
      <c r="B105" s="56" t="s">
        <v>3</v>
      </c>
      <c r="D105" s="57">
        <f ca="1">D102/D104</f>
        <v>87.829105700364266</v>
      </c>
    </row>
    <row r="107" spans="1:21" ht="16" customHeight="1" x14ac:dyDescent="0.2">
      <c r="A107" s="5" t="s">
        <v>12</v>
      </c>
      <c r="B107" s="12" t="s">
        <v>79</v>
      </c>
      <c r="C107" s="58"/>
      <c r="D107" s="58"/>
      <c r="E107" s="59"/>
      <c r="F107" s="59"/>
      <c r="G107" s="59"/>
      <c r="H107" s="59"/>
      <c r="I107" s="59"/>
      <c r="J107" s="59"/>
      <c r="K107" s="59"/>
      <c r="L107" s="59"/>
      <c r="M107" s="59"/>
      <c r="N107" s="59"/>
      <c r="O107" s="59"/>
      <c r="P107" s="59"/>
      <c r="Q107" s="59"/>
      <c r="R107" s="59"/>
      <c r="S107" s="59"/>
      <c r="T107" s="59"/>
      <c r="U107" s="59"/>
    </row>
    <row r="109" spans="1:21" ht="16" customHeight="1" x14ac:dyDescent="0.2">
      <c r="B109" s="5" t="s">
        <v>34</v>
      </c>
      <c r="D109" s="20">
        <f>D22</f>
        <v>0.03</v>
      </c>
      <c r="F109" s="5" t="s">
        <v>80</v>
      </c>
      <c r="H109" s="106">
        <v>5.0000000000000001E-3</v>
      </c>
      <c r="J109" s="5" t="s">
        <v>81</v>
      </c>
      <c r="L109" s="21">
        <f>D23</f>
        <v>13</v>
      </c>
      <c r="N109" s="5" t="s">
        <v>82</v>
      </c>
      <c r="P109" s="113">
        <v>0.5</v>
      </c>
    </row>
    <row r="110" spans="1:21" ht="16" customHeight="1" x14ac:dyDescent="0.2">
      <c r="B110" s="5" t="s">
        <v>32</v>
      </c>
      <c r="D110" s="20">
        <f>D21</f>
        <v>0.11139147254776077</v>
      </c>
      <c r="F110" s="5" t="s">
        <v>83</v>
      </c>
      <c r="H110" s="106">
        <v>5.0000000000000001E-3</v>
      </c>
      <c r="J110" s="5" t="s">
        <v>84</v>
      </c>
      <c r="L110" s="20">
        <f>D21</f>
        <v>0.11139147254776077</v>
      </c>
      <c r="N110" s="5" t="s">
        <v>83</v>
      </c>
      <c r="P110" s="106">
        <v>5.0000000000000001E-3</v>
      </c>
    </row>
    <row r="112" spans="1:21" ht="16" customHeight="1" x14ac:dyDescent="0.2">
      <c r="D112" s="125" t="s">
        <v>34</v>
      </c>
      <c r="E112" s="125"/>
      <c r="F112" s="125"/>
      <c r="G112" s="125"/>
      <c r="H112" s="125"/>
      <c r="L112" s="125" t="s">
        <v>35</v>
      </c>
      <c r="M112" s="125"/>
      <c r="N112" s="125"/>
      <c r="O112" s="125"/>
      <c r="P112" s="125"/>
    </row>
    <row r="113" spans="1:21" ht="16" customHeight="1" x14ac:dyDescent="0.2">
      <c r="D113" s="125"/>
      <c r="E113" s="125"/>
      <c r="F113" s="125"/>
      <c r="G113" s="125"/>
      <c r="H113" s="125"/>
      <c r="L113" s="125"/>
      <c r="M113" s="125"/>
      <c r="N113" s="125"/>
      <c r="O113" s="125"/>
      <c r="P113" s="125"/>
    </row>
    <row r="114" spans="1:21" ht="16" customHeight="1" x14ac:dyDescent="0.2">
      <c r="C114" s="57">
        <f ca="1">D105</f>
        <v>87.829105700364266</v>
      </c>
      <c r="D114" s="60">
        <f>E114-H109</f>
        <v>1.9999999999999997E-2</v>
      </c>
      <c r="E114" s="60">
        <f>F114-H109</f>
        <v>2.4999999999999998E-2</v>
      </c>
      <c r="F114" s="61">
        <f>CHOOSE(D17,H17,L17,P17,H22)</f>
        <v>0.03</v>
      </c>
      <c r="G114" s="60">
        <f>F114+H109</f>
        <v>3.4999999999999996E-2</v>
      </c>
      <c r="H114" s="60">
        <f>G114+H109</f>
        <v>3.9999999999999994E-2</v>
      </c>
      <c r="K114" s="57">
        <f ca="1">D105</f>
        <v>87.829105700364266</v>
      </c>
      <c r="L114" s="62">
        <f>M114-P109</f>
        <v>12</v>
      </c>
      <c r="M114" s="62">
        <f>N114-P109</f>
        <v>12.5</v>
      </c>
      <c r="N114" s="62">
        <f>CHOOSE(D18,H18,L18,P18,H23)</f>
        <v>13</v>
      </c>
      <c r="O114" s="62">
        <f>N114+P109</f>
        <v>13.5</v>
      </c>
      <c r="P114" s="62">
        <f>O114+P109</f>
        <v>14</v>
      </c>
    </row>
    <row r="115" spans="1:21" ht="16" customHeight="1" x14ac:dyDescent="0.2">
      <c r="B115" s="125" t="s">
        <v>32</v>
      </c>
      <c r="C115" s="63">
        <f>C116-H110</f>
        <v>0.10139147254776076</v>
      </c>
      <c r="D115" s="53">
        <f t="dataTable" ref="D115:H119" dt2D="1" dtr="1" r1="D22" r2="D21" ca="1"/>
        <v>95.348177079275956</v>
      </c>
      <c r="E115" s="53">
        <v>98.502188269488215</v>
      </c>
      <c r="F115" s="53">
        <v>102.26992213271424</v>
      </c>
      <c r="G115" s="53">
        <v>106.84981686437293</v>
      </c>
      <c r="H115" s="53">
        <v>112.53619427223359</v>
      </c>
      <c r="J115" s="125" t="s">
        <v>32</v>
      </c>
      <c r="K115" s="63">
        <f>K116-P110</f>
        <v>0.10139147254776076</v>
      </c>
      <c r="L115" s="53">
        <f t="dataTable" ref="L115:P119" dt2D="1" dtr="1" r1="D23" r2="D21" ca="1"/>
        <v>99.577741539755564</v>
      </c>
      <c r="M115" s="53">
        <v>100.92383183623491</v>
      </c>
      <c r="N115" s="53">
        <v>102.26992213271424</v>
      </c>
      <c r="O115" s="53">
        <v>103.61601242919359</v>
      </c>
      <c r="P115" s="53">
        <v>104.96210272567292</v>
      </c>
    </row>
    <row r="116" spans="1:21" ht="16" customHeight="1" x14ac:dyDescent="0.2">
      <c r="B116" s="125"/>
      <c r="C116" s="63">
        <f>C117-H110</f>
        <v>0.10639147254776077</v>
      </c>
      <c r="D116" s="53">
        <v>88.932436861305291</v>
      </c>
      <c r="E116" s="64">
        <v>91.503520274307149</v>
      </c>
      <c r="F116" s="64">
        <v>94.530538476177057</v>
      </c>
      <c r="G116" s="64">
        <v>98.14656844435828</v>
      </c>
      <c r="H116" s="53">
        <v>102.54205846620748</v>
      </c>
      <c r="J116" s="125"/>
      <c r="K116" s="63">
        <f>K117-P110</f>
        <v>0.10639147254776077</v>
      </c>
      <c r="L116" s="53">
        <v>91.958647324064799</v>
      </c>
      <c r="M116" s="64">
        <v>93.244592900120907</v>
      </c>
      <c r="N116" s="64">
        <v>94.530538476177057</v>
      </c>
      <c r="O116" s="64">
        <v>95.816484052233164</v>
      </c>
      <c r="P116" s="53">
        <v>97.1024296282893</v>
      </c>
    </row>
    <row r="117" spans="1:21" ht="16" customHeight="1" x14ac:dyDescent="0.2">
      <c r="B117" s="125"/>
      <c r="C117" s="63">
        <f>CHOOSE(D16,H16,L16,P16,H21)</f>
        <v>0.11139147254776077</v>
      </c>
      <c r="D117" s="53">
        <v>83.238763538417174</v>
      </c>
      <c r="E117" s="64">
        <v>85.36108327320899</v>
      </c>
      <c r="F117" s="65">
        <v>87.829105700364266</v>
      </c>
      <c r="G117" s="64">
        <v>90.734786928691122</v>
      </c>
      <c r="H117" s="53">
        <v>94.205869591200766</v>
      </c>
      <c r="J117" s="125"/>
      <c r="K117" s="63">
        <f>CHOOSE(D16,H16,L16,P16,H21)</f>
        <v>0.11139147254776077</v>
      </c>
      <c r="L117" s="53">
        <v>85.371618234002881</v>
      </c>
      <c r="M117" s="64">
        <v>86.600361967183574</v>
      </c>
      <c r="N117" s="65">
        <v>87.829105700364266</v>
      </c>
      <c r="O117" s="64">
        <v>89.057849433544973</v>
      </c>
      <c r="P117" s="53">
        <v>90.286593166725694</v>
      </c>
    </row>
    <row r="118" spans="1:21" ht="16" customHeight="1" x14ac:dyDescent="0.2">
      <c r="B118" s="125"/>
      <c r="C118" s="63">
        <f>C117+H110</f>
        <v>0.11639147254776078</v>
      </c>
      <c r="D118" s="53">
        <v>78.138441960509837</v>
      </c>
      <c r="E118" s="64">
        <v>79.909331879679286</v>
      </c>
      <c r="F118" s="64">
        <v>81.946956343393694</v>
      </c>
      <c r="G118" s="64">
        <v>84.316487565351935</v>
      </c>
      <c r="H118" s="53">
        <v>87.106211968105626</v>
      </c>
      <c r="J118" s="125"/>
      <c r="K118" s="63">
        <f>K117+P110</f>
        <v>0.11639147254776078</v>
      </c>
      <c r="L118" s="53">
        <v>79.598299583219074</v>
      </c>
      <c r="M118" s="64">
        <v>80.772627963306363</v>
      </c>
      <c r="N118" s="64">
        <v>81.946956343393694</v>
      </c>
      <c r="O118" s="64">
        <v>83.121284723481011</v>
      </c>
      <c r="P118" s="53">
        <v>84.295613103568314</v>
      </c>
    </row>
    <row r="119" spans="1:21" ht="16" customHeight="1" x14ac:dyDescent="0.2">
      <c r="B119" s="125"/>
      <c r="C119" s="63">
        <f>C118+H110</f>
        <v>0.12139147254776078</v>
      </c>
      <c r="D119" s="53">
        <v>73.533493483433986</v>
      </c>
      <c r="E119" s="53">
        <v>75.025092222315834</v>
      </c>
      <c r="F119" s="53">
        <v>76.725623300824708</v>
      </c>
      <c r="G119" s="53">
        <v>78.682291351937295</v>
      </c>
      <c r="H119" s="53">
        <v>80.95767924636209</v>
      </c>
      <c r="J119" s="125"/>
      <c r="K119" s="63">
        <f>K118+P110</f>
        <v>0.12139147254776078</v>
      </c>
      <c r="L119" s="53">
        <v>74.480519116061473</v>
      </c>
      <c r="M119" s="53">
        <v>75.603071208443083</v>
      </c>
      <c r="N119" s="53">
        <v>76.725623300824708</v>
      </c>
      <c r="O119" s="53">
        <v>77.848175393206319</v>
      </c>
      <c r="P119" s="53">
        <v>78.970727485587929</v>
      </c>
    </row>
    <row r="121" spans="1:21" ht="16" customHeight="1" x14ac:dyDescent="0.2">
      <c r="A121" s="5" t="s">
        <v>12</v>
      </c>
      <c r="B121" s="12" t="s">
        <v>85</v>
      </c>
      <c r="C121" s="58"/>
      <c r="D121" s="58"/>
      <c r="E121" s="23">
        <v>2016</v>
      </c>
      <c r="F121" s="23">
        <f>E121+1</f>
        <v>2017</v>
      </c>
      <c r="G121" s="23">
        <f t="shared" ref="G121:J121" si="58">F121+1</f>
        <v>2018</v>
      </c>
      <c r="H121" s="23">
        <f t="shared" si="58"/>
        <v>2019</v>
      </c>
      <c r="I121" s="23">
        <f>H121+1</f>
        <v>2020</v>
      </c>
      <c r="J121" s="23">
        <f t="shared" si="58"/>
        <v>2021</v>
      </c>
      <c r="K121" s="24">
        <v>2022</v>
      </c>
      <c r="L121" s="24">
        <f>K121+1</f>
        <v>2023</v>
      </c>
      <c r="M121" s="24">
        <f t="shared" ref="M121:U121" si="59">L121+1</f>
        <v>2024</v>
      </c>
      <c r="N121" s="24">
        <f t="shared" si="59"/>
        <v>2025</v>
      </c>
      <c r="O121" s="24">
        <f t="shared" si="59"/>
        <v>2026</v>
      </c>
      <c r="P121" s="24">
        <f t="shared" si="59"/>
        <v>2027</v>
      </c>
      <c r="Q121" s="24">
        <f t="shared" si="59"/>
        <v>2028</v>
      </c>
      <c r="R121" s="24">
        <f t="shared" si="59"/>
        <v>2029</v>
      </c>
      <c r="S121" s="24">
        <f t="shared" si="59"/>
        <v>2030</v>
      </c>
      <c r="T121" s="24">
        <f t="shared" si="59"/>
        <v>2031</v>
      </c>
      <c r="U121" s="24">
        <f t="shared" si="59"/>
        <v>2032</v>
      </c>
    </row>
    <row r="122" spans="1:21" ht="16" customHeight="1" x14ac:dyDescent="0.2">
      <c r="B122" s="12" t="s">
        <v>42</v>
      </c>
      <c r="C122" s="12"/>
      <c r="D122" s="12"/>
      <c r="E122" s="25">
        <f t="shared" ref="E122:I122" si="60">EDATE(F122,-12)</f>
        <v>42735</v>
      </c>
      <c r="F122" s="25">
        <f t="shared" si="60"/>
        <v>43100</v>
      </c>
      <c r="G122" s="25">
        <f t="shared" si="60"/>
        <v>43465</v>
      </c>
      <c r="H122" s="25">
        <f t="shared" si="60"/>
        <v>43830</v>
      </c>
      <c r="I122" s="25">
        <f t="shared" si="60"/>
        <v>44196</v>
      </c>
      <c r="J122" s="25">
        <f>EDATE(K122,-12)</f>
        <v>44561</v>
      </c>
      <c r="K122" s="25">
        <v>44926</v>
      </c>
      <c r="L122" s="25">
        <f>EDATE(K122,12)</f>
        <v>45291</v>
      </c>
      <c r="M122" s="25">
        <f t="shared" ref="M122:U122" si="61">EDATE(L122,12)</f>
        <v>45657</v>
      </c>
      <c r="N122" s="25">
        <f t="shared" si="61"/>
        <v>46022</v>
      </c>
      <c r="O122" s="25">
        <f t="shared" si="61"/>
        <v>46387</v>
      </c>
      <c r="P122" s="25">
        <f t="shared" si="61"/>
        <v>46752</v>
      </c>
      <c r="Q122" s="25">
        <f t="shared" si="61"/>
        <v>47118</v>
      </c>
      <c r="R122" s="25">
        <f t="shared" si="61"/>
        <v>47483</v>
      </c>
      <c r="S122" s="25">
        <f t="shared" si="61"/>
        <v>47848</v>
      </c>
      <c r="T122" s="25">
        <f t="shared" si="61"/>
        <v>48213</v>
      </c>
      <c r="U122" s="25">
        <f t="shared" si="61"/>
        <v>48579</v>
      </c>
    </row>
    <row r="123" spans="1:21" ht="16" customHeight="1" x14ac:dyDescent="0.2">
      <c r="B123" s="5" t="s">
        <v>49</v>
      </c>
      <c r="E123" s="26">
        <f t="shared" ref="E123:U123" si="62">E46</f>
        <v>6362.1409999999996</v>
      </c>
      <c r="F123" s="26">
        <f t="shared" si="62"/>
        <v>7145.0150000000003</v>
      </c>
      <c r="G123" s="26">
        <f t="shared" si="62"/>
        <v>5617.4169999999995</v>
      </c>
      <c r="H123" s="26">
        <f t="shared" si="62"/>
        <v>7338.27</v>
      </c>
      <c r="I123" s="26">
        <f t="shared" si="62"/>
        <v>6101.9269999999997</v>
      </c>
      <c r="J123" s="40">
        <f t="shared" si="62"/>
        <v>22577.148000000001</v>
      </c>
      <c r="K123" s="26">
        <f t="shared" ca="1" si="62"/>
        <v>9519.8025976000026</v>
      </c>
      <c r="L123" s="26">
        <f t="shared" ca="1" si="62"/>
        <v>12113.340892120821</v>
      </c>
      <c r="M123" s="26">
        <f t="shared" ca="1" si="62"/>
        <v>14301.259309116969</v>
      </c>
      <c r="N123" s="26">
        <f t="shared" ca="1" si="62"/>
        <v>16601.700254870975</v>
      </c>
      <c r="O123" s="26">
        <f t="shared" ca="1" si="62"/>
        <v>18823.485388546564</v>
      </c>
      <c r="P123" s="26">
        <f t="shared" ca="1" si="62"/>
        <v>21084.377841449023</v>
      </c>
      <c r="Q123" s="26">
        <f t="shared" ca="1" si="62"/>
        <v>23306.774034674734</v>
      </c>
      <c r="R123" s="26">
        <f t="shared" ca="1" si="62"/>
        <v>25424.54763223137</v>
      </c>
      <c r="S123" s="26">
        <f t="shared" ca="1" si="62"/>
        <v>27376.669861843919</v>
      </c>
      <c r="T123" s="26">
        <f t="shared" ca="1" si="62"/>
        <v>29114.116023733401</v>
      </c>
      <c r="U123" s="26">
        <f t="shared" ca="1" si="62"/>
        <v>31304.850759781122</v>
      </c>
    </row>
    <row r="124" spans="1:21" s="27" customFormat="1" ht="16" customHeight="1" x14ac:dyDescent="0.2">
      <c r="B124" s="27" t="s">
        <v>44</v>
      </c>
      <c r="F124" s="35">
        <f t="shared" ref="F124:U124" si="63">F47</f>
        <v>0.12305197259853262</v>
      </c>
      <c r="G124" s="35">
        <f t="shared" si="63"/>
        <v>-0.21379913128243966</v>
      </c>
      <c r="H124" s="35">
        <f t="shared" si="63"/>
        <v>0.30634239900651861</v>
      </c>
      <c r="I124" s="35">
        <f t="shared" si="63"/>
        <v>-0.16847881040081658</v>
      </c>
      <c r="J124" s="36">
        <f t="shared" si="63"/>
        <v>2.7000029662760636</v>
      </c>
      <c r="K124" s="35">
        <f t="shared" ca="1" si="63"/>
        <v>-0.57834343834748292</v>
      </c>
      <c r="L124" s="35">
        <f t="shared" ca="1" si="63"/>
        <v>0.27243614223415347</v>
      </c>
      <c r="M124" s="35">
        <f t="shared" ca="1" si="63"/>
        <v>0.18062056013129202</v>
      </c>
      <c r="N124" s="35">
        <f t="shared" ca="1" si="63"/>
        <v>0.16085583066712794</v>
      </c>
      <c r="O124" s="35">
        <f t="shared" ca="1" si="63"/>
        <v>0.13382877052148379</v>
      </c>
      <c r="P124" s="35">
        <f t="shared" ca="1" si="63"/>
        <v>0.12011019246616961</v>
      </c>
      <c r="Q124" s="35">
        <f t="shared" ca="1" si="63"/>
        <v>0.10540487416502198</v>
      </c>
      <c r="R124" s="35">
        <f t="shared" ca="1" si="63"/>
        <v>9.0865153384415587E-2</v>
      </c>
      <c r="S124" s="35">
        <f t="shared" ca="1" si="63"/>
        <v>7.6781001489198308E-2</v>
      </c>
      <c r="T124" s="35">
        <f t="shared" ca="1" si="63"/>
        <v>6.3464481642854453E-2</v>
      </c>
      <c r="U124" s="35">
        <f t="shared" ca="1" si="63"/>
        <v>7.5246479551770218E-2</v>
      </c>
    </row>
    <row r="125" spans="1:21" ht="16" customHeight="1" x14ac:dyDescent="0.2">
      <c r="B125" s="5" t="s">
        <v>86</v>
      </c>
      <c r="E125" s="26">
        <f>E61+E49</f>
        <v>2556.058</v>
      </c>
      <c r="F125" s="26">
        <f>F61+F49</f>
        <v>4339.875</v>
      </c>
      <c r="G125" s="26">
        <f>G61+G49</f>
        <v>3695.3309999999997</v>
      </c>
      <c r="H125" s="26">
        <f>H61+H49</f>
        <v>4077.9630000000002</v>
      </c>
      <c r="I125" s="26">
        <f t="shared" ref="I125:U125" si="64">I61+I49</f>
        <v>2895.3719999999998</v>
      </c>
      <c r="J125" s="40">
        <f t="shared" si="64"/>
        <v>13821.964</v>
      </c>
      <c r="K125" s="26">
        <f t="shared" ca="1" si="64"/>
        <v>5020.4027110365241</v>
      </c>
      <c r="L125" s="26">
        <f t="shared" ca="1" si="64"/>
        <v>6490.461961375222</v>
      </c>
      <c r="M125" s="26">
        <f t="shared" ca="1" si="64"/>
        <v>7784.8872864194145</v>
      </c>
      <c r="N125" s="26">
        <f t="shared" ca="1" si="64"/>
        <v>9180.9440364596558</v>
      </c>
      <c r="O125" s="26">
        <f t="shared" ca="1" si="64"/>
        <v>10559.498461934187</v>
      </c>
      <c r="P125" s="26">
        <f t="shared" ca="1" si="64"/>
        <v>11960.376085018828</v>
      </c>
      <c r="Q125" s="26">
        <f t="shared" ca="1" si="64"/>
        <v>13421.304997449346</v>
      </c>
      <c r="R125" s="26">
        <f t="shared" ca="1" si="64"/>
        <v>14846.307051394948</v>
      </c>
      <c r="S125" s="26">
        <f t="shared" ca="1" si="64"/>
        <v>16205.804544848374</v>
      </c>
      <c r="T125" s="26">
        <f t="shared" ca="1" si="64"/>
        <v>17465.303367310113</v>
      </c>
      <c r="U125" s="26">
        <f t="shared" ca="1" si="64"/>
        <v>19024.095827439556</v>
      </c>
    </row>
    <row r="126" spans="1:21" s="27" customFormat="1" ht="16" customHeight="1" x14ac:dyDescent="0.2">
      <c r="B126" s="27" t="s">
        <v>51</v>
      </c>
      <c r="E126" s="28">
        <f>E125/E123</f>
        <v>0.40176066515973163</v>
      </c>
      <c r="F126" s="28">
        <f>F125/F123</f>
        <v>0.60739900476066178</v>
      </c>
      <c r="G126" s="28">
        <f t="shared" ref="G126:U126" si="65">G125/G123</f>
        <v>0.65783455278466951</v>
      </c>
      <c r="H126" s="28">
        <f t="shared" si="65"/>
        <v>0.55571176857760751</v>
      </c>
      <c r="I126" s="28">
        <f t="shared" si="65"/>
        <v>0.47450125181766351</v>
      </c>
      <c r="J126" s="29">
        <f t="shared" si="65"/>
        <v>0.61221036421429309</v>
      </c>
      <c r="K126" s="28">
        <f t="shared" ca="1" si="65"/>
        <v>0.52736416113315177</v>
      </c>
      <c r="L126" s="28">
        <f t="shared" ca="1" si="65"/>
        <v>0.53581105486736302</v>
      </c>
      <c r="M126" s="28">
        <f t="shared" ca="1" si="65"/>
        <v>0.54434977495000003</v>
      </c>
      <c r="N126" s="28">
        <f t="shared" ca="1" si="65"/>
        <v>0.55301227558098731</v>
      </c>
      <c r="O126" s="28">
        <f t="shared" ca="1" si="65"/>
        <v>0.56097466776048155</v>
      </c>
      <c r="P126" s="28">
        <f t="shared" ca="1" si="65"/>
        <v>0.56726246204459274</v>
      </c>
      <c r="Q126" s="28">
        <f t="shared" ca="1" si="65"/>
        <v>0.57585425496818021</v>
      </c>
      <c r="R126" s="28">
        <f t="shared" ca="1" si="65"/>
        <v>0.58393593727401827</v>
      </c>
      <c r="S126" s="28">
        <f t="shared" ca="1" si="65"/>
        <v>0.59195675100846079</v>
      </c>
      <c r="T126" s="28">
        <f t="shared" ca="1" si="65"/>
        <v>0.59989124701820429</v>
      </c>
      <c r="U126" s="28">
        <f t="shared" ca="1" si="65"/>
        <v>0.60770440892440691</v>
      </c>
    </row>
    <row r="127" spans="1:21" ht="16" customHeight="1" x14ac:dyDescent="0.2">
      <c r="B127" s="5" t="s">
        <v>54</v>
      </c>
      <c r="E127" s="26">
        <f>E61</f>
        <v>21.8</v>
      </c>
      <c r="F127" s="26">
        <f>F61</f>
        <v>24.3</v>
      </c>
      <c r="G127" s="26">
        <f>G61</f>
        <v>18.399999999999999</v>
      </c>
      <c r="H127" s="26">
        <f>H61</f>
        <v>60.3</v>
      </c>
      <c r="I127" s="26">
        <f t="shared" ref="I127:U127" si="66">I61</f>
        <v>111.7</v>
      </c>
      <c r="J127" s="40">
        <f t="shared" si="66"/>
        <v>64.3</v>
      </c>
      <c r="K127" s="26">
        <f t="shared" ca="1" si="66"/>
        <v>62.630653688546374</v>
      </c>
      <c r="L127" s="26">
        <f t="shared" ca="1" si="66"/>
        <v>86.057992192643781</v>
      </c>
      <c r="M127" s="26">
        <f t="shared" ca="1" si="66"/>
        <v>110.42910900858836</v>
      </c>
      <c r="N127" s="26">
        <f t="shared" ca="1" si="66"/>
        <v>140.4944351932516</v>
      </c>
      <c r="O127" s="26">
        <f t="shared" ca="1" si="66"/>
        <v>160.06669460277232</v>
      </c>
      <c r="P127" s="26">
        <f t="shared" ca="1" si="66"/>
        <v>144.84703550360135</v>
      </c>
      <c r="Q127" s="26">
        <f t="shared" ca="1" si="66"/>
        <v>175.73739155034389</v>
      </c>
      <c r="R127" s="26">
        <f t="shared" ca="1" si="66"/>
        <v>195.77880300574299</v>
      </c>
      <c r="S127" s="26">
        <f t="shared" ca="1" si="66"/>
        <v>213.53025271537609</v>
      </c>
      <c r="T127" s="26">
        <f t="shared" ca="1" si="66"/>
        <v>227.46071500330501</v>
      </c>
      <c r="U127" s="26">
        <f t="shared" ca="1" si="66"/>
        <v>241.18537157088087</v>
      </c>
    </row>
    <row r="128" spans="1:21" s="27" customFormat="1" ht="16" customHeight="1" x14ac:dyDescent="0.2">
      <c r="B128" s="27" t="s">
        <v>55</v>
      </c>
      <c r="E128" s="35">
        <f>E63</f>
        <v>0.18973020017406439</v>
      </c>
      <c r="F128" s="35">
        <f>F63</f>
        <v>0.33750000000000002</v>
      </c>
      <c r="G128" s="35">
        <f>G63</f>
        <v>0.22195416164053072</v>
      </c>
      <c r="H128" s="35">
        <f>H63</f>
        <v>0.61973278520041108</v>
      </c>
      <c r="I128" s="35">
        <f t="shared" ref="I128:U128" si="67">I63</f>
        <v>1.051789077212806</v>
      </c>
      <c r="J128" s="36">
        <f t="shared" si="67"/>
        <v>0.50590086546026747</v>
      </c>
      <c r="K128" s="35">
        <f t="shared" ca="1" si="67"/>
        <v>0.4984850737926263</v>
      </c>
      <c r="L128" s="35">
        <f t="shared" ca="1" si="67"/>
        <v>0.57350750726455513</v>
      </c>
      <c r="M128" s="35">
        <f t="shared" ca="1" si="67"/>
        <v>0.60454022683264907</v>
      </c>
      <c r="N128" s="35">
        <f t="shared" ca="1" si="67"/>
        <v>0.68017272040584775</v>
      </c>
      <c r="O128" s="35">
        <f t="shared" ca="1" si="67"/>
        <v>0.69102661836313428</v>
      </c>
      <c r="P128" s="35">
        <f t="shared" ca="1" si="67"/>
        <v>0.59967892917943122</v>
      </c>
      <c r="Q128" s="35">
        <f t="shared" ca="1" si="67"/>
        <v>0.60675938098310433</v>
      </c>
      <c r="R128" s="35">
        <f t="shared" ca="1" si="67"/>
        <v>0.62612491867525277</v>
      </c>
      <c r="S128" s="35">
        <f t="shared" ca="1" si="67"/>
        <v>0.63496873961184708</v>
      </c>
      <c r="T128" s="35">
        <f t="shared" ca="1" si="67"/>
        <v>0.64027732599884213</v>
      </c>
      <c r="U128" s="35">
        <f t="shared" ca="1" si="67"/>
        <v>0.63347513063209593</v>
      </c>
    </row>
    <row r="129" spans="2:21" ht="16" customHeight="1" x14ac:dyDescent="0.2">
      <c r="B129" s="5" t="s">
        <v>87</v>
      </c>
      <c r="E129" s="26">
        <f t="shared" ref="E129:U129" si="68">E49</f>
        <v>2534.2579999999998</v>
      </c>
      <c r="F129" s="26">
        <f t="shared" si="68"/>
        <v>4315.5749999999998</v>
      </c>
      <c r="G129" s="26">
        <f t="shared" si="68"/>
        <v>3676.9309999999996</v>
      </c>
      <c r="H129" s="26">
        <f t="shared" si="68"/>
        <v>4017.663</v>
      </c>
      <c r="I129" s="26">
        <f t="shared" si="68"/>
        <v>2783.672</v>
      </c>
      <c r="J129" s="40">
        <f t="shared" si="68"/>
        <v>13757.664000000001</v>
      </c>
      <c r="K129" s="26">
        <f t="shared" ca="1" si="68"/>
        <v>4957.7720573479774</v>
      </c>
      <c r="L129" s="26">
        <f t="shared" ca="1" si="68"/>
        <v>6404.4039691825783</v>
      </c>
      <c r="M129" s="26">
        <f t="shared" ca="1" si="68"/>
        <v>7674.4581774108265</v>
      </c>
      <c r="N129" s="26">
        <f t="shared" ca="1" si="68"/>
        <v>9040.449601266404</v>
      </c>
      <c r="O129" s="26">
        <f t="shared" ca="1" si="68"/>
        <v>10399.431767331414</v>
      </c>
      <c r="P129" s="26">
        <f t="shared" ca="1" si="68"/>
        <v>11815.529049515228</v>
      </c>
      <c r="Q129" s="26">
        <f t="shared" ca="1" si="68"/>
        <v>13245.567605899003</v>
      </c>
      <c r="R129" s="26">
        <f t="shared" ca="1" si="68"/>
        <v>14650.528248389204</v>
      </c>
      <c r="S129" s="26">
        <f t="shared" ca="1" si="68"/>
        <v>15992.274292132997</v>
      </c>
      <c r="T129" s="26">
        <f t="shared" ca="1" si="68"/>
        <v>17237.842652306808</v>
      </c>
      <c r="U129" s="26">
        <f t="shared" ca="1" si="68"/>
        <v>18782.910455868674</v>
      </c>
    </row>
    <row r="130" spans="2:21" s="27" customFormat="1" ht="16" customHeight="1" x14ac:dyDescent="0.2">
      <c r="B130" s="27" t="s">
        <v>51</v>
      </c>
      <c r="E130" s="28">
        <f t="shared" ref="E130:U130" si="69">E50</f>
        <v>0.39833414569089243</v>
      </c>
      <c r="F130" s="28">
        <f t="shared" si="69"/>
        <v>0.60399803219447401</v>
      </c>
      <c r="G130" s="28">
        <f t="shared" si="69"/>
        <v>0.65455902597225735</v>
      </c>
      <c r="H130" s="28">
        <f t="shared" si="69"/>
        <v>0.54749457297155868</v>
      </c>
      <c r="I130" s="28">
        <f t="shared" si="69"/>
        <v>0.45619555920613281</v>
      </c>
      <c r="J130" s="29">
        <f t="shared" si="69"/>
        <v>0.60936235170181818</v>
      </c>
      <c r="K130" s="28">
        <f t="shared" ca="1" si="69"/>
        <v>0.52078517453690276</v>
      </c>
      <c r="L130" s="28">
        <f t="shared" ca="1" si="69"/>
        <v>0.52870665708321252</v>
      </c>
      <c r="M130" s="28">
        <f t="shared" ca="1" si="69"/>
        <v>0.53662813962952227</v>
      </c>
      <c r="N130" s="28">
        <f t="shared" ca="1" si="69"/>
        <v>0.54454962217583203</v>
      </c>
      <c r="O130" s="28">
        <f t="shared" ca="1" si="69"/>
        <v>0.55247110472214178</v>
      </c>
      <c r="P130" s="28">
        <f t="shared" ca="1" si="69"/>
        <v>0.56039258726845154</v>
      </c>
      <c r="Q130" s="28">
        <f t="shared" ca="1" si="69"/>
        <v>0.56831406981476129</v>
      </c>
      <c r="R130" s="28">
        <f t="shared" ca="1" si="69"/>
        <v>0.57623555236107105</v>
      </c>
      <c r="S130" s="28">
        <f t="shared" ca="1" si="69"/>
        <v>0.5841570349073808</v>
      </c>
      <c r="T130" s="28">
        <f t="shared" ca="1" si="69"/>
        <v>0.59207851745369056</v>
      </c>
      <c r="U130" s="28">
        <f t="shared" ca="1" si="69"/>
        <v>0.6</v>
      </c>
    </row>
    <row r="131" spans="2:21" ht="16" customHeight="1" x14ac:dyDescent="0.2">
      <c r="B131" s="5" t="s">
        <v>27</v>
      </c>
      <c r="E131" s="26">
        <f t="shared" ref="E131:U132" si="70">E56</f>
        <v>132.4</v>
      </c>
      <c r="F131" s="26">
        <f t="shared" si="70"/>
        <v>743.1</v>
      </c>
      <c r="G131" s="26">
        <f t="shared" si="70"/>
        <v>249.4</v>
      </c>
      <c r="H131" s="26">
        <f t="shared" si="70"/>
        <v>-47.951999999999998</v>
      </c>
      <c r="I131" s="26">
        <f t="shared" si="70"/>
        <v>365.01400000000001</v>
      </c>
      <c r="J131" s="40">
        <f t="shared" si="70"/>
        <v>1184.4010000000001</v>
      </c>
      <c r="K131" s="26">
        <f t="shared" ca="1" si="70"/>
        <v>743.66580860219653</v>
      </c>
      <c r="L131" s="26">
        <f t="shared" ca="1" si="70"/>
        <v>960.6605953773867</v>
      </c>
      <c r="M131" s="26">
        <f t="shared" ca="1" si="70"/>
        <v>1151.1687266116239</v>
      </c>
      <c r="N131" s="26">
        <f t="shared" ca="1" si="70"/>
        <v>1356.0674401899605</v>
      </c>
      <c r="O131" s="26">
        <f t="shared" ca="1" si="70"/>
        <v>1559.9147650997122</v>
      </c>
      <c r="P131" s="26">
        <f t="shared" ca="1" si="70"/>
        <v>1772.3293574272841</v>
      </c>
      <c r="Q131" s="26">
        <f t="shared" ca="1" si="70"/>
        <v>1986.8351408848503</v>
      </c>
      <c r="R131" s="26">
        <f t="shared" ca="1" si="70"/>
        <v>2197.5792372583805</v>
      </c>
      <c r="S131" s="26">
        <f t="shared" ca="1" si="70"/>
        <v>2398.8411438199496</v>
      </c>
      <c r="T131" s="26">
        <f t="shared" ca="1" si="70"/>
        <v>2585.6763978460212</v>
      </c>
      <c r="U131" s="26">
        <f t="shared" ca="1" si="70"/>
        <v>2817.4365683803012</v>
      </c>
    </row>
    <row r="132" spans="2:21" s="27" customFormat="1" ht="16" customHeight="1" x14ac:dyDescent="0.2">
      <c r="B132" s="27" t="s">
        <v>52</v>
      </c>
      <c r="E132" s="28">
        <f t="shared" si="70"/>
        <v>5.2244088802324E-2</v>
      </c>
      <c r="F132" s="28">
        <f t="shared" si="70"/>
        <v>0.17219026433325804</v>
      </c>
      <c r="G132" s="28">
        <f t="shared" si="70"/>
        <v>6.7828305725617377E-2</v>
      </c>
      <c r="H132" s="28">
        <f t="shared" si="70"/>
        <v>-1.1935296713537198E-2</v>
      </c>
      <c r="I132" s="28">
        <f t="shared" si="70"/>
        <v>0.13112679942177097</v>
      </c>
      <c r="J132" s="29">
        <f t="shared" si="70"/>
        <v>8.6090269394571636E-2</v>
      </c>
      <c r="K132" s="28">
        <f t="shared" si="70"/>
        <v>0.15</v>
      </c>
      <c r="L132" s="28">
        <f t="shared" si="70"/>
        <v>0.15</v>
      </c>
      <c r="M132" s="28">
        <f t="shared" si="70"/>
        <v>0.15</v>
      </c>
      <c r="N132" s="28">
        <f t="shared" si="70"/>
        <v>0.15</v>
      </c>
      <c r="O132" s="28">
        <f t="shared" si="70"/>
        <v>0.15</v>
      </c>
      <c r="P132" s="28">
        <f t="shared" si="70"/>
        <v>0.15</v>
      </c>
      <c r="Q132" s="28">
        <f t="shared" si="70"/>
        <v>0.15</v>
      </c>
      <c r="R132" s="28">
        <f t="shared" si="70"/>
        <v>0.15</v>
      </c>
      <c r="S132" s="28">
        <f t="shared" si="70"/>
        <v>0.15</v>
      </c>
      <c r="T132" s="28">
        <f t="shared" si="70"/>
        <v>0.15</v>
      </c>
      <c r="U132" s="28">
        <f t="shared" si="70"/>
        <v>0.15</v>
      </c>
    </row>
    <row r="133" spans="2:21" ht="16" customHeight="1" x14ac:dyDescent="0.2">
      <c r="B133" s="5" t="s">
        <v>53</v>
      </c>
      <c r="E133" s="26">
        <f>E59</f>
        <v>2401.8579999999997</v>
      </c>
      <c r="F133" s="26">
        <f>F59</f>
        <v>3572.4749999999999</v>
      </c>
      <c r="G133" s="26">
        <f>G59</f>
        <v>3427.5309999999995</v>
      </c>
      <c r="H133" s="26">
        <f>H59</f>
        <v>4065.6149999999998</v>
      </c>
      <c r="I133" s="26">
        <f t="shared" ref="I133:U133" si="71">I59</f>
        <v>2418.6579999999999</v>
      </c>
      <c r="J133" s="40">
        <f t="shared" si="71"/>
        <v>12573.263000000001</v>
      </c>
      <c r="K133" s="26">
        <f t="shared" ca="1" si="71"/>
        <v>4214.1062487457812</v>
      </c>
      <c r="L133" s="26">
        <f t="shared" ca="1" si="71"/>
        <v>5443.7433738051914</v>
      </c>
      <c r="M133" s="26">
        <f t="shared" ca="1" si="71"/>
        <v>6523.2894507992023</v>
      </c>
      <c r="N133" s="26">
        <f t="shared" ca="1" si="71"/>
        <v>7684.3821610764435</v>
      </c>
      <c r="O133" s="26">
        <f t="shared" ca="1" si="71"/>
        <v>8839.5170022317016</v>
      </c>
      <c r="P133" s="26">
        <f t="shared" ca="1" si="71"/>
        <v>10043.199692087943</v>
      </c>
      <c r="Q133" s="26">
        <f t="shared" ca="1" si="71"/>
        <v>11258.732465014153</v>
      </c>
      <c r="R133" s="26">
        <f t="shared" ca="1" si="71"/>
        <v>12452.949011130824</v>
      </c>
      <c r="S133" s="26">
        <f t="shared" ca="1" si="71"/>
        <v>13593.433148313048</v>
      </c>
      <c r="T133" s="26">
        <f t="shared" ca="1" si="71"/>
        <v>14652.166254460786</v>
      </c>
      <c r="U133" s="26">
        <f t="shared" ca="1" si="71"/>
        <v>15965.473887488373</v>
      </c>
    </row>
    <row r="134" spans="2:21" ht="16" customHeight="1" x14ac:dyDescent="0.2">
      <c r="B134" s="5" t="s">
        <v>88</v>
      </c>
      <c r="E134" s="26">
        <f>E127</f>
        <v>21.8</v>
      </c>
      <c r="F134" s="26">
        <f t="shared" ref="F134:U134" si="72">F127</f>
        <v>24.3</v>
      </c>
      <c r="G134" s="26">
        <f t="shared" si="72"/>
        <v>18.399999999999999</v>
      </c>
      <c r="H134" s="26">
        <f t="shared" si="72"/>
        <v>60.3</v>
      </c>
      <c r="I134" s="26">
        <f t="shared" si="72"/>
        <v>111.7</v>
      </c>
      <c r="J134" s="40">
        <f t="shared" si="72"/>
        <v>64.3</v>
      </c>
      <c r="K134" s="26">
        <f t="shared" ca="1" si="72"/>
        <v>62.630653688546374</v>
      </c>
      <c r="L134" s="26">
        <f t="shared" ca="1" si="72"/>
        <v>86.057992192643781</v>
      </c>
      <c r="M134" s="26">
        <f t="shared" ca="1" si="72"/>
        <v>110.42910900858836</v>
      </c>
      <c r="N134" s="26">
        <f t="shared" ca="1" si="72"/>
        <v>140.4944351932516</v>
      </c>
      <c r="O134" s="26">
        <f t="shared" ca="1" si="72"/>
        <v>160.06669460277232</v>
      </c>
      <c r="P134" s="26">
        <f t="shared" ca="1" si="72"/>
        <v>144.84703550360135</v>
      </c>
      <c r="Q134" s="26">
        <f t="shared" ca="1" si="72"/>
        <v>175.73739155034389</v>
      </c>
      <c r="R134" s="26">
        <f t="shared" ca="1" si="72"/>
        <v>195.77880300574299</v>
      </c>
      <c r="S134" s="26">
        <f t="shared" ca="1" si="72"/>
        <v>213.53025271537609</v>
      </c>
      <c r="T134" s="26">
        <f t="shared" ca="1" si="72"/>
        <v>227.46071500330501</v>
      </c>
      <c r="U134" s="26">
        <f t="shared" ca="1" si="72"/>
        <v>241.18537157088087</v>
      </c>
    </row>
    <row r="135" spans="2:21" ht="16" customHeight="1" x14ac:dyDescent="0.2">
      <c r="B135" s="5" t="s">
        <v>89</v>
      </c>
      <c r="E135" s="26">
        <f>E65</f>
        <v>114.9</v>
      </c>
      <c r="F135" s="26">
        <f>F65</f>
        <v>72</v>
      </c>
      <c r="G135" s="26">
        <f>G65</f>
        <v>82.9</v>
      </c>
      <c r="H135" s="26">
        <f>H65</f>
        <v>97.3</v>
      </c>
      <c r="I135" s="26">
        <f t="shared" ref="I135:U135" si="73">I65</f>
        <v>106.2</v>
      </c>
      <c r="J135" s="40">
        <f t="shared" si="73"/>
        <v>127.1</v>
      </c>
      <c r="K135" s="26">
        <f t="shared" ca="1" si="73"/>
        <v>125.64198404584772</v>
      </c>
      <c r="L135" s="26">
        <f t="shared" ca="1" si="73"/>
        <v>150.05556353239822</v>
      </c>
      <c r="M135" s="26">
        <f t="shared" ca="1" si="73"/>
        <v>182.66627117132722</v>
      </c>
      <c r="N135" s="26">
        <f t="shared" ca="1" si="73"/>
        <v>206.55699791873587</v>
      </c>
      <c r="O135" s="26">
        <f t="shared" ca="1" si="73"/>
        <v>231.63607645379778</v>
      </c>
      <c r="P135" s="26">
        <f t="shared" ca="1" si="73"/>
        <v>241.54097877309502</v>
      </c>
      <c r="Q135" s="26">
        <f t="shared" ca="1" si="73"/>
        <v>289.63275568249918</v>
      </c>
      <c r="R135" s="26">
        <f t="shared" ca="1" si="73"/>
        <v>312.68329556339864</v>
      </c>
      <c r="S135" s="26">
        <f t="shared" ca="1" si="73"/>
        <v>336.28466945617822</v>
      </c>
      <c r="T135" s="26">
        <f t="shared" ca="1" si="73"/>
        <v>355.25342811173726</v>
      </c>
      <c r="U135" s="26">
        <f t="shared" ca="1" si="73"/>
        <v>380.7337650812284</v>
      </c>
    </row>
    <row r="136" spans="2:21" ht="16" customHeight="1" x14ac:dyDescent="0.2">
      <c r="B136" s="5" t="s">
        <v>90</v>
      </c>
      <c r="E136" s="26">
        <f>E68</f>
        <v>1806.6999999999998</v>
      </c>
      <c r="F136" s="26">
        <f>F68</f>
        <v>-726.59999999999945</v>
      </c>
      <c r="G136" s="26">
        <f>G68</f>
        <v>-400.50000000000045</v>
      </c>
      <c r="H136" s="26">
        <f>H68</f>
        <v>729.79999999999927</v>
      </c>
      <c r="I136" s="26">
        <f t="shared" ref="I136:U136" si="74">I68</f>
        <v>292.40000000000055</v>
      </c>
      <c r="J136" s="40">
        <f t="shared" si="74"/>
        <v>852.20000000000073</v>
      </c>
      <c r="K136" s="26">
        <f t="shared" ca="1" si="74"/>
        <v>-3236.7328831840009</v>
      </c>
      <c r="L136" s="26">
        <f t="shared" ca="1" si="74"/>
        <v>1695.8677248969152</v>
      </c>
      <c r="M136" s="26">
        <f t="shared" ca="1" si="74"/>
        <v>1430.125930911697</v>
      </c>
      <c r="N136" s="26">
        <f t="shared" ca="1" si="74"/>
        <v>1328.1360203896782</v>
      </c>
      <c r="O136" s="26">
        <f t="shared" ca="1" si="74"/>
        <v>1129.4091233127938</v>
      </c>
      <c r="P136" s="26">
        <f t="shared" ca="1" si="74"/>
        <v>843.37511365796092</v>
      </c>
      <c r="Q136" s="26">
        <f t="shared" ca="1" si="74"/>
        <v>932.27096138698937</v>
      </c>
      <c r="R136" s="26">
        <f t="shared" ca="1" si="74"/>
        <v>1016.9819052892548</v>
      </c>
      <c r="S136" s="26">
        <f t="shared" ca="1" si="74"/>
        <v>1095.0667944737568</v>
      </c>
      <c r="T136" s="26">
        <f t="shared" ca="1" si="74"/>
        <v>1164.5646409493361</v>
      </c>
      <c r="U136" s="26">
        <f t="shared" ca="1" si="74"/>
        <v>1252.194030391245</v>
      </c>
    </row>
    <row r="137" spans="2:21" ht="16" customHeight="1" x14ac:dyDescent="0.2">
      <c r="B137" s="5" t="s">
        <v>91</v>
      </c>
      <c r="E137" s="26">
        <f>E75</f>
        <v>251.029</v>
      </c>
      <c r="F137" s="26">
        <f>F75</f>
        <v>2125.6875</v>
      </c>
      <c r="G137" s="26">
        <f>G75</f>
        <v>1881.7655</v>
      </c>
      <c r="H137" s="26">
        <f>H75</f>
        <v>1649.4075000000003</v>
      </c>
      <c r="I137" s="26">
        <f t="shared" ref="I137:U137" si="75">I75</f>
        <v>1065.8789999999997</v>
      </c>
      <c r="J137" s="40">
        <f t="shared" si="75"/>
        <v>5829.1314999999995</v>
      </c>
      <c r="K137" s="26">
        <f t="shared" ca="1" si="75"/>
        <v>3693.9139007862404</v>
      </c>
      <c r="L137" s="26">
        <f t="shared" ca="1" si="75"/>
        <v>1841.9390387842609</v>
      </c>
      <c r="M137" s="26">
        <f t="shared" ca="1" si="75"/>
        <v>2510.4631788623833</v>
      </c>
      <c r="N137" s="26">
        <f t="shared" ca="1" si="75"/>
        <v>3145.0917889806406</v>
      </c>
      <c r="O137" s="26">
        <f t="shared" ca="1" si="75"/>
        <v>3819.2692485339408</v>
      </c>
      <c r="P137" s="26">
        <f t="shared" ca="1" si="75"/>
        <v>4551.5653175802436</v>
      </c>
      <c r="Q137" s="26">
        <f t="shared" ca="1" si="75"/>
        <v>5106.2830697475029</v>
      </c>
      <c r="R137" s="26">
        <f t="shared" ca="1" si="75"/>
        <v>5659.5313066419576</v>
      </c>
      <c r="S137" s="26">
        <f t="shared" ca="1" si="75"/>
        <v>6187.8059685492453</v>
      </c>
      <c r="T137" s="26">
        <f t="shared" ca="1" si="75"/>
        <v>6679.9044502015086</v>
      </c>
      <c r="U137" s="26">
        <f t="shared" ca="1" si="75"/>
        <v>7286.8657317933903</v>
      </c>
    </row>
    <row r="138" spans="2:21" ht="16" customHeight="1" x14ac:dyDescent="0.2">
      <c r="J138" s="30"/>
    </row>
    <row r="139" spans="2:21" ht="16" customHeight="1" x14ac:dyDescent="0.2">
      <c r="B139" s="51" t="s">
        <v>92</v>
      </c>
      <c r="C139" s="51"/>
      <c r="D139" s="51"/>
      <c r="E139" s="50">
        <f>E133+E134-E135-E136-E137</f>
        <v>251.029</v>
      </c>
      <c r="F139" s="50">
        <f t="shared" ref="F139:U139" si="76">F133+F134-F135-F136-F137</f>
        <v>2125.6875</v>
      </c>
      <c r="G139" s="50">
        <f t="shared" si="76"/>
        <v>1881.7655</v>
      </c>
      <c r="H139" s="50">
        <f t="shared" si="76"/>
        <v>1649.4075000000003</v>
      </c>
      <c r="I139" s="50">
        <f t="shared" si="76"/>
        <v>1065.8789999999997</v>
      </c>
      <c r="J139" s="66">
        <f t="shared" si="76"/>
        <v>5829.1314999999995</v>
      </c>
      <c r="K139" s="50">
        <f t="shared" ca="1" si="76"/>
        <v>3693.9139007862404</v>
      </c>
      <c r="L139" s="50">
        <f t="shared" ca="1" si="76"/>
        <v>1841.9390387842609</v>
      </c>
      <c r="M139" s="50">
        <f t="shared" ca="1" si="76"/>
        <v>2510.4631788623833</v>
      </c>
      <c r="N139" s="50">
        <f t="shared" ca="1" si="76"/>
        <v>3145.0917889806406</v>
      </c>
      <c r="O139" s="50">
        <f t="shared" ca="1" si="76"/>
        <v>3819.2692485339408</v>
      </c>
      <c r="P139" s="50">
        <f t="shared" ca="1" si="76"/>
        <v>4551.5653175802436</v>
      </c>
      <c r="Q139" s="50">
        <f t="shared" ca="1" si="76"/>
        <v>5106.2830697475029</v>
      </c>
      <c r="R139" s="50">
        <f t="shared" ca="1" si="76"/>
        <v>5659.5313066419576</v>
      </c>
      <c r="S139" s="50">
        <f t="shared" ca="1" si="76"/>
        <v>6187.8059685492453</v>
      </c>
      <c r="T139" s="50">
        <f t="shared" ca="1" si="76"/>
        <v>6679.9044502015086</v>
      </c>
      <c r="U139" s="50">
        <f t="shared" ca="1" si="76"/>
        <v>7286.8657317933903</v>
      </c>
    </row>
    <row r="140" spans="2:21" ht="16" customHeight="1" x14ac:dyDescent="0.2">
      <c r="E140" s="26"/>
    </row>
  </sheetData>
  <sheetProtection algorithmName="SHA-512" hashValue="wxCIUkduODAlJ1fHKJU0hbkWdMdXEvKcUHprj8kzn+aVBPXFL/18IDpmAw6ZmuwU5GeqSYwDxtauFk6TzxVVzA==" saltValue="ky847VIYl0S6puy8+3OM1A==" spinCount="100000" sheet="1" objects="1" scenarios="1" selectLockedCells="1"/>
  <mergeCells count="4">
    <mergeCell ref="D112:H113"/>
    <mergeCell ref="L112:P113"/>
    <mergeCell ref="B115:B119"/>
    <mergeCell ref="J115:J119"/>
  </mergeCells>
  <pageMargins left="0.7" right="0.7" top="0.75" bottom="0.75" header="0.3" footer="0.3"/>
  <ignoredErrors>
    <ignoredError sqref="H12 L16 H16:H17 P12 P16:P18 K36:U38 K30:U31 K52:U53 L51:U51 L32:U32 L39:U39 K29 L29:U29"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A50FF-0C7F-594C-BDAA-588C25EB8AC8}">
  <dimension ref="B1:AD64"/>
  <sheetViews>
    <sheetView tabSelected="1" zoomScaleNormal="100" workbookViewId="0">
      <pane xSplit="2" ySplit="2" topLeftCell="C3" activePane="bottomRight" state="frozen"/>
      <selection activeCell="C24" sqref="C24"/>
      <selection pane="topRight" activeCell="C24" sqref="C24"/>
      <selection pane="bottomLeft" activeCell="C24" sqref="C24"/>
      <selection pane="bottomRight" activeCell="O30" sqref="O30"/>
    </sheetView>
  </sheetViews>
  <sheetFormatPr baseColWidth="10" defaultRowHeight="16" x14ac:dyDescent="0.2"/>
  <cols>
    <col min="1" max="1" width="5" style="78" customWidth="1"/>
    <col min="2" max="2" width="27.6640625" style="78" customWidth="1"/>
    <col min="3" max="16384" width="10.83203125" style="78"/>
  </cols>
  <sheetData>
    <row r="1" spans="2:30" x14ac:dyDescent="0.2">
      <c r="B1" s="78" t="e" vm="1">
        <v>#VALUE!</v>
      </c>
    </row>
    <row r="2" spans="2:30" s="116" customFormat="1" x14ac:dyDescent="0.2">
      <c r="B2" s="115" t="s">
        <v>93</v>
      </c>
      <c r="C2" s="116" t="s">
        <v>94</v>
      </c>
      <c r="D2" s="116" t="s">
        <v>95</v>
      </c>
      <c r="E2" s="116" t="s">
        <v>96</v>
      </c>
      <c r="F2" s="116" t="s">
        <v>97</v>
      </c>
      <c r="G2" s="116" t="s">
        <v>98</v>
      </c>
      <c r="H2" s="116" t="s">
        <v>99</v>
      </c>
      <c r="I2" s="116" t="s">
        <v>100</v>
      </c>
      <c r="J2" s="116" t="s">
        <v>101</v>
      </c>
      <c r="K2" s="116" t="s">
        <v>102</v>
      </c>
      <c r="L2" s="116" t="s">
        <v>103</v>
      </c>
      <c r="M2" s="116" t="s">
        <v>104</v>
      </c>
      <c r="N2" s="116" t="s">
        <v>105</v>
      </c>
      <c r="P2" s="117">
        <v>2019</v>
      </c>
      <c r="Q2" s="117">
        <f>P2+1</f>
        <v>2020</v>
      </c>
      <c r="R2" s="117">
        <f t="shared" ref="R2" si="0">Q2+1</f>
        <v>2021</v>
      </c>
      <c r="S2" s="118">
        <f>T2-1</f>
        <v>2022</v>
      </c>
      <c r="T2" s="118">
        <v>2023</v>
      </c>
      <c r="U2" s="118">
        <f>T2+1</f>
        <v>2024</v>
      </c>
      <c r="V2" s="118">
        <f t="shared" ref="V2:AC2" si="1">U2+1</f>
        <v>2025</v>
      </c>
      <c r="W2" s="118">
        <f t="shared" si="1"/>
        <v>2026</v>
      </c>
      <c r="X2" s="118">
        <f t="shared" si="1"/>
        <v>2027</v>
      </c>
      <c r="Y2" s="118">
        <f t="shared" si="1"/>
        <v>2028</v>
      </c>
      <c r="Z2" s="118">
        <f t="shared" si="1"/>
        <v>2029</v>
      </c>
      <c r="AA2" s="118">
        <f t="shared" si="1"/>
        <v>2030</v>
      </c>
      <c r="AB2" s="118">
        <f t="shared" si="1"/>
        <v>2031</v>
      </c>
      <c r="AC2" s="118">
        <f t="shared" si="1"/>
        <v>2032</v>
      </c>
    </row>
    <row r="3" spans="2:30" x14ac:dyDescent="0.2">
      <c r="B3" s="78" t="s">
        <v>106</v>
      </c>
      <c r="C3" s="79">
        <v>1177.8150000000001</v>
      </c>
      <c r="D3" s="79">
        <v>1212.549</v>
      </c>
      <c r="E3" s="79">
        <v>1320.7950000000001</v>
      </c>
      <c r="F3" s="79">
        <f>5170.707-E3-D3-C3</f>
        <v>1459.5480000000002</v>
      </c>
      <c r="G3" s="79">
        <v>1475.9359999999999</v>
      </c>
      <c r="H3" s="79">
        <v>1561.1869999999999</v>
      </c>
      <c r="I3" s="79">
        <v>1617.7539999999999</v>
      </c>
      <c r="J3" s="79">
        <f>I3*(1+J42)</f>
        <v>1730.9967799999999</v>
      </c>
      <c r="K3" s="79">
        <f t="shared" ref="K3:M3" si="2">J3*(1+K42)</f>
        <v>1869.4765224</v>
      </c>
      <c r="L3" s="79">
        <f t="shared" si="2"/>
        <v>1962.95034852</v>
      </c>
      <c r="M3" s="79">
        <f t="shared" si="2"/>
        <v>2080.7273694312003</v>
      </c>
      <c r="N3" s="79">
        <f>M3*(1+N42)</f>
        <v>2184.7637379027606</v>
      </c>
      <c r="O3" s="79"/>
      <c r="P3" s="79">
        <v>3472.1550000000002</v>
      </c>
      <c r="Q3" s="79">
        <v>4092.549</v>
      </c>
      <c r="R3" s="79">
        <f>SUM(C3:F3)</f>
        <v>5170.7070000000003</v>
      </c>
      <c r="S3" s="79">
        <f t="shared" ref="S3:S16" si="3">SUM(G3:J3)</f>
        <v>6385.8737799999999</v>
      </c>
      <c r="T3" s="79">
        <f>SUM(K3:N3)</f>
        <v>8097.9179782539613</v>
      </c>
      <c r="U3" s="79">
        <f>T3*(1+U40)</f>
        <v>9879.4599334698323</v>
      </c>
      <c r="V3" s="79">
        <f t="shared" ref="V3:AC3" si="4">U3*(1+V40)</f>
        <v>11657.762721494402</v>
      </c>
      <c r="W3" s="79">
        <f t="shared" si="4"/>
        <v>13289.849502503621</v>
      </c>
      <c r="X3" s="79">
        <f t="shared" si="4"/>
        <v>14884.631442804057</v>
      </c>
      <c r="Y3" s="79">
        <f t="shared" si="4"/>
        <v>16354.488797780956</v>
      </c>
      <c r="Z3" s="79">
        <f t="shared" si="4"/>
        <v>17621.961679608983</v>
      </c>
      <c r="AA3" s="79">
        <f t="shared" si="4"/>
        <v>18613.197024086985</v>
      </c>
      <c r="AB3" s="79">
        <f t="shared" si="4"/>
        <v>19264.658919930029</v>
      </c>
      <c r="AC3" s="79">
        <f t="shared" si="4"/>
        <v>20227.891865926533</v>
      </c>
      <c r="AD3" s="79"/>
    </row>
    <row r="4" spans="2:30" x14ac:dyDescent="0.2">
      <c r="B4" s="78" t="s">
        <v>107</v>
      </c>
      <c r="C4" s="79">
        <v>36.124000000000002</v>
      </c>
      <c r="D4" s="79">
        <v>33.207000000000001</v>
      </c>
      <c r="E4" s="79">
        <v>48.206000000000003</v>
      </c>
      <c r="F4" s="79">
        <f>253.991-E4-D4-C4</f>
        <v>136.45400000000004</v>
      </c>
      <c r="G4" s="79">
        <f>104.489</f>
        <v>104.489</v>
      </c>
      <c r="H4" s="79">
        <v>99.597999999999999</v>
      </c>
      <c r="I4" s="79">
        <v>110.776</v>
      </c>
      <c r="J4" s="79">
        <f>4%*J14</f>
        <v>37.507377600000034</v>
      </c>
      <c r="K4" s="79">
        <f t="shared" ref="K4:N4" si="5">4%*K14</f>
        <v>27.475065952000005</v>
      </c>
      <c r="L4" s="79">
        <f t="shared" si="5"/>
        <v>27.867767271040066</v>
      </c>
      <c r="M4" s="79">
        <f t="shared" si="5"/>
        <v>39.683683924691287</v>
      </c>
      <c r="N4" s="79">
        <f t="shared" si="5"/>
        <v>52.448792589909282</v>
      </c>
      <c r="O4" s="79"/>
      <c r="P4" s="79">
        <v>129.911</v>
      </c>
      <c r="Q4" s="79">
        <v>138.661</v>
      </c>
      <c r="R4" s="79">
        <f t="shared" ref="R4:R16" si="6">SUM(C4:F4)</f>
        <v>253.99100000000004</v>
      </c>
      <c r="S4" s="79">
        <f t="shared" si="3"/>
        <v>352.37037760000004</v>
      </c>
      <c r="T4" s="79">
        <f t="shared" ref="T4:AC32" si="7">SUM(K4:N4)</f>
        <v>147.47530973764066</v>
      </c>
      <c r="U4" s="79">
        <f>4%*U14</f>
        <v>159.9894753173711</v>
      </c>
      <c r="V4" s="79">
        <f t="shared" ref="V4:AC4" si="8">4%*V14</f>
        <v>175.82831760228194</v>
      </c>
      <c r="W4" s="79">
        <f t="shared" si="8"/>
        <v>193.40943253853308</v>
      </c>
      <c r="X4" s="79">
        <f t="shared" si="8"/>
        <v>212.9244701177717</v>
      </c>
      <c r="Y4" s="79">
        <f t="shared" si="8"/>
        <v>234.58616183072664</v>
      </c>
      <c r="Z4" s="79">
        <f t="shared" si="8"/>
        <v>258.63063963210652</v>
      </c>
      <c r="AA4" s="79">
        <f t="shared" si="8"/>
        <v>285.32000999163824</v>
      </c>
      <c r="AB4" s="79">
        <f t="shared" si="8"/>
        <v>314.94521109071837</v>
      </c>
      <c r="AC4" s="79">
        <f t="shared" si="8"/>
        <v>347.82918431069788</v>
      </c>
      <c r="AD4" s="79"/>
    </row>
    <row r="5" spans="2:30" s="47" customFormat="1" x14ac:dyDescent="0.2">
      <c r="B5" s="47" t="s">
        <v>18</v>
      </c>
      <c r="C5" s="119">
        <f t="shared" ref="C5:N5" si="9">SUM(C3:C4)</f>
        <v>1213.9390000000001</v>
      </c>
      <c r="D5" s="119">
        <f t="shared" si="9"/>
        <v>1245.7560000000001</v>
      </c>
      <c r="E5" s="119">
        <f t="shared" si="9"/>
        <v>1369.001</v>
      </c>
      <c r="F5" s="119">
        <f t="shared" si="9"/>
        <v>1596.0020000000002</v>
      </c>
      <c r="G5" s="119">
        <f t="shared" si="9"/>
        <v>1580.425</v>
      </c>
      <c r="H5" s="119">
        <f t="shared" si="9"/>
        <v>1660.7849999999999</v>
      </c>
      <c r="I5" s="119">
        <f t="shared" si="9"/>
        <v>1728.53</v>
      </c>
      <c r="J5" s="119">
        <f t="shared" si="9"/>
        <v>1768.5041575999999</v>
      </c>
      <c r="K5" s="119">
        <f t="shared" si="9"/>
        <v>1896.951588352</v>
      </c>
      <c r="L5" s="119">
        <f t="shared" si="9"/>
        <v>1990.8181157910401</v>
      </c>
      <c r="M5" s="119">
        <f t="shared" si="9"/>
        <v>2120.4110533558915</v>
      </c>
      <c r="N5" s="119">
        <f t="shared" si="9"/>
        <v>2237.2125304926699</v>
      </c>
      <c r="O5" s="119"/>
      <c r="P5" s="119">
        <f t="shared" ref="P5:Q5" si="10">SUM(P3:P4)</f>
        <v>3602.0660000000003</v>
      </c>
      <c r="Q5" s="119">
        <f t="shared" si="10"/>
        <v>4231.21</v>
      </c>
      <c r="R5" s="119">
        <f>SUM(C5:F5)</f>
        <v>5424.6980000000003</v>
      </c>
      <c r="S5" s="119">
        <f t="shared" si="3"/>
        <v>6738.2441576000001</v>
      </c>
      <c r="T5" s="119">
        <f t="shared" si="7"/>
        <v>8245.393287991601</v>
      </c>
      <c r="U5" s="119">
        <f t="shared" ref="U5:AC5" si="11">SUM(U3:U4)</f>
        <v>10039.449408787203</v>
      </c>
      <c r="V5" s="119">
        <f t="shared" si="11"/>
        <v>11833.591039096684</v>
      </c>
      <c r="W5" s="119">
        <f t="shared" si="11"/>
        <v>13483.258935042153</v>
      </c>
      <c r="X5" s="119">
        <f t="shared" si="11"/>
        <v>15097.555912921829</v>
      </c>
      <c r="Y5" s="119">
        <f t="shared" si="11"/>
        <v>16589.074959611684</v>
      </c>
      <c r="Z5" s="119">
        <f t="shared" si="11"/>
        <v>17880.592319241088</v>
      </c>
      <c r="AA5" s="119">
        <f t="shared" si="11"/>
        <v>18898.517034078624</v>
      </c>
      <c r="AB5" s="119">
        <f t="shared" si="11"/>
        <v>19579.604131020747</v>
      </c>
      <c r="AC5" s="119">
        <f t="shared" si="11"/>
        <v>20575.721050237229</v>
      </c>
      <c r="AD5" s="119"/>
    </row>
    <row r="6" spans="2:30" x14ac:dyDescent="0.2">
      <c r="B6" s="78" t="s">
        <v>108</v>
      </c>
      <c r="C6" s="79">
        <v>185.12200000000001</v>
      </c>
      <c r="D6" s="79">
        <f>205.057</f>
        <v>205.05699999999999</v>
      </c>
      <c r="E6" s="79">
        <f>217.995</f>
        <v>217.995</v>
      </c>
      <c r="F6" s="79">
        <f>917.847-E6-D6-C6</f>
        <v>309.67299999999994</v>
      </c>
      <c r="G6" s="79">
        <v>240.67400000000001</v>
      </c>
      <c r="H6" s="79">
        <v>289.28800000000001</v>
      </c>
      <c r="I6" s="79">
        <v>270.36900000000003</v>
      </c>
      <c r="J6" s="79">
        <f>J5*J48</f>
        <v>291.36254025202493</v>
      </c>
      <c r="K6" s="79">
        <f t="shared" ref="K6:N6" si="12">K5*K48</f>
        <v>315.84507950053137</v>
      </c>
      <c r="L6" s="79">
        <f t="shared" si="12"/>
        <v>332.01347780358958</v>
      </c>
      <c r="M6" s="79">
        <f t="shared" si="12"/>
        <v>355.90872258993892</v>
      </c>
      <c r="N6" s="79">
        <f t="shared" si="12"/>
        <v>367.1460613420013</v>
      </c>
      <c r="O6" s="79"/>
      <c r="P6" s="79">
        <v>679.40800000000002</v>
      </c>
      <c r="Q6" s="79">
        <v>711.78200000000004</v>
      </c>
      <c r="R6" s="79">
        <f t="shared" si="6"/>
        <v>917.84699999999998</v>
      </c>
      <c r="S6" s="79">
        <f t="shared" si="3"/>
        <v>1091.6935402520248</v>
      </c>
      <c r="T6" s="79">
        <f t="shared" si="7"/>
        <v>1370.9133412360611</v>
      </c>
      <c r="U6" s="79">
        <f>U5*U48</f>
        <v>1667.8417913188121</v>
      </c>
      <c r="V6" s="79">
        <f t="shared" ref="V6:AC6" si="13">V5*V48</f>
        <v>1966.2919839917488</v>
      </c>
      <c r="W6" s="79">
        <f t="shared" si="13"/>
        <v>2240.1218985489181</v>
      </c>
      <c r="X6" s="79">
        <f t="shared" si="13"/>
        <v>2508.1211401762907</v>
      </c>
      <c r="Y6" s="79">
        <f t="shared" si="13"/>
        <v>2756.106103875728</v>
      </c>
      <c r="Z6" s="79">
        <f t="shared" si="13"/>
        <v>2970.7278394770474</v>
      </c>
      <c r="AA6" s="79">
        <f t="shared" si="13"/>
        <v>3139.7572247707626</v>
      </c>
      <c r="AB6" s="79">
        <f t="shared" si="13"/>
        <v>3252.8957128588449</v>
      </c>
      <c r="AC6" s="79">
        <f t="shared" si="13"/>
        <v>3418.4354956488205</v>
      </c>
      <c r="AD6" s="79"/>
    </row>
    <row r="7" spans="2:30" x14ac:dyDescent="0.2">
      <c r="B7" s="78" t="s">
        <v>109</v>
      </c>
      <c r="C7" s="79">
        <v>44.982999999999997</v>
      </c>
      <c r="D7" s="79">
        <f>44.322</f>
        <v>44.322000000000003</v>
      </c>
      <c r="E7" s="79">
        <f>52.413</f>
        <v>52.412999999999997</v>
      </c>
      <c r="F7" s="79">
        <f>198.268-E7-D7-C7</f>
        <v>56.550000000000018</v>
      </c>
      <c r="G7" s="79">
        <v>66.747</v>
      </c>
      <c r="H7" s="79">
        <v>69.641999999999996</v>
      </c>
      <c r="I7" s="79">
        <v>80.507000000000005</v>
      </c>
      <c r="J7" s="79">
        <f>8%*J38</f>
        <v>81.397040000000004</v>
      </c>
      <c r="K7" s="79">
        <f>8%*K38</f>
        <v>87.908803200000023</v>
      </c>
      <c r="L7" s="79">
        <f t="shared" ref="L7:N7" si="14">8%*L38</f>
        <v>92.304243360000015</v>
      </c>
      <c r="M7" s="79">
        <f t="shared" si="14"/>
        <v>97.842497961600017</v>
      </c>
      <c r="N7" s="79">
        <f t="shared" si="14"/>
        <v>102.73462285968003</v>
      </c>
      <c r="O7" s="79"/>
      <c r="P7" s="79">
        <v>199.648</v>
      </c>
      <c r="Q7" s="79">
        <v>166.16200000000001</v>
      </c>
      <c r="R7" s="79">
        <f t="shared" si="6"/>
        <v>198.26800000000003</v>
      </c>
      <c r="S7" s="79">
        <f t="shared" si="3"/>
        <v>298.29304000000002</v>
      </c>
      <c r="T7" s="79">
        <f t="shared" si="7"/>
        <v>380.79016738128007</v>
      </c>
      <c r="U7" s="79">
        <f>1%*U34</f>
        <v>334.55083853619533</v>
      </c>
      <c r="V7" s="79">
        <f t="shared" ref="V7:AC7" si="15">1%*V34</f>
        <v>371.35143077517677</v>
      </c>
      <c r="W7" s="79">
        <f t="shared" si="15"/>
        <v>412.20008816044628</v>
      </c>
      <c r="X7" s="79">
        <f t="shared" si="15"/>
        <v>457.54209785809536</v>
      </c>
      <c r="Y7" s="79">
        <f t="shared" si="15"/>
        <v>507.87172862248593</v>
      </c>
      <c r="Z7" s="79">
        <f t="shared" si="15"/>
        <v>563.73761877095944</v>
      </c>
      <c r="AA7" s="79">
        <f t="shared" si="15"/>
        <v>625.74875683576499</v>
      </c>
      <c r="AB7" s="79">
        <f t="shared" si="15"/>
        <v>694.58112008769911</v>
      </c>
      <c r="AC7" s="79">
        <f t="shared" si="15"/>
        <v>770.98504329734612</v>
      </c>
      <c r="AD7" s="79"/>
    </row>
    <row r="8" spans="2:30" x14ac:dyDescent="0.2">
      <c r="B8" s="78" t="s">
        <v>110</v>
      </c>
      <c r="C8" s="79">
        <v>2.383</v>
      </c>
      <c r="D8" s="79">
        <v>3.774</v>
      </c>
      <c r="E8" s="79">
        <v>1.262</v>
      </c>
      <c r="F8" s="79">
        <f>10.376-E8-D8-C8</f>
        <v>2.956999999999999</v>
      </c>
      <c r="G8" s="79">
        <v>2.1920000000000002</v>
      </c>
      <c r="H8" s="79">
        <v>4.4349999999999996</v>
      </c>
      <c r="I8" s="79">
        <v>5.5170000000000003</v>
      </c>
      <c r="J8" s="79">
        <f>AVERAGE(G8:I8)</f>
        <v>4.048</v>
      </c>
      <c r="K8" s="79">
        <f t="shared" ref="K8:N8" si="16">AVERAGE(H8:J8)</f>
        <v>4.666666666666667</v>
      </c>
      <c r="L8" s="79">
        <f t="shared" si="16"/>
        <v>4.7438888888888897</v>
      </c>
      <c r="M8" s="79">
        <f t="shared" si="16"/>
        <v>4.4861851851851853</v>
      </c>
      <c r="N8" s="79">
        <f t="shared" si="16"/>
        <v>4.6322469135802473</v>
      </c>
      <c r="O8" s="79"/>
      <c r="P8" s="79">
        <v>17.738</v>
      </c>
      <c r="Q8" s="79">
        <v>12.864000000000001</v>
      </c>
      <c r="R8" s="79">
        <f t="shared" si="6"/>
        <v>10.375999999999999</v>
      </c>
      <c r="S8" s="79">
        <f t="shared" si="3"/>
        <v>16.192</v>
      </c>
      <c r="T8" s="79">
        <f t="shared" si="7"/>
        <v>18.528987654320989</v>
      </c>
      <c r="U8" s="79">
        <f>T8*(1+U47)</f>
        <v>22.560577483006739</v>
      </c>
      <c r="V8" s="79">
        <f t="shared" ref="V8:AC8" si="17">U8*(1+V47)</f>
        <v>26.592359468048368</v>
      </c>
      <c r="W8" s="79">
        <f t="shared" si="17"/>
        <v>30.299481131028337</v>
      </c>
      <c r="X8" s="79">
        <f t="shared" si="17"/>
        <v>33.927117524928711</v>
      </c>
      <c r="Y8" s="79">
        <f t="shared" si="17"/>
        <v>37.278848247409812</v>
      </c>
      <c r="Z8" s="79">
        <f t="shared" si="17"/>
        <v>40.181136637554445</v>
      </c>
      <c r="AA8" s="79">
        <f t="shared" si="17"/>
        <v>42.468609631925965</v>
      </c>
      <c r="AB8" s="79">
        <f t="shared" si="17"/>
        <v>43.999143588279168</v>
      </c>
      <c r="AC8" s="79">
        <f t="shared" si="17"/>
        <v>46.237610263398579</v>
      </c>
      <c r="AD8" s="79"/>
    </row>
    <row r="9" spans="2:30" x14ac:dyDescent="0.2">
      <c r="B9" s="78" t="s">
        <v>111</v>
      </c>
      <c r="C9" s="79">
        <f t="shared" ref="C9:H9" si="18">SUM(C6:C8)</f>
        <v>232.48800000000003</v>
      </c>
      <c r="D9" s="79">
        <f t="shared" si="18"/>
        <v>253.15299999999999</v>
      </c>
      <c r="E9" s="79">
        <f t="shared" si="18"/>
        <v>271.67</v>
      </c>
      <c r="F9" s="79">
        <f t="shared" si="18"/>
        <v>369.17999999999995</v>
      </c>
      <c r="G9" s="79">
        <f t="shared" si="18"/>
        <v>309.613</v>
      </c>
      <c r="H9" s="79">
        <f t="shared" si="18"/>
        <v>363.36500000000001</v>
      </c>
      <c r="I9" s="79">
        <f>SUM(I6:I8)</f>
        <v>356.39300000000003</v>
      </c>
      <c r="J9" s="79">
        <f t="shared" ref="J9:Q9" si="19">SUM(J6:J8)</f>
        <v>376.80758025202493</v>
      </c>
      <c r="K9" s="79">
        <f t="shared" si="19"/>
        <v>408.42054936719808</v>
      </c>
      <c r="L9" s="79">
        <f t="shared" si="19"/>
        <v>429.06161005247844</v>
      </c>
      <c r="M9" s="79">
        <f t="shared" si="19"/>
        <v>458.23740573672416</v>
      </c>
      <c r="N9" s="79">
        <f t="shared" si="19"/>
        <v>474.51293111526161</v>
      </c>
      <c r="O9" s="79"/>
      <c r="P9" s="79">
        <f t="shared" si="19"/>
        <v>896.7940000000001</v>
      </c>
      <c r="Q9" s="79">
        <f t="shared" si="19"/>
        <v>890.80800000000011</v>
      </c>
      <c r="R9" s="79">
        <f t="shared" si="6"/>
        <v>1126.491</v>
      </c>
      <c r="S9" s="79">
        <f t="shared" si="3"/>
        <v>1406.1785802520251</v>
      </c>
      <c r="T9" s="79">
        <f t="shared" si="7"/>
        <v>1770.2324962716623</v>
      </c>
      <c r="U9" s="79">
        <f t="shared" ref="U9:AC9" si="20">SUM(U6:U8)</f>
        <v>2024.953207338014</v>
      </c>
      <c r="V9" s="79">
        <f t="shared" si="20"/>
        <v>2364.2357742349741</v>
      </c>
      <c r="W9" s="79">
        <f t="shared" si="20"/>
        <v>2682.6214678403926</v>
      </c>
      <c r="X9" s="79">
        <f t="shared" si="20"/>
        <v>2999.590355559315</v>
      </c>
      <c r="Y9" s="79">
        <f t="shared" si="20"/>
        <v>3301.2566807456237</v>
      </c>
      <c r="Z9" s="79">
        <f t="shared" si="20"/>
        <v>3574.6465948855616</v>
      </c>
      <c r="AA9" s="79">
        <f t="shared" si="20"/>
        <v>3807.9745912384537</v>
      </c>
      <c r="AB9" s="79">
        <f t="shared" si="20"/>
        <v>3991.4759765348235</v>
      </c>
      <c r="AC9" s="79">
        <f t="shared" si="20"/>
        <v>4235.6581492095656</v>
      </c>
      <c r="AD9" s="79"/>
    </row>
    <row r="10" spans="2:30" s="47" customFormat="1" x14ac:dyDescent="0.2">
      <c r="B10" s="47" t="s">
        <v>112</v>
      </c>
      <c r="C10" s="119">
        <f t="shared" ref="C10:H10" si="21">C5-C9</f>
        <v>981.45100000000002</v>
      </c>
      <c r="D10" s="119">
        <f t="shared" si="21"/>
        <v>992.60300000000007</v>
      </c>
      <c r="E10" s="119">
        <f t="shared" si="21"/>
        <v>1097.3309999999999</v>
      </c>
      <c r="F10" s="119">
        <f t="shared" si="21"/>
        <v>1226.8220000000001</v>
      </c>
      <c r="G10" s="119">
        <f t="shared" si="21"/>
        <v>1270.8119999999999</v>
      </c>
      <c r="H10" s="119">
        <f t="shared" si="21"/>
        <v>1297.4199999999998</v>
      </c>
      <c r="I10" s="119">
        <f>I5-I9</f>
        <v>1372.1369999999999</v>
      </c>
      <c r="J10" s="119">
        <f t="shared" ref="J10:Q10" si="22">J5-J9</f>
        <v>1391.6965773479749</v>
      </c>
      <c r="K10" s="119">
        <f t="shared" si="22"/>
        <v>1488.5310389848019</v>
      </c>
      <c r="L10" s="119">
        <f t="shared" si="22"/>
        <v>1561.7565057385616</v>
      </c>
      <c r="M10" s="119">
        <f t="shared" si="22"/>
        <v>1662.1736476191672</v>
      </c>
      <c r="N10" s="119">
        <f t="shared" si="22"/>
        <v>1762.6995993774083</v>
      </c>
      <c r="O10" s="119"/>
      <c r="P10" s="119">
        <f t="shared" si="22"/>
        <v>2705.2719999999999</v>
      </c>
      <c r="Q10" s="119">
        <f t="shared" si="22"/>
        <v>3340.402</v>
      </c>
      <c r="R10" s="119">
        <f t="shared" si="6"/>
        <v>4298.2070000000003</v>
      </c>
      <c r="S10" s="119">
        <f t="shared" si="3"/>
        <v>5332.0655773479748</v>
      </c>
      <c r="T10" s="119">
        <f t="shared" si="7"/>
        <v>6475.160791719939</v>
      </c>
      <c r="U10" s="119">
        <f t="shared" ref="U10:AC10" si="23">U5-U9</f>
        <v>8014.4962014491884</v>
      </c>
      <c r="V10" s="119">
        <f t="shared" si="23"/>
        <v>9469.3552648617097</v>
      </c>
      <c r="W10" s="119">
        <f t="shared" si="23"/>
        <v>10800.637467201761</v>
      </c>
      <c r="X10" s="119">
        <f t="shared" si="23"/>
        <v>12097.965557362513</v>
      </c>
      <c r="Y10" s="119">
        <f t="shared" si="23"/>
        <v>13287.81827886606</v>
      </c>
      <c r="Z10" s="119">
        <f t="shared" si="23"/>
        <v>14305.945724355526</v>
      </c>
      <c r="AA10" s="119">
        <f t="shared" si="23"/>
        <v>15090.542442840171</v>
      </c>
      <c r="AB10" s="119">
        <f t="shared" si="23"/>
        <v>15588.128154485923</v>
      </c>
      <c r="AC10" s="119">
        <f t="shared" si="23"/>
        <v>16340.062901027664</v>
      </c>
      <c r="AD10" s="119"/>
    </row>
    <row r="11" spans="2:30" x14ac:dyDescent="0.2">
      <c r="B11" s="78" t="s">
        <v>113</v>
      </c>
      <c r="C11" s="79">
        <v>3993.2170000000001</v>
      </c>
      <c r="D11" s="79">
        <v>3986.6849999999999</v>
      </c>
      <c r="E11" s="79">
        <v>4756.0290000000005</v>
      </c>
      <c r="F11" s="79">
        <f>16788.721-E11-D11-C11</f>
        <v>4052.7900000000013</v>
      </c>
      <c r="G11" s="79">
        <v>3418.5010000000002</v>
      </c>
      <c r="H11" s="79">
        <v>-1249.2280000000001</v>
      </c>
      <c r="I11" s="79">
        <v>-922.21799999999996</v>
      </c>
      <c r="J11" s="79">
        <f>J35</f>
        <v>787.6844400000009</v>
      </c>
      <c r="K11" s="79">
        <f t="shared" ref="K11:L11" si="24">K35</f>
        <v>540.87664880000011</v>
      </c>
      <c r="L11" s="79">
        <f t="shared" si="24"/>
        <v>551.69418177600164</v>
      </c>
      <c r="M11" s="79">
        <f>M35</f>
        <v>844.09209811728215</v>
      </c>
      <c r="N11" s="79">
        <f>N35</f>
        <v>1159.219814747732</v>
      </c>
      <c r="O11" s="79"/>
      <c r="P11" s="79">
        <v>3473.8130000000001</v>
      </c>
      <c r="Q11" s="79">
        <v>1998.6279999999999</v>
      </c>
      <c r="R11" s="79">
        <f t="shared" si="6"/>
        <v>16788.721000000001</v>
      </c>
      <c r="S11" s="79">
        <f t="shared" si="3"/>
        <v>2034.7394400000012</v>
      </c>
      <c r="T11" s="79">
        <f t="shared" si="7"/>
        <v>3095.8827434410159</v>
      </c>
      <c r="U11" s="79">
        <f>U35</f>
        <v>3315.3686701785118</v>
      </c>
      <c r="V11" s="79">
        <f t="shared" ref="V11:AC11" si="25">V35</f>
        <v>3680.059223898148</v>
      </c>
      <c r="W11" s="79">
        <f t="shared" si="25"/>
        <v>4084.8657385269471</v>
      </c>
      <c r="X11" s="79">
        <f t="shared" si="25"/>
        <v>4534.2009697649119</v>
      </c>
      <c r="Y11" s="79">
        <f t="shared" si="25"/>
        <v>5032.9630764390531</v>
      </c>
      <c r="Z11" s="79">
        <f t="shared" si="25"/>
        <v>5586.5890148473482</v>
      </c>
      <c r="AA11" s="79">
        <f t="shared" si="25"/>
        <v>6201.1138064805564</v>
      </c>
      <c r="AB11" s="79">
        <f t="shared" si="25"/>
        <v>6883.2363251934148</v>
      </c>
      <c r="AC11" s="79">
        <f t="shared" si="25"/>
        <v>7640.3923209647037</v>
      </c>
      <c r="AD11" s="79"/>
    </row>
    <row r="12" spans="2:30" x14ac:dyDescent="0.2">
      <c r="B12" s="78" t="s">
        <v>114</v>
      </c>
      <c r="C12" s="79">
        <v>31.411999999999999</v>
      </c>
      <c r="D12" s="79">
        <v>31.016999999999999</v>
      </c>
      <c r="E12" s="79">
        <v>35.048000000000002</v>
      </c>
      <c r="F12" s="79">
        <f>160.643-E12-D12-C12</f>
        <v>63.166000000000004</v>
      </c>
      <c r="G12" s="79">
        <v>54.484999999999999</v>
      </c>
      <c r="H12" s="79">
        <v>62.075000000000003</v>
      </c>
      <c r="I12" s="79">
        <v>52.42</v>
      </c>
      <c r="J12" s="79">
        <v>50</v>
      </c>
      <c r="K12" s="79">
        <v>46</v>
      </c>
      <c r="L12" s="79">
        <v>45</v>
      </c>
      <c r="M12" s="79">
        <v>48</v>
      </c>
      <c r="N12" s="79">
        <v>52</v>
      </c>
      <c r="O12" s="79"/>
      <c r="P12" s="79">
        <v>182.398</v>
      </c>
      <c r="Q12" s="79">
        <v>125.23099999999999</v>
      </c>
      <c r="R12" s="79">
        <f t="shared" si="6"/>
        <v>160.643</v>
      </c>
      <c r="S12" s="79">
        <f t="shared" si="3"/>
        <v>218.98000000000002</v>
      </c>
      <c r="T12" s="79">
        <f t="shared" si="7"/>
        <v>191</v>
      </c>
      <c r="U12" s="79">
        <f>U34*0.85%</f>
        <v>284.36821275576602</v>
      </c>
      <c r="V12" s="79">
        <f t="shared" ref="V12:AC12" si="26">V34*0.85%</f>
        <v>315.6487161589003</v>
      </c>
      <c r="W12" s="79">
        <f>W34*0.85%</f>
        <v>350.37007493637935</v>
      </c>
      <c r="X12" s="79">
        <f t="shared" si="26"/>
        <v>388.9107831793811</v>
      </c>
      <c r="Y12" s="79">
        <f t="shared" si="26"/>
        <v>431.69096932911305</v>
      </c>
      <c r="Z12" s="79">
        <f t="shared" si="26"/>
        <v>479.17697595531553</v>
      </c>
      <c r="AA12" s="79">
        <f t="shared" si="26"/>
        <v>531.8864433104003</v>
      </c>
      <c r="AB12" s="79">
        <f t="shared" si="26"/>
        <v>590.39395207454425</v>
      </c>
      <c r="AC12" s="79">
        <f t="shared" si="26"/>
        <v>655.3372868027443</v>
      </c>
      <c r="AD12" s="79"/>
    </row>
    <row r="13" spans="2:30" x14ac:dyDescent="0.2">
      <c r="B13" s="78" t="s">
        <v>115</v>
      </c>
      <c r="C13" s="79">
        <v>60.304000000000002</v>
      </c>
      <c r="D13" s="79">
        <v>27.896000000000001</v>
      </c>
      <c r="E13" s="79">
        <v>64.186999999999998</v>
      </c>
      <c r="F13" s="79">
        <f>203.086-E13-D13-C13</f>
        <v>50.698999999999998</v>
      </c>
      <c r="G13" s="79">
        <v>72.869</v>
      </c>
      <c r="H13" s="79">
        <f>155.588</f>
        <v>155.58799999999999</v>
      </c>
      <c r="I13" s="79">
        <v>199.38200000000001</v>
      </c>
      <c r="J13" s="79">
        <v>100</v>
      </c>
      <c r="K13" s="79">
        <v>100</v>
      </c>
      <c r="L13" s="79">
        <v>100</v>
      </c>
      <c r="M13" s="79">
        <v>100</v>
      </c>
      <c r="N13" s="79">
        <v>100</v>
      </c>
      <c r="O13" s="79"/>
      <c r="P13" s="79">
        <v>79.992999999999995</v>
      </c>
      <c r="Q13" s="79">
        <v>-253.142</v>
      </c>
      <c r="R13" s="79">
        <f t="shared" si="6"/>
        <v>203.08600000000001</v>
      </c>
      <c r="S13" s="79">
        <f t="shared" si="3"/>
        <v>527.83899999999994</v>
      </c>
      <c r="T13" s="79">
        <f t="shared" si="7"/>
        <v>400</v>
      </c>
      <c r="U13" s="79">
        <f>T13</f>
        <v>400</v>
      </c>
      <c r="V13" s="79">
        <f t="shared" ref="V13:AC13" si="27">U13</f>
        <v>400</v>
      </c>
      <c r="W13" s="79">
        <f t="shared" si="27"/>
        <v>400</v>
      </c>
      <c r="X13" s="79">
        <f t="shared" si="27"/>
        <v>400</v>
      </c>
      <c r="Y13" s="79">
        <f t="shared" si="27"/>
        <v>400</v>
      </c>
      <c r="Z13" s="79">
        <f t="shared" si="27"/>
        <v>400</v>
      </c>
      <c r="AA13" s="79">
        <f t="shared" si="27"/>
        <v>400</v>
      </c>
      <c r="AB13" s="79">
        <f t="shared" si="27"/>
        <v>400</v>
      </c>
      <c r="AC13" s="79">
        <f t="shared" si="27"/>
        <v>400</v>
      </c>
      <c r="AD13" s="79"/>
    </row>
    <row r="14" spans="2:30" s="47" customFormat="1" x14ac:dyDescent="0.2">
      <c r="B14" s="47" t="s">
        <v>23</v>
      </c>
      <c r="C14" s="119">
        <f>SUM(C11:C13)</f>
        <v>4084.933</v>
      </c>
      <c r="D14" s="119">
        <f t="shared" ref="D14:H14" si="28">SUM(D11:D13)</f>
        <v>4045.598</v>
      </c>
      <c r="E14" s="119">
        <f t="shared" si="28"/>
        <v>4855.2640000000001</v>
      </c>
      <c r="F14" s="119">
        <f t="shared" si="28"/>
        <v>4166.6550000000007</v>
      </c>
      <c r="G14" s="119">
        <f t="shared" si="28"/>
        <v>3545.8550000000005</v>
      </c>
      <c r="H14" s="119">
        <f t="shared" si="28"/>
        <v>-1031.5650000000001</v>
      </c>
      <c r="I14" s="119">
        <f>SUM(I11:I13)</f>
        <v>-670.41599999999994</v>
      </c>
      <c r="J14" s="119">
        <f>SUM(J11:J13)</f>
        <v>937.6844400000009</v>
      </c>
      <c r="K14" s="119">
        <f t="shared" ref="K14:Q14" si="29">SUM(K11:K13)</f>
        <v>686.87664880000011</v>
      </c>
      <c r="L14" s="119">
        <f>SUM(L11:L13)</f>
        <v>696.69418177600164</v>
      </c>
      <c r="M14" s="119">
        <f>SUM(M11:M13)</f>
        <v>992.09209811728215</v>
      </c>
      <c r="N14" s="119">
        <f>SUM(N11:N13)</f>
        <v>1311.219814747732</v>
      </c>
      <c r="O14" s="119"/>
      <c r="P14" s="119">
        <f t="shared" si="29"/>
        <v>3736.2040000000002</v>
      </c>
      <c r="Q14" s="119">
        <f t="shared" si="29"/>
        <v>1870.7169999999999</v>
      </c>
      <c r="R14" s="119">
        <f t="shared" si="6"/>
        <v>17152.45</v>
      </c>
      <c r="S14" s="119">
        <f t="shared" si="3"/>
        <v>2781.5584400000016</v>
      </c>
      <c r="T14" s="119">
        <f t="shared" si="7"/>
        <v>3686.8827434410159</v>
      </c>
      <c r="U14" s="119">
        <f>SUM(U11:U13)</f>
        <v>3999.7368829342777</v>
      </c>
      <c r="V14" s="119">
        <f t="shared" ref="V14:AC14" si="30">SUM(V11:V13)</f>
        <v>4395.7079400570483</v>
      </c>
      <c r="W14" s="119">
        <f t="shared" si="30"/>
        <v>4835.2358134633268</v>
      </c>
      <c r="X14" s="119">
        <f t="shared" si="30"/>
        <v>5323.1117529442927</v>
      </c>
      <c r="Y14" s="119">
        <f t="shared" si="30"/>
        <v>5864.6540457681658</v>
      </c>
      <c r="Z14" s="119">
        <f t="shared" si="30"/>
        <v>6465.7659908026635</v>
      </c>
      <c r="AA14" s="119">
        <f t="shared" si="30"/>
        <v>7133.0002497909563</v>
      </c>
      <c r="AB14" s="119">
        <f t="shared" si="30"/>
        <v>7873.6302772679592</v>
      </c>
      <c r="AC14" s="119">
        <f t="shared" si="30"/>
        <v>8695.7296077674473</v>
      </c>
      <c r="AD14" s="119"/>
    </row>
    <row r="15" spans="2:30" x14ac:dyDescent="0.2">
      <c r="B15" s="78" t="s">
        <v>116</v>
      </c>
      <c r="C15" s="79">
        <v>1818.9590000000001</v>
      </c>
      <c r="D15" s="79">
        <v>2019.1769999999999</v>
      </c>
      <c r="E15" s="79">
        <v>2382.6909999999998</v>
      </c>
      <c r="F15" s="79">
        <f>8350.126-E15-D15-C15</f>
        <v>2129.2990000000009</v>
      </c>
      <c r="G15" s="79">
        <v>1887.4090000000001</v>
      </c>
      <c r="H15" s="79">
        <v>380.74799999999999</v>
      </c>
      <c r="I15" s="79">
        <v>604.96799999999996</v>
      </c>
      <c r="J15" s="79">
        <v>800</v>
      </c>
      <c r="K15" s="79">
        <v>750</v>
      </c>
      <c r="L15" s="79">
        <v>700</v>
      </c>
      <c r="M15" s="79">
        <v>750</v>
      </c>
      <c r="N15" s="79">
        <v>800</v>
      </c>
      <c r="O15" s="79"/>
      <c r="P15" s="79">
        <v>3067.857</v>
      </c>
      <c r="Q15" s="79">
        <v>2588.7579999999998</v>
      </c>
      <c r="R15" s="79">
        <f t="shared" si="6"/>
        <v>8350.1260000000002</v>
      </c>
      <c r="S15" s="79">
        <f t="shared" si="3"/>
        <v>3673.125</v>
      </c>
      <c r="T15" s="79">
        <f t="shared" si="7"/>
        <v>3000</v>
      </c>
      <c r="U15" s="79">
        <f>U14*U53</f>
        <v>3199.7895063474225</v>
      </c>
      <c r="V15" s="79">
        <f t="shared" ref="V15:AC15" si="31">V14*V53</f>
        <v>4395.7079400570483</v>
      </c>
      <c r="W15" s="79">
        <f t="shared" si="31"/>
        <v>4835.2358134633268</v>
      </c>
      <c r="X15" s="79">
        <f t="shared" si="31"/>
        <v>5110.1872828265205</v>
      </c>
      <c r="Y15" s="79">
        <f t="shared" si="31"/>
        <v>4691.7232366145327</v>
      </c>
      <c r="Z15" s="79">
        <f t="shared" si="31"/>
        <v>5172.6127926421314</v>
      </c>
      <c r="AA15" s="79">
        <f t="shared" si="31"/>
        <v>5706.4001998327658</v>
      </c>
      <c r="AB15" s="79">
        <f t="shared" si="31"/>
        <v>6298.9042218143677</v>
      </c>
      <c r="AC15" s="79">
        <f t="shared" si="31"/>
        <v>6956.5836862139586</v>
      </c>
      <c r="AD15" s="79"/>
    </row>
    <row r="16" spans="2:30" s="47" customFormat="1" x14ac:dyDescent="0.2">
      <c r="B16" s="47" t="s">
        <v>112</v>
      </c>
      <c r="C16" s="119">
        <f t="shared" ref="C16:H16" si="32">C14-C15</f>
        <v>2265.9740000000002</v>
      </c>
      <c r="D16" s="119">
        <f t="shared" si="32"/>
        <v>2026.421</v>
      </c>
      <c r="E16" s="119">
        <f t="shared" si="32"/>
        <v>2472.5730000000003</v>
      </c>
      <c r="F16" s="119">
        <f t="shared" si="32"/>
        <v>2037.3559999999998</v>
      </c>
      <c r="G16" s="119">
        <f t="shared" si="32"/>
        <v>1658.4460000000004</v>
      </c>
      <c r="H16" s="119">
        <f t="shared" si="32"/>
        <v>-1412.3130000000001</v>
      </c>
      <c r="I16" s="119">
        <f>I14-I15</f>
        <v>-1275.384</v>
      </c>
      <c r="J16" s="119">
        <f t="shared" ref="J16:Q16" si="33">J14-J15</f>
        <v>137.6844400000009</v>
      </c>
      <c r="K16" s="119">
        <f t="shared" si="33"/>
        <v>-63.123351199999888</v>
      </c>
      <c r="L16" s="119">
        <f t="shared" si="33"/>
        <v>-3.305818223998358</v>
      </c>
      <c r="M16" s="119">
        <f t="shared" si="33"/>
        <v>242.09209811728215</v>
      </c>
      <c r="N16" s="119">
        <f t="shared" si="33"/>
        <v>511.21981474773202</v>
      </c>
      <c r="O16" s="119"/>
      <c r="P16" s="119">
        <f t="shared" si="33"/>
        <v>668.34700000000021</v>
      </c>
      <c r="Q16" s="119">
        <f t="shared" si="33"/>
        <v>-718.04099999999994</v>
      </c>
      <c r="R16" s="119">
        <f t="shared" si="6"/>
        <v>8802.3240000000005</v>
      </c>
      <c r="S16" s="119">
        <f t="shared" si="3"/>
        <v>-891.56655999999884</v>
      </c>
      <c r="T16" s="119">
        <f t="shared" si="7"/>
        <v>686.88274344101592</v>
      </c>
      <c r="U16" s="119">
        <f t="shared" ref="U16:AC16" si="34">U14-U15</f>
        <v>799.94737658685517</v>
      </c>
      <c r="V16" s="119">
        <f t="shared" si="34"/>
        <v>0</v>
      </c>
      <c r="W16" s="119">
        <f t="shared" si="34"/>
        <v>0</v>
      </c>
      <c r="X16" s="119">
        <f t="shared" si="34"/>
        <v>212.92447011777222</v>
      </c>
      <c r="Y16" s="119">
        <f t="shared" si="34"/>
        <v>1172.9308091536332</v>
      </c>
      <c r="Z16" s="119">
        <f t="shared" si="34"/>
        <v>1293.1531981605322</v>
      </c>
      <c r="AA16" s="119">
        <f t="shared" si="34"/>
        <v>1426.6000499581905</v>
      </c>
      <c r="AB16" s="119">
        <f t="shared" si="34"/>
        <v>1574.7260554535915</v>
      </c>
      <c r="AC16" s="119">
        <f t="shared" si="34"/>
        <v>1739.1459215534887</v>
      </c>
      <c r="AD16" s="119"/>
    </row>
    <row r="17" spans="2:30" x14ac:dyDescent="0.2">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row>
    <row r="18" spans="2:30" x14ac:dyDescent="0.2">
      <c r="B18" s="78" t="s">
        <v>18</v>
      </c>
      <c r="C18" s="79">
        <f>C5</f>
        <v>1213.9390000000001</v>
      </c>
      <c r="D18" s="79">
        <f t="shared" ref="D18:N18" si="35">D5</f>
        <v>1245.7560000000001</v>
      </c>
      <c r="E18" s="79">
        <f t="shared" si="35"/>
        <v>1369.001</v>
      </c>
      <c r="F18" s="79">
        <f t="shared" si="35"/>
        <v>1596.0020000000002</v>
      </c>
      <c r="G18" s="79">
        <f t="shared" si="35"/>
        <v>1580.425</v>
      </c>
      <c r="H18" s="79">
        <f t="shared" si="35"/>
        <v>1660.7849999999999</v>
      </c>
      <c r="I18" s="79">
        <f t="shared" si="35"/>
        <v>1728.53</v>
      </c>
      <c r="J18" s="79">
        <f t="shared" si="35"/>
        <v>1768.5041575999999</v>
      </c>
      <c r="K18" s="79">
        <f t="shared" si="35"/>
        <v>1896.951588352</v>
      </c>
      <c r="L18" s="79">
        <f t="shared" si="35"/>
        <v>1990.8181157910401</v>
      </c>
      <c r="M18" s="79">
        <f t="shared" si="35"/>
        <v>2120.4110533558915</v>
      </c>
      <c r="N18" s="79">
        <f t="shared" si="35"/>
        <v>2237.2125304926699</v>
      </c>
      <c r="O18" s="79"/>
      <c r="P18" s="79">
        <f t="shared" ref="P18:Q18" si="36">P5</f>
        <v>3602.0660000000003</v>
      </c>
      <c r="Q18" s="79">
        <f t="shared" si="36"/>
        <v>4231.21</v>
      </c>
      <c r="R18" s="79">
        <f t="shared" ref="R18:R26" si="37">SUM(C18:F18)</f>
        <v>5424.6980000000003</v>
      </c>
      <c r="S18" s="79">
        <f>SUM(G18:J18)</f>
        <v>6738.2441576000001</v>
      </c>
      <c r="T18" s="79">
        <f t="shared" si="7"/>
        <v>8245.393287991601</v>
      </c>
      <c r="U18" s="79">
        <f t="shared" ref="U18:AC18" si="38">U5</f>
        <v>10039.449408787203</v>
      </c>
      <c r="V18" s="79">
        <f t="shared" si="38"/>
        <v>11833.591039096684</v>
      </c>
      <c r="W18" s="79">
        <f t="shared" si="38"/>
        <v>13483.258935042153</v>
      </c>
      <c r="X18" s="79">
        <f t="shared" si="38"/>
        <v>15097.555912921829</v>
      </c>
      <c r="Y18" s="79">
        <f t="shared" si="38"/>
        <v>16589.074959611684</v>
      </c>
      <c r="Z18" s="79">
        <f t="shared" si="38"/>
        <v>17880.592319241088</v>
      </c>
      <c r="AA18" s="79">
        <f t="shared" si="38"/>
        <v>18898.517034078624</v>
      </c>
      <c r="AB18" s="79">
        <f t="shared" si="38"/>
        <v>19579.604131020747</v>
      </c>
      <c r="AC18" s="79">
        <f t="shared" si="38"/>
        <v>20575.721050237229</v>
      </c>
      <c r="AD18" s="79"/>
    </row>
    <row r="19" spans="2:30" x14ac:dyDescent="0.2">
      <c r="B19" s="78" t="str">
        <f>B14</f>
        <v>Performance Revenue</v>
      </c>
      <c r="C19" s="79">
        <f>C14</f>
        <v>4084.933</v>
      </c>
      <c r="D19" s="79">
        <f t="shared" ref="D19:N19" si="39">D14</f>
        <v>4045.598</v>
      </c>
      <c r="E19" s="79">
        <f t="shared" si="39"/>
        <v>4855.2640000000001</v>
      </c>
      <c r="F19" s="79">
        <f t="shared" si="39"/>
        <v>4166.6550000000007</v>
      </c>
      <c r="G19" s="79">
        <f t="shared" si="39"/>
        <v>3545.8550000000005</v>
      </c>
      <c r="H19" s="79">
        <f t="shared" si="39"/>
        <v>-1031.5650000000001</v>
      </c>
      <c r="I19" s="79">
        <f t="shared" si="39"/>
        <v>-670.41599999999994</v>
      </c>
      <c r="J19" s="79">
        <f t="shared" si="39"/>
        <v>937.6844400000009</v>
      </c>
      <c r="K19" s="79">
        <f t="shared" si="39"/>
        <v>686.87664880000011</v>
      </c>
      <c r="L19" s="79">
        <f t="shared" si="39"/>
        <v>696.69418177600164</v>
      </c>
      <c r="M19" s="79">
        <f t="shared" si="39"/>
        <v>992.09209811728215</v>
      </c>
      <c r="N19" s="79">
        <f t="shared" si="39"/>
        <v>1311.219814747732</v>
      </c>
      <c r="O19" s="79"/>
      <c r="P19" s="79">
        <f t="shared" ref="P19:Q19" si="40">P14</f>
        <v>3736.2040000000002</v>
      </c>
      <c r="Q19" s="79">
        <f t="shared" si="40"/>
        <v>1870.7169999999999</v>
      </c>
      <c r="R19" s="79">
        <f t="shared" si="37"/>
        <v>17152.45</v>
      </c>
      <c r="S19" s="79">
        <f>SUM(G19:J19)</f>
        <v>2781.5584400000016</v>
      </c>
      <c r="T19" s="79">
        <f t="shared" si="7"/>
        <v>3686.8827434410159</v>
      </c>
      <c r="U19" s="79">
        <f t="shared" ref="U19:AC19" si="41">U14</f>
        <v>3999.7368829342777</v>
      </c>
      <c r="V19" s="79">
        <f t="shared" si="41"/>
        <v>4395.7079400570483</v>
      </c>
      <c r="W19" s="79">
        <f t="shared" si="41"/>
        <v>4835.2358134633268</v>
      </c>
      <c r="X19" s="79">
        <f t="shared" si="41"/>
        <v>5323.1117529442927</v>
      </c>
      <c r="Y19" s="79">
        <f t="shared" si="41"/>
        <v>5864.6540457681658</v>
      </c>
      <c r="Z19" s="79">
        <f t="shared" si="41"/>
        <v>6465.7659908026635</v>
      </c>
      <c r="AA19" s="79">
        <f t="shared" si="41"/>
        <v>7133.0002497909563</v>
      </c>
      <c r="AB19" s="79">
        <f t="shared" si="41"/>
        <v>7873.6302772679592</v>
      </c>
      <c r="AC19" s="79">
        <f t="shared" si="41"/>
        <v>8695.7296077674473</v>
      </c>
      <c r="AD19" s="79"/>
    </row>
    <row r="20" spans="2:30" s="47" customFormat="1" x14ac:dyDescent="0.2">
      <c r="B20" s="47" t="s">
        <v>47</v>
      </c>
      <c r="C20" s="119">
        <f t="shared" ref="C20:H20" si="42">C18+C19</f>
        <v>5298.8720000000003</v>
      </c>
      <c r="D20" s="119">
        <f t="shared" si="42"/>
        <v>5291.3540000000003</v>
      </c>
      <c r="E20" s="119">
        <f t="shared" si="42"/>
        <v>6224.2650000000003</v>
      </c>
      <c r="F20" s="119">
        <f t="shared" si="42"/>
        <v>5762.6570000000011</v>
      </c>
      <c r="G20" s="119">
        <f t="shared" si="42"/>
        <v>5126.2800000000007</v>
      </c>
      <c r="H20" s="119">
        <f t="shared" si="42"/>
        <v>629.2199999999998</v>
      </c>
      <c r="I20" s="119">
        <f>I18+I19</f>
        <v>1058.114</v>
      </c>
      <c r="J20" s="119">
        <f t="shared" ref="J20:Q20" si="43">J18+J19</f>
        <v>2706.1885976000008</v>
      </c>
      <c r="K20" s="119">
        <f t="shared" si="43"/>
        <v>2583.8282371519999</v>
      </c>
      <c r="L20" s="119">
        <f t="shared" si="43"/>
        <v>2687.512297567042</v>
      </c>
      <c r="M20" s="119">
        <f t="shared" si="43"/>
        <v>3112.5031514731736</v>
      </c>
      <c r="N20" s="119">
        <f t="shared" si="43"/>
        <v>3548.4323452404019</v>
      </c>
      <c r="O20" s="119"/>
      <c r="P20" s="119">
        <f t="shared" si="43"/>
        <v>7338.27</v>
      </c>
      <c r="Q20" s="119">
        <f t="shared" si="43"/>
        <v>6101.9269999999997</v>
      </c>
      <c r="R20" s="119">
        <f t="shared" si="37"/>
        <v>22577.148000000001</v>
      </c>
      <c r="S20" s="119">
        <f>SUM(G20:J20)</f>
        <v>9519.8025976000008</v>
      </c>
      <c r="T20" s="119">
        <f t="shared" si="7"/>
        <v>11932.276031432619</v>
      </c>
      <c r="U20" s="119">
        <f t="shared" ref="U20:AC20" si="44">U18+U19</f>
        <v>14039.18629172148</v>
      </c>
      <c r="V20" s="119">
        <f t="shared" si="44"/>
        <v>16229.298979153733</v>
      </c>
      <c r="W20" s="119">
        <f t="shared" si="44"/>
        <v>18318.49474850548</v>
      </c>
      <c r="X20" s="119">
        <f t="shared" si="44"/>
        <v>20420.667665866124</v>
      </c>
      <c r="Y20" s="119">
        <f t="shared" si="44"/>
        <v>22453.72900537985</v>
      </c>
      <c r="Z20" s="119">
        <f t="shared" si="44"/>
        <v>24346.358310043754</v>
      </c>
      <c r="AA20" s="119">
        <f t="shared" si="44"/>
        <v>26031.51728386958</v>
      </c>
      <c r="AB20" s="119">
        <f t="shared" si="44"/>
        <v>27453.234408288707</v>
      </c>
      <c r="AC20" s="119">
        <f t="shared" si="44"/>
        <v>29271.450658004676</v>
      </c>
      <c r="AD20" s="119"/>
    </row>
    <row r="21" spans="2:30" x14ac:dyDescent="0.2">
      <c r="B21" s="78" t="s">
        <v>117</v>
      </c>
      <c r="C21" s="79">
        <f>C9</f>
        <v>232.48800000000003</v>
      </c>
      <c r="D21" s="79">
        <f t="shared" ref="D21:N21" si="45">D9</f>
        <v>253.15299999999999</v>
      </c>
      <c r="E21" s="79">
        <f t="shared" si="45"/>
        <v>271.67</v>
      </c>
      <c r="F21" s="79">
        <f t="shared" si="45"/>
        <v>369.17999999999995</v>
      </c>
      <c r="G21" s="79">
        <f t="shared" si="45"/>
        <v>309.613</v>
      </c>
      <c r="H21" s="79">
        <f t="shared" si="45"/>
        <v>363.36500000000001</v>
      </c>
      <c r="I21" s="79">
        <f t="shared" si="45"/>
        <v>356.39300000000003</v>
      </c>
      <c r="J21" s="79">
        <f t="shared" si="45"/>
        <v>376.80758025202493</v>
      </c>
      <c r="K21" s="79">
        <f t="shared" si="45"/>
        <v>408.42054936719808</v>
      </c>
      <c r="L21" s="79">
        <f t="shared" si="45"/>
        <v>429.06161005247844</v>
      </c>
      <c r="M21" s="79">
        <f t="shared" si="45"/>
        <v>458.23740573672416</v>
      </c>
      <c r="N21" s="79">
        <f t="shared" si="45"/>
        <v>474.51293111526161</v>
      </c>
      <c r="O21" s="79"/>
      <c r="P21" s="79">
        <f t="shared" ref="P21:Q21" si="46">P9</f>
        <v>896.7940000000001</v>
      </c>
      <c r="Q21" s="79">
        <f t="shared" si="46"/>
        <v>890.80800000000011</v>
      </c>
      <c r="R21" s="79">
        <f t="shared" si="37"/>
        <v>1126.491</v>
      </c>
      <c r="S21" s="79">
        <f>SUM(G21:J21)</f>
        <v>1406.1785802520251</v>
      </c>
      <c r="T21" s="79">
        <f t="shared" si="7"/>
        <v>1770.2324962716623</v>
      </c>
      <c r="U21" s="79">
        <f t="shared" ref="U21:AC21" si="47">U9</f>
        <v>2024.953207338014</v>
      </c>
      <c r="V21" s="79">
        <f t="shared" si="47"/>
        <v>2364.2357742349741</v>
      </c>
      <c r="W21" s="79">
        <f t="shared" si="47"/>
        <v>2682.6214678403926</v>
      </c>
      <c r="X21" s="79">
        <f t="shared" si="47"/>
        <v>2999.590355559315</v>
      </c>
      <c r="Y21" s="79">
        <f t="shared" si="47"/>
        <v>3301.2566807456237</v>
      </c>
      <c r="Z21" s="79">
        <f t="shared" si="47"/>
        <v>3574.6465948855616</v>
      </c>
      <c r="AA21" s="79">
        <f t="shared" si="47"/>
        <v>3807.9745912384537</v>
      </c>
      <c r="AB21" s="79">
        <f t="shared" si="47"/>
        <v>3991.4759765348235</v>
      </c>
      <c r="AC21" s="79">
        <f t="shared" si="47"/>
        <v>4235.6581492095656</v>
      </c>
      <c r="AD21" s="79"/>
    </row>
    <row r="22" spans="2:30" x14ac:dyDescent="0.2">
      <c r="B22" s="78" t="s">
        <v>118</v>
      </c>
      <c r="C22" s="79">
        <f>C15</f>
        <v>1818.9590000000001</v>
      </c>
      <c r="D22" s="79">
        <f t="shared" ref="D22:N22" si="48">D15</f>
        <v>2019.1769999999999</v>
      </c>
      <c r="E22" s="79">
        <f t="shared" si="48"/>
        <v>2382.6909999999998</v>
      </c>
      <c r="F22" s="79">
        <f t="shared" si="48"/>
        <v>2129.2990000000009</v>
      </c>
      <c r="G22" s="79">
        <f t="shared" si="48"/>
        <v>1887.4090000000001</v>
      </c>
      <c r="H22" s="79">
        <f t="shared" si="48"/>
        <v>380.74799999999999</v>
      </c>
      <c r="I22" s="79">
        <f t="shared" si="48"/>
        <v>604.96799999999996</v>
      </c>
      <c r="J22" s="79">
        <f t="shared" si="48"/>
        <v>800</v>
      </c>
      <c r="K22" s="79">
        <f t="shared" si="48"/>
        <v>750</v>
      </c>
      <c r="L22" s="79">
        <f t="shared" si="48"/>
        <v>700</v>
      </c>
      <c r="M22" s="79">
        <f t="shared" si="48"/>
        <v>750</v>
      </c>
      <c r="N22" s="79">
        <f t="shared" si="48"/>
        <v>800</v>
      </c>
      <c r="O22" s="79"/>
      <c r="P22" s="79">
        <f t="shared" ref="P22:Q22" si="49">P15</f>
        <v>3067.857</v>
      </c>
      <c r="Q22" s="79">
        <f t="shared" si="49"/>
        <v>2588.7579999999998</v>
      </c>
      <c r="R22" s="79">
        <f t="shared" si="37"/>
        <v>8350.1260000000002</v>
      </c>
      <c r="S22" s="79">
        <f>SUM(G22:J22)</f>
        <v>3673.125</v>
      </c>
      <c r="T22" s="79">
        <f t="shared" si="7"/>
        <v>3000</v>
      </c>
      <c r="U22" s="79">
        <f>U15</f>
        <v>3199.7895063474225</v>
      </c>
      <c r="V22" s="79">
        <f t="shared" ref="V22:AC22" si="50">V15</f>
        <v>4395.7079400570483</v>
      </c>
      <c r="W22" s="79">
        <f t="shared" si="50"/>
        <v>4835.2358134633268</v>
      </c>
      <c r="X22" s="79">
        <f t="shared" si="50"/>
        <v>5110.1872828265205</v>
      </c>
      <c r="Y22" s="79">
        <f t="shared" si="50"/>
        <v>4691.7232366145327</v>
      </c>
      <c r="Z22" s="79">
        <f t="shared" si="50"/>
        <v>5172.6127926421314</v>
      </c>
      <c r="AA22" s="79">
        <f t="shared" si="50"/>
        <v>5706.4001998327658</v>
      </c>
      <c r="AB22" s="79">
        <f t="shared" si="50"/>
        <v>6298.9042218143677</v>
      </c>
      <c r="AC22" s="79">
        <f t="shared" si="50"/>
        <v>6956.5836862139586</v>
      </c>
      <c r="AD22" s="79"/>
    </row>
    <row r="23" spans="2:30" x14ac:dyDescent="0.2">
      <c r="B23" s="78" t="s">
        <v>119</v>
      </c>
      <c r="C23" s="79">
        <f>C7</f>
        <v>44.982999999999997</v>
      </c>
      <c r="D23" s="79">
        <f t="shared" ref="D23:AC23" si="51">D7</f>
        <v>44.322000000000003</v>
      </c>
      <c r="E23" s="79">
        <f t="shared" si="51"/>
        <v>52.412999999999997</v>
      </c>
      <c r="F23" s="79">
        <f t="shared" si="51"/>
        <v>56.550000000000018</v>
      </c>
      <c r="G23" s="79">
        <f t="shared" si="51"/>
        <v>66.747</v>
      </c>
      <c r="H23" s="79">
        <f t="shared" si="51"/>
        <v>69.641999999999996</v>
      </c>
      <c r="I23" s="79">
        <f t="shared" si="51"/>
        <v>80.507000000000005</v>
      </c>
      <c r="J23" s="79">
        <f t="shared" si="51"/>
        <v>81.397040000000004</v>
      </c>
      <c r="K23" s="79">
        <f t="shared" si="51"/>
        <v>87.908803200000023</v>
      </c>
      <c r="L23" s="79">
        <f t="shared" si="51"/>
        <v>92.304243360000015</v>
      </c>
      <c r="M23" s="79">
        <f t="shared" si="51"/>
        <v>97.842497961600017</v>
      </c>
      <c r="N23" s="79">
        <f t="shared" si="51"/>
        <v>102.73462285968003</v>
      </c>
      <c r="O23" s="79"/>
      <c r="P23" s="79">
        <f t="shared" si="51"/>
        <v>199.648</v>
      </c>
      <c r="Q23" s="79">
        <f t="shared" si="51"/>
        <v>166.16200000000001</v>
      </c>
      <c r="R23" s="79">
        <f t="shared" si="51"/>
        <v>198.26800000000003</v>
      </c>
      <c r="S23" s="79">
        <f t="shared" si="51"/>
        <v>298.29304000000002</v>
      </c>
      <c r="T23" s="79">
        <f t="shared" si="51"/>
        <v>380.79016738128007</v>
      </c>
      <c r="U23" s="79">
        <f t="shared" si="51"/>
        <v>334.55083853619533</v>
      </c>
      <c r="V23" s="79">
        <f t="shared" si="51"/>
        <v>371.35143077517677</v>
      </c>
      <c r="W23" s="79">
        <f t="shared" si="51"/>
        <v>412.20008816044628</v>
      </c>
      <c r="X23" s="79">
        <f t="shared" si="51"/>
        <v>457.54209785809536</v>
      </c>
      <c r="Y23" s="79">
        <f t="shared" si="51"/>
        <v>507.87172862248593</v>
      </c>
      <c r="Z23" s="79">
        <f t="shared" si="51"/>
        <v>563.73761877095944</v>
      </c>
      <c r="AA23" s="79">
        <f t="shared" si="51"/>
        <v>625.74875683576499</v>
      </c>
      <c r="AB23" s="79">
        <f t="shared" si="51"/>
        <v>694.58112008769911</v>
      </c>
      <c r="AC23" s="79">
        <f t="shared" si="51"/>
        <v>770.98504329734612</v>
      </c>
      <c r="AD23" s="79"/>
    </row>
    <row r="24" spans="2:30" x14ac:dyDescent="0.2">
      <c r="B24" s="78" t="s">
        <v>109</v>
      </c>
      <c r="C24" s="79">
        <f>C12</f>
        <v>31.411999999999999</v>
      </c>
      <c r="D24" s="79">
        <f t="shared" ref="D24:AC24" si="52">D12</f>
        <v>31.016999999999999</v>
      </c>
      <c r="E24" s="79">
        <f t="shared" si="52"/>
        <v>35.048000000000002</v>
      </c>
      <c r="F24" s="79">
        <f t="shared" si="52"/>
        <v>63.166000000000004</v>
      </c>
      <c r="G24" s="79">
        <f t="shared" si="52"/>
        <v>54.484999999999999</v>
      </c>
      <c r="H24" s="79">
        <f t="shared" si="52"/>
        <v>62.075000000000003</v>
      </c>
      <c r="I24" s="79">
        <f t="shared" si="52"/>
        <v>52.42</v>
      </c>
      <c r="J24" s="79">
        <f t="shared" si="52"/>
        <v>50</v>
      </c>
      <c r="K24" s="79">
        <f t="shared" si="52"/>
        <v>46</v>
      </c>
      <c r="L24" s="79">
        <f t="shared" si="52"/>
        <v>45</v>
      </c>
      <c r="M24" s="79">
        <f t="shared" si="52"/>
        <v>48</v>
      </c>
      <c r="N24" s="79">
        <f t="shared" si="52"/>
        <v>52</v>
      </c>
      <c r="O24" s="79"/>
      <c r="P24" s="79">
        <f t="shared" si="52"/>
        <v>182.398</v>
      </c>
      <c r="Q24" s="79">
        <f t="shared" si="52"/>
        <v>125.23099999999999</v>
      </c>
      <c r="R24" s="79">
        <f t="shared" si="52"/>
        <v>160.643</v>
      </c>
      <c r="S24" s="79">
        <f t="shared" si="52"/>
        <v>218.98000000000002</v>
      </c>
      <c r="T24" s="79">
        <f t="shared" si="52"/>
        <v>191</v>
      </c>
      <c r="U24" s="79">
        <f t="shared" si="52"/>
        <v>284.36821275576602</v>
      </c>
      <c r="V24" s="79">
        <f t="shared" si="52"/>
        <v>315.6487161589003</v>
      </c>
      <c r="W24" s="79">
        <f t="shared" si="52"/>
        <v>350.37007493637935</v>
      </c>
      <c r="X24" s="79">
        <f t="shared" si="52"/>
        <v>388.9107831793811</v>
      </c>
      <c r="Y24" s="79">
        <f t="shared" si="52"/>
        <v>431.69096932911305</v>
      </c>
      <c r="Z24" s="79">
        <f t="shared" si="52"/>
        <v>479.17697595531553</v>
      </c>
      <c r="AA24" s="79">
        <f t="shared" si="52"/>
        <v>531.8864433104003</v>
      </c>
      <c r="AB24" s="79">
        <f t="shared" si="52"/>
        <v>590.39395207454425</v>
      </c>
      <c r="AC24" s="79">
        <f t="shared" si="52"/>
        <v>655.3372868027443</v>
      </c>
      <c r="AD24" s="79"/>
    </row>
    <row r="25" spans="2:30" x14ac:dyDescent="0.2">
      <c r="B25" s="78" t="s">
        <v>111</v>
      </c>
      <c r="C25" s="79">
        <f>SUM(C21:C22)-SUM(C23:C24)</f>
        <v>1975.0520000000001</v>
      </c>
      <c r="D25" s="79">
        <f t="shared" ref="D25:P25" si="53">SUM(D21:D22)-SUM(D23:D24)</f>
        <v>2196.991</v>
      </c>
      <c r="E25" s="79">
        <f t="shared" si="53"/>
        <v>2566.9</v>
      </c>
      <c r="F25" s="79">
        <f t="shared" si="53"/>
        <v>2378.7630000000008</v>
      </c>
      <c r="G25" s="79">
        <f t="shared" si="53"/>
        <v>2075.79</v>
      </c>
      <c r="H25" s="79">
        <f t="shared" si="53"/>
        <v>612.39600000000007</v>
      </c>
      <c r="I25" s="79">
        <f t="shared" si="53"/>
        <v>828.43399999999997</v>
      </c>
      <c r="J25" s="79">
        <f t="shared" si="53"/>
        <v>1045.4105402520249</v>
      </c>
      <c r="K25" s="79">
        <f t="shared" si="53"/>
        <v>1024.511746167198</v>
      </c>
      <c r="L25" s="79">
        <f t="shared" si="53"/>
        <v>991.75736669247851</v>
      </c>
      <c r="M25" s="79">
        <f t="shared" si="53"/>
        <v>1062.3949077751242</v>
      </c>
      <c r="N25" s="79">
        <f t="shared" si="53"/>
        <v>1119.7783082555816</v>
      </c>
      <c r="O25" s="79"/>
      <c r="P25" s="79">
        <f t="shared" si="53"/>
        <v>3582.605</v>
      </c>
      <c r="Q25" s="79">
        <f t="shared" ref="Q25" si="54">SUM(Q21:Q22)-SUM(Q23:Q24)</f>
        <v>3188.1729999999998</v>
      </c>
      <c r="R25" s="79">
        <f t="shared" ref="R25:AC25" si="55">SUM(R21:R22)-SUM(R23:R24)</f>
        <v>9117.7060000000001</v>
      </c>
      <c r="S25" s="79">
        <f t="shared" si="55"/>
        <v>4562.0305402520253</v>
      </c>
      <c r="T25" s="79">
        <f t="shared" si="55"/>
        <v>4198.4423288903818</v>
      </c>
      <c r="U25" s="79">
        <f t="shared" si="55"/>
        <v>4605.8236623934754</v>
      </c>
      <c r="V25" s="79">
        <f t="shared" si="55"/>
        <v>6072.9435673579455</v>
      </c>
      <c r="W25" s="79">
        <f t="shared" si="55"/>
        <v>6755.2871182068939</v>
      </c>
      <c r="X25" s="79">
        <f t="shared" si="55"/>
        <v>7263.3247573483586</v>
      </c>
      <c r="Y25" s="79">
        <f t="shared" si="55"/>
        <v>7053.4172194085577</v>
      </c>
      <c r="Z25" s="79">
        <f t="shared" si="55"/>
        <v>7704.3447928014175</v>
      </c>
      <c r="AA25" s="79">
        <f t="shared" si="55"/>
        <v>8356.7395909250536</v>
      </c>
      <c r="AB25" s="79">
        <f t="shared" si="55"/>
        <v>9005.4051261869463</v>
      </c>
      <c r="AC25" s="79">
        <f t="shared" si="55"/>
        <v>9765.9195053234325</v>
      </c>
      <c r="AD25" s="79"/>
    </row>
    <row r="26" spans="2:30" s="47" customFormat="1" x14ac:dyDescent="0.2">
      <c r="B26" s="47" t="s">
        <v>112</v>
      </c>
      <c r="C26" s="119">
        <f>C20-C25</f>
        <v>3323.82</v>
      </c>
      <c r="D26" s="119">
        <f t="shared" ref="D26:H26" si="56">D20-D25</f>
        <v>3094.3630000000003</v>
      </c>
      <c r="E26" s="119">
        <f t="shared" si="56"/>
        <v>3657.3650000000002</v>
      </c>
      <c r="F26" s="119">
        <f t="shared" si="56"/>
        <v>3383.8940000000002</v>
      </c>
      <c r="G26" s="119">
        <f t="shared" si="56"/>
        <v>3050.4900000000007</v>
      </c>
      <c r="H26" s="119">
        <f t="shared" si="56"/>
        <v>16.823999999999728</v>
      </c>
      <c r="I26" s="119">
        <f>I20-I25</f>
        <v>229.68000000000006</v>
      </c>
      <c r="J26" s="119">
        <f t="shared" ref="J26:P26" si="57">J20-J25</f>
        <v>1660.7780573479758</v>
      </c>
      <c r="K26" s="119">
        <f t="shared" si="57"/>
        <v>1559.3164909848019</v>
      </c>
      <c r="L26" s="119">
        <f t="shared" si="57"/>
        <v>1695.7549308745633</v>
      </c>
      <c r="M26" s="119">
        <f t="shared" si="57"/>
        <v>2050.1082436980496</v>
      </c>
      <c r="N26" s="119">
        <f t="shared" si="57"/>
        <v>2428.6540369848203</v>
      </c>
      <c r="O26" s="119"/>
      <c r="P26" s="119">
        <f t="shared" si="57"/>
        <v>3755.6650000000004</v>
      </c>
      <c r="Q26" s="119">
        <f>Q20-Q25</f>
        <v>2913.7539999999999</v>
      </c>
      <c r="R26" s="119">
        <f t="shared" si="37"/>
        <v>13459.442000000001</v>
      </c>
      <c r="S26" s="119">
        <f>SUM(G26:J26)</f>
        <v>4957.7720573479764</v>
      </c>
      <c r="T26" s="119">
        <f t="shared" si="7"/>
        <v>7733.8337025422352</v>
      </c>
      <c r="U26" s="119">
        <f t="shared" ref="U26:AC26" si="58">U20-U25</f>
        <v>9433.3626293280049</v>
      </c>
      <c r="V26" s="119">
        <f t="shared" si="58"/>
        <v>10156.355411795786</v>
      </c>
      <c r="W26" s="119">
        <f t="shared" si="58"/>
        <v>11563.207630298586</v>
      </c>
      <c r="X26" s="119">
        <f t="shared" si="58"/>
        <v>13157.342908517765</v>
      </c>
      <c r="Y26" s="119">
        <f t="shared" si="58"/>
        <v>15400.311785971291</v>
      </c>
      <c r="Z26" s="119">
        <f t="shared" si="58"/>
        <v>16642.013517242336</v>
      </c>
      <c r="AA26" s="119">
        <f t="shared" si="58"/>
        <v>17674.777692944524</v>
      </c>
      <c r="AB26" s="119">
        <f t="shared" si="58"/>
        <v>18447.82928210176</v>
      </c>
      <c r="AC26" s="119">
        <f t="shared" si="58"/>
        <v>19505.531152681244</v>
      </c>
      <c r="AD26" s="119"/>
    </row>
    <row r="27" spans="2:30" x14ac:dyDescent="0.2">
      <c r="B27" s="78" t="s">
        <v>120</v>
      </c>
      <c r="C27" s="79">
        <f>C26+C23-C24</f>
        <v>3337.3910000000005</v>
      </c>
      <c r="D27" s="79">
        <f t="shared" ref="D27:AC27" si="59">D26+D23-D24</f>
        <v>3107.6680000000006</v>
      </c>
      <c r="E27" s="79">
        <f t="shared" si="59"/>
        <v>3674.7300000000005</v>
      </c>
      <c r="F27" s="79">
        <f t="shared" si="59"/>
        <v>3377.2780000000002</v>
      </c>
      <c r="G27" s="79">
        <f t="shared" si="59"/>
        <v>3062.7520000000004</v>
      </c>
      <c r="H27" s="79">
        <f t="shared" si="59"/>
        <v>24.390999999999721</v>
      </c>
      <c r="I27" s="79">
        <f t="shared" si="59"/>
        <v>257.76700000000005</v>
      </c>
      <c r="J27" s="79">
        <f t="shared" si="59"/>
        <v>1692.1750973479759</v>
      </c>
      <c r="K27" s="79">
        <f t="shared" si="59"/>
        <v>1601.2252941848019</v>
      </c>
      <c r="L27" s="79">
        <f t="shared" si="59"/>
        <v>1743.0591742345634</v>
      </c>
      <c r="M27" s="79">
        <f t="shared" si="59"/>
        <v>2099.9507416596498</v>
      </c>
      <c r="N27" s="79">
        <f t="shared" si="59"/>
        <v>2479.3886598445006</v>
      </c>
      <c r="O27" s="79"/>
      <c r="P27" s="79">
        <f t="shared" si="59"/>
        <v>3772.9150000000004</v>
      </c>
      <c r="Q27" s="79">
        <f t="shared" si="59"/>
        <v>2954.6849999999995</v>
      </c>
      <c r="R27" s="79">
        <f t="shared" si="59"/>
        <v>13497.067000000001</v>
      </c>
      <c r="S27" s="79">
        <f t="shared" si="59"/>
        <v>5037.0850973479774</v>
      </c>
      <c r="T27" s="79">
        <f t="shared" si="59"/>
        <v>7923.6238699235155</v>
      </c>
      <c r="U27" s="79">
        <f t="shared" si="59"/>
        <v>9483.5452551084345</v>
      </c>
      <c r="V27" s="79">
        <f t="shared" si="59"/>
        <v>10212.058126412063</v>
      </c>
      <c r="W27" s="79">
        <f t="shared" si="59"/>
        <v>11625.037643522652</v>
      </c>
      <c r="X27" s="79">
        <f t="shared" si="59"/>
        <v>13225.974223196479</v>
      </c>
      <c r="Y27" s="79">
        <f t="shared" si="59"/>
        <v>15476.492545264664</v>
      </c>
      <c r="Z27" s="79">
        <f t="shared" si="59"/>
        <v>16726.574160057979</v>
      </c>
      <c r="AA27" s="79">
        <f t="shared" si="59"/>
        <v>17768.64000646989</v>
      </c>
      <c r="AB27" s="79">
        <f t="shared" si="59"/>
        <v>18552.016450114916</v>
      </c>
      <c r="AC27" s="79">
        <f t="shared" si="59"/>
        <v>19621.178909175847</v>
      </c>
      <c r="AD27" s="79"/>
    </row>
    <row r="28" spans="2:30" x14ac:dyDescent="0.2">
      <c r="B28" s="78" t="s">
        <v>27</v>
      </c>
      <c r="C28" s="79">
        <v>-0.4</v>
      </c>
      <c r="D28" s="79">
        <v>288.3</v>
      </c>
      <c r="E28" s="79">
        <v>458.9</v>
      </c>
      <c r="F28" s="79">
        <v>437.7</v>
      </c>
      <c r="G28" s="79">
        <v>483.3</v>
      </c>
      <c r="H28" s="79">
        <v>36.5</v>
      </c>
      <c r="I28" s="79">
        <v>94.2</v>
      </c>
      <c r="J28" s="79">
        <f>J27*J58</f>
        <v>355.35677044307494</v>
      </c>
      <c r="K28" s="79">
        <f t="shared" ref="K28:N28" si="60">K27*K58</f>
        <v>336.2573117788084</v>
      </c>
      <c r="L28" s="79">
        <f t="shared" si="60"/>
        <v>366.0424265892583</v>
      </c>
      <c r="M28" s="79">
        <f t="shared" si="60"/>
        <v>440.98965574852645</v>
      </c>
      <c r="N28" s="79">
        <f t="shared" si="60"/>
        <v>520.67161856734515</v>
      </c>
      <c r="O28" s="79"/>
      <c r="P28" s="79">
        <v>-47.951999999999998</v>
      </c>
      <c r="Q28" s="79">
        <v>365.01400000000001</v>
      </c>
      <c r="R28" s="79">
        <v>1184.4010000000001</v>
      </c>
      <c r="S28" s="79">
        <f>SUM(G28:J28)</f>
        <v>969.35677044307499</v>
      </c>
      <c r="T28" s="79">
        <f>SUM(K28:N28)</f>
        <v>1663.9610126839384</v>
      </c>
      <c r="U28" s="79">
        <f>U27*U58</f>
        <v>1991.5445035727712</v>
      </c>
      <c r="V28" s="79">
        <f t="shared" ref="V28:AC28" si="61">V27*V58</f>
        <v>2144.532206546533</v>
      </c>
      <c r="W28" s="79">
        <f t="shared" si="61"/>
        <v>2441.257905139757</v>
      </c>
      <c r="X28" s="79">
        <f t="shared" si="61"/>
        <v>2777.4545868712607</v>
      </c>
      <c r="Y28" s="79">
        <f t="shared" si="61"/>
        <v>3250.0634345055792</v>
      </c>
      <c r="Z28" s="79">
        <f t="shared" si="61"/>
        <v>3512.5805736121752</v>
      </c>
      <c r="AA28" s="79">
        <f t="shared" si="61"/>
        <v>3731.414401358677</v>
      </c>
      <c r="AB28" s="79">
        <f t="shared" si="61"/>
        <v>3895.923454524132</v>
      </c>
      <c r="AC28" s="79">
        <f t="shared" si="61"/>
        <v>4120.4475709269282</v>
      </c>
      <c r="AD28" s="79"/>
    </row>
    <row r="29" spans="2:30" x14ac:dyDescent="0.2">
      <c r="B29" s="78" t="s">
        <v>121</v>
      </c>
      <c r="C29" s="79">
        <f>C27-C28</f>
        <v>3337.7910000000006</v>
      </c>
      <c r="D29" s="79">
        <f t="shared" ref="D29:AC29" si="62">D27-D28</f>
        <v>2819.3680000000004</v>
      </c>
      <c r="E29" s="79">
        <f t="shared" si="62"/>
        <v>3215.8300000000004</v>
      </c>
      <c r="F29" s="79">
        <f t="shared" si="62"/>
        <v>2939.5780000000004</v>
      </c>
      <c r="G29" s="79">
        <f t="shared" si="62"/>
        <v>2579.4520000000002</v>
      </c>
      <c r="H29" s="79">
        <f t="shared" si="62"/>
        <v>-12.109000000000279</v>
      </c>
      <c r="I29" s="79">
        <f t="shared" si="62"/>
        <v>163.56700000000006</v>
      </c>
      <c r="J29" s="79">
        <f t="shared" si="62"/>
        <v>1336.8183269049009</v>
      </c>
      <c r="K29" s="79">
        <f t="shared" si="62"/>
        <v>1264.9679824059936</v>
      </c>
      <c r="L29" s="79">
        <f t="shared" si="62"/>
        <v>1377.0167476453053</v>
      </c>
      <c r="M29" s="79">
        <f t="shared" si="62"/>
        <v>1658.9610859111233</v>
      </c>
      <c r="N29" s="79">
        <f t="shared" si="62"/>
        <v>1958.7170412771554</v>
      </c>
      <c r="O29" s="79"/>
      <c r="P29" s="79">
        <f t="shared" si="62"/>
        <v>3820.8670000000002</v>
      </c>
      <c r="Q29" s="79">
        <f t="shared" si="62"/>
        <v>2589.6709999999994</v>
      </c>
      <c r="R29" s="79">
        <f t="shared" si="62"/>
        <v>12312.666000000001</v>
      </c>
      <c r="S29" s="79">
        <f t="shared" si="62"/>
        <v>4067.7283269049021</v>
      </c>
      <c r="T29" s="79">
        <f>T27-T28</f>
        <v>6259.6628572395766</v>
      </c>
      <c r="U29" s="79">
        <f t="shared" si="62"/>
        <v>7492.0007515356629</v>
      </c>
      <c r="V29" s="79">
        <f t="shared" si="62"/>
        <v>8067.5259198655294</v>
      </c>
      <c r="W29" s="79">
        <f t="shared" si="62"/>
        <v>9183.7797383828947</v>
      </c>
      <c r="X29" s="79">
        <f t="shared" si="62"/>
        <v>10448.519636325218</v>
      </c>
      <c r="Y29" s="79">
        <f t="shared" si="62"/>
        <v>12226.429110759085</v>
      </c>
      <c r="Z29" s="79">
        <f t="shared" si="62"/>
        <v>13213.993586445804</v>
      </c>
      <c r="AA29" s="79">
        <f t="shared" si="62"/>
        <v>14037.225605111213</v>
      </c>
      <c r="AB29" s="79">
        <f t="shared" si="62"/>
        <v>14656.092995590783</v>
      </c>
      <c r="AC29" s="79">
        <f t="shared" si="62"/>
        <v>15500.731338248919</v>
      </c>
      <c r="AD29" s="79"/>
    </row>
    <row r="30" spans="2:30" s="47" customFormat="1" x14ac:dyDescent="0.2">
      <c r="B30" s="47" t="s">
        <v>122</v>
      </c>
      <c r="C30" s="119">
        <v>1747.8720000000001</v>
      </c>
      <c r="D30" s="119">
        <v>1309.152</v>
      </c>
      <c r="E30" s="119">
        <v>1401.895</v>
      </c>
      <c r="F30" s="119">
        <f>5857.397-E30-D30-C30</f>
        <v>1398.4780000000003</v>
      </c>
      <c r="G30" s="119">
        <v>1216.874</v>
      </c>
      <c r="H30" s="119">
        <v>-29.393000000000001</v>
      </c>
      <c r="I30" s="119">
        <v>2.2959999999999998</v>
      </c>
      <c r="J30" s="119">
        <f>J29*J59</f>
        <v>668.40916345245046</v>
      </c>
      <c r="K30" s="119">
        <f t="shared" ref="K30:N30" si="63">K29*K59</f>
        <v>632.48399120299678</v>
      </c>
      <c r="L30" s="119">
        <f t="shared" si="63"/>
        <v>688.50837382265263</v>
      </c>
      <c r="M30" s="119">
        <f t="shared" si="63"/>
        <v>829.48054295556165</v>
      </c>
      <c r="N30" s="119">
        <f t="shared" si="63"/>
        <v>979.35852063857772</v>
      </c>
      <c r="O30" s="119"/>
      <c r="P30" s="119">
        <v>2049.6819999999998</v>
      </c>
      <c r="Q30" s="119">
        <v>1045.3630000000001</v>
      </c>
      <c r="R30" s="119">
        <v>5857.3969999999999</v>
      </c>
      <c r="S30" s="119">
        <f>SUM(G30:J30)</f>
        <v>1858.1861634524505</v>
      </c>
      <c r="T30" s="119">
        <f t="shared" si="7"/>
        <v>3129.8314286197888</v>
      </c>
      <c r="U30" s="119">
        <f>U29*U59</f>
        <v>3439.2017509307138</v>
      </c>
      <c r="V30" s="119">
        <f t="shared" ref="V30:AC30" si="64">V29*V59</f>
        <v>3815.0984556209742</v>
      </c>
      <c r="W30" s="119">
        <f t="shared" si="64"/>
        <v>4336.4828118263185</v>
      </c>
      <c r="X30" s="119">
        <f t="shared" si="64"/>
        <v>4973.8476942399429</v>
      </c>
      <c r="Y30" s="119">
        <f t="shared" si="64"/>
        <v>5746.9370600764041</v>
      </c>
      <c r="Z30" s="119">
        <f t="shared" si="64"/>
        <v>6247.4470778421091</v>
      </c>
      <c r="AA30" s="119">
        <f t="shared" si="64"/>
        <v>6636.2929500772289</v>
      </c>
      <c r="AB30" s="119">
        <f t="shared" si="64"/>
        <v>6930.9761703392151</v>
      </c>
      <c r="AC30" s="119">
        <f t="shared" si="64"/>
        <v>7318.2972534471737</v>
      </c>
      <c r="AD30" s="119"/>
    </row>
    <row r="31" spans="2:30" x14ac:dyDescent="0.2">
      <c r="B31" s="78" t="s">
        <v>123</v>
      </c>
      <c r="C31" s="79">
        <v>709</v>
      </c>
      <c r="D31" s="79">
        <v>721.1</v>
      </c>
      <c r="E31" s="79">
        <v>722.2</v>
      </c>
      <c r="F31" s="79">
        <v>726.4</v>
      </c>
      <c r="G31" s="79">
        <v>734.3</v>
      </c>
      <c r="H31" s="79">
        <v>707.4</v>
      </c>
      <c r="I31" s="79">
        <v>742.3</v>
      </c>
      <c r="J31" s="79">
        <f>I31*(1+J60)</f>
        <v>749.72299999999996</v>
      </c>
      <c r="K31" s="79">
        <f t="shared" ref="K31:N31" si="65">J31*(1+K60)</f>
        <v>757.22023000000002</v>
      </c>
      <c r="L31" s="79">
        <f t="shared" si="65"/>
        <v>764.79243229999997</v>
      </c>
      <c r="M31" s="79">
        <f t="shared" si="65"/>
        <v>772.44035662299996</v>
      </c>
      <c r="N31" s="79">
        <f t="shared" si="65"/>
        <v>780.16476018922992</v>
      </c>
      <c r="O31" s="79"/>
      <c r="P31" s="79">
        <v>675.9</v>
      </c>
      <c r="Q31" s="79">
        <v>696.9</v>
      </c>
      <c r="R31" s="79">
        <v>719.8</v>
      </c>
      <c r="S31" s="79">
        <f>AVERAGE(G31:J31)</f>
        <v>733.43074999999999</v>
      </c>
      <c r="T31" s="79">
        <f>AVERAGE(K31:N31)</f>
        <v>768.6544447780575</v>
      </c>
      <c r="U31" s="79">
        <f>T31*(1+U60)</f>
        <v>791.71407812139921</v>
      </c>
      <c r="V31" s="79">
        <f t="shared" ref="V31:AC31" si="66">U31*(1+V60)</f>
        <v>815.46550046504126</v>
      </c>
      <c r="W31" s="79">
        <f t="shared" si="66"/>
        <v>839.92946547899248</v>
      </c>
      <c r="X31" s="79">
        <f t="shared" si="66"/>
        <v>865.12734944336228</v>
      </c>
      <c r="Y31" s="79">
        <f t="shared" si="66"/>
        <v>891.08116992666316</v>
      </c>
      <c r="Z31" s="79">
        <f t="shared" si="66"/>
        <v>917.81360502446307</v>
      </c>
      <c r="AA31" s="79">
        <f t="shared" si="66"/>
        <v>945.34801317519702</v>
      </c>
      <c r="AB31" s="79">
        <f t="shared" si="66"/>
        <v>973.708453570453</v>
      </c>
      <c r="AC31" s="79">
        <f t="shared" si="66"/>
        <v>1002.9197071775666</v>
      </c>
      <c r="AD31" s="79"/>
    </row>
    <row r="32" spans="2:30" x14ac:dyDescent="0.2">
      <c r="B32" s="78" t="s">
        <v>124</v>
      </c>
      <c r="C32" s="120">
        <f t="shared" ref="C32:H32" si="67">C30/C31</f>
        <v>2.4652637517630467</v>
      </c>
      <c r="D32" s="120">
        <f t="shared" si="67"/>
        <v>1.8154929968104285</v>
      </c>
      <c r="E32" s="120">
        <f t="shared" si="67"/>
        <v>1.9411451121572969</v>
      </c>
      <c r="F32" s="120">
        <f t="shared" si="67"/>
        <v>1.9252175110132164</v>
      </c>
      <c r="G32" s="120">
        <f t="shared" si="67"/>
        <v>1.6571891597439741</v>
      </c>
      <c r="H32" s="120">
        <f t="shared" si="67"/>
        <v>-4.155074922250495E-2</v>
      </c>
      <c r="I32" s="120">
        <f>I30/I31</f>
        <v>3.0930890475548969E-3</v>
      </c>
      <c r="J32" s="120">
        <f t="shared" ref="J32:S32" si="68">J30/J31</f>
        <v>0.89154149392835824</v>
      </c>
      <c r="K32" s="120">
        <f t="shared" si="68"/>
        <v>0.83527085799463752</v>
      </c>
      <c r="L32" s="120">
        <f t="shared" si="68"/>
        <v>0.90025521271446907</v>
      </c>
      <c r="M32" s="120">
        <f t="shared" si="68"/>
        <v>1.0738441302859076</v>
      </c>
      <c r="N32" s="120">
        <f t="shared" si="68"/>
        <v>1.2553226838918399</v>
      </c>
      <c r="O32" s="79"/>
      <c r="P32" s="120">
        <f t="shared" si="68"/>
        <v>3.0325225625092469</v>
      </c>
      <c r="Q32" s="120">
        <f t="shared" si="68"/>
        <v>1.500018654039317</v>
      </c>
      <c r="R32" s="120">
        <f t="shared" si="68"/>
        <v>8.1375340372325642</v>
      </c>
      <c r="S32" s="120">
        <f t="shared" si="68"/>
        <v>2.5335536633178397</v>
      </c>
      <c r="T32" s="120">
        <f t="shared" si="7"/>
        <v>4.0646928848868544</v>
      </c>
      <c r="U32" s="120">
        <f t="shared" si="7"/>
        <v>3.2294220268922169</v>
      </c>
      <c r="V32" s="120">
        <f t="shared" si="7"/>
        <v>5.3616893766869946</v>
      </c>
      <c r="W32" s="120">
        <f t="shared" si="7"/>
        <v>5.7878639004404038</v>
      </c>
      <c r="X32" s="120">
        <f t="shared" si="7"/>
        <v>12.670075253781128</v>
      </c>
      <c r="Y32" s="120">
        <f t="shared" si="7"/>
        <v>15.203628917098968</v>
      </c>
      <c r="Z32" s="120">
        <f t="shared" si="7"/>
        <v>16.235799239476577</v>
      </c>
      <c r="AA32" s="120">
        <f t="shared" si="7"/>
        <v>17.965202612329474</v>
      </c>
      <c r="AB32" s="120">
        <f t="shared" si="7"/>
        <v>15.189357951783906</v>
      </c>
      <c r="AC32" s="120">
        <f t="shared" si="7"/>
        <v>18.443668188906468</v>
      </c>
      <c r="AD32" s="79"/>
    </row>
    <row r="33" spans="2:30" x14ac:dyDescent="0.2">
      <c r="C33" s="79"/>
      <c r="D33" s="79"/>
      <c r="E33" s="87"/>
      <c r="F33" s="87"/>
      <c r="G33" s="87"/>
      <c r="H33" s="87"/>
      <c r="I33" s="87"/>
      <c r="J33" s="79"/>
      <c r="K33" s="79"/>
      <c r="L33" s="79"/>
      <c r="M33" s="79"/>
      <c r="N33" s="79"/>
      <c r="O33" s="79"/>
      <c r="P33" s="121"/>
      <c r="Q33" s="121"/>
      <c r="R33" s="121"/>
      <c r="S33" s="121"/>
      <c r="U33" s="79"/>
      <c r="V33" s="79"/>
      <c r="W33" s="79"/>
      <c r="X33" s="79"/>
      <c r="Y33" s="79"/>
      <c r="Z33" s="79"/>
      <c r="AA33" s="79"/>
      <c r="AB33" s="79"/>
      <c r="AC33" s="79"/>
      <c r="AD33" s="79"/>
    </row>
    <row r="34" spans="2:30" s="47" customFormat="1" x14ac:dyDescent="0.2">
      <c r="B34" s="47" t="s">
        <v>161</v>
      </c>
      <c r="C34" s="119">
        <v>17943.309000000001</v>
      </c>
      <c r="D34" s="119">
        <v>22163.322</v>
      </c>
      <c r="E34" s="119">
        <v>25104.195</v>
      </c>
      <c r="F34" s="119">
        <v>28665.043000000001</v>
      </c>
      <c r="G34" s="119">
        <v>30068.473999999998</v>
      </c>
      <c r="H34" s="119">
        <v>27323.758000000002</v>
      </c>
      <c r="I34" s="119">
        <v>26256.148000000001</v>
      </c>
      <c r="J34" s="119">
        <f>I34*(1+J36)</f>
        <v>27043.832440000002</v>
      </c>
      <c r="K34" s="119">
        <f t="shared" ref="K34:N34" si="69">J34*(1+K36)</f>
        <v>27584.709088800002</v>
      </c>
      <c r="L34" s="119">
        <f t="shared" si="69"/>
        <v>28136.403270576004</v>
      </c>
      <c r="M34" s="119">
        <f t="shared" si="69"/>
        <v>28980.495368693286</v>
      </c>
      <c r="N34" s="119">
        <f t="shared" si="69"/>
        <v>30139.715183441018</v>
      </c>
      <c r="O34" s="119"/>
      <c r="P34" s="119">
        <v>22085.599999999999</v>
      </c>
      <c r="Q34" s="119">
        <v>15506.3</v>
      </c>
      <c r="R34" s="119">
        <f>F34</f>
        <v>28665.043000000001</v>
      </c>
      <c r="S34" s="119">
        <f>J34</f>
        <v>27043.832440000002</v>
      </c>
      <c r="T34" s="119">
        <f>N34</f>
        <v>30139.715183441018</v>
      </c>
      <c r="U34" s="119">
        <f>T34*(1+U36)</f>
        <v>33455.08385361953</v>
      </c>
      <c r="V34" s="119">
        <f t="shared" ref="V34:AC34" si="70">U34*(1+V36)</f>
        <v>37135.143077517678</v>
      </c>
      <c r="W34" s="119">
        <f t="shared" si="70"/>
        <v>41220.008816044625</v>
      </c>
      <c r="X34" s="119">
        <f t="shared" si="70"/>
        <v>45754.209785809537</v>
      </c>
      <c r="Y34" s="119">
        <f t="shared" si="70"/>
        <v>50787.17286224859</v>
      </c>
      <c r="Z34" s="119">
        <f t="shared" si="70"/>
        <v>56373.761877095938</v>
      </c>
      <c r="AA34" s="119">
        <f t="shared" si="70"/>
        <v>62574.875683576494</v>
      </c>
      <c r="AB34" s="119">
        <f t="shared" si="70"/>
        <v>69458.112008769909</v>
      </c>
      <c r="AC34" s="119">
        <f t="shared" si="70"/>
        <v>77098.504329734613</v>
      </c>
      <c r="AD34" s="119"/>
    </row>
    <row r="35" spans="2:30" x14ac:dyDescent="0.2">
      <c r="B35" s="78" t="s">
        <v>125</v>
      </c>
      <c r="C35" s="79"/>
      <c r="D35" s="79">
        <f>D34-C34</f>
        <v>4220.012999999999</v>
      </c>
      <c r="E35" s="79">
        <f t="shared" ref="E35:H35" si="71">E34-D34</f>
        <v>2940.8729999999996</v>
      </c>
      <c r="F35" s="79">
        <f t="shared" si="71"/>
        <v>3560.8480000000018</v>
      </c>
      <c r="G35" s="79">
        <f t="shared" si="71"/>
        <v>1403.4309999999969</v>
      </c>
      <c r="H35" s="79">
        <f t="shared" si="71"/>
        <v>-2744.7159999999967</v>
      </c>
      <c r="I35" s="79">
        <f>I34-H34</f>
        <v>-1067.6100000000006</v>
      </c>
      <c r="J35" s="79">
        <f t="shared" ref="J35:N35" si="72">J34-I34</f>
        <v>787.6844400000009</v>
      </c>
      <c r="K35" s="79">
        <f t="shared" si="72"/>
        <v>540.87664880000011</v>
      </c>
      <c r="L35" s="79">
        <f t="shared" si="72"/>
        <v>551.69418177600164</v>
      </c>
      <c r="M35" s="79">
        <f t="shared" si="72"/>
        <v>844.09209811728215</v>
      </c>
      <c r="N35" s="79">
        <f t="shared" si="72"/>
        <v>1159.219814747732</v>
      </c>
      <c r="O35" s="79"/>
      <c r="P35" s="79"/>
      <c r="Q35" s="79">
        <f t="shared" ref="Q35:AC35" si="73">Q34-P34</f>
        <v>-6579.2999999999993</v>
      </c>
      <c r="R35" s="79">
        <f t="shared" si="73"/>
        <v>13158.743000000002</v>
      </c>
      <c r="S35" s="79">
        <f t="shared" si="73"/>
        <v>-1621.2105599999995</v>
      </c>
      <c r="T35" s="79">
        <f t="shared" si="73"/>
        <v>3095.8827434410159</v>
      </c>
      <c r="U35" s="79">
        <f t="shared" si="73"/>
        <v>3315.3686701785118</v>
      </c>
      <c r="V35" s="79">
        <f t="shared" si="73"/>
        <v>3680.059223898148</v>
      </c>
      <c r="W35" s="79">
        <f t="shared" si="73"/>
        <v>4084.8657385269471</v>
      </c>
      <c r="X35" s="79">
        <f t="shared" si="73"/>
        <v>4534.2009697649119</v>
      </c>
      <c r="Y35" s="79">
        <f t="shared" si="73"/>
        <v>5032.9630764390531</v>
      </c>
      <c r="Z35" s="79">
        <f t="shared" si="73"/>
        <v>5586.5890148473482</v>
      </c>
      <c r="AA35" s="79">
        <f t="shared" si="73"/>
        <v>6201.1138064805564</v>
      </c>
      <c r="AB35" s="79">
        <f t="shared" si="73"/>
        <v>6883.2363251934148</v>
      </c>
      <c r="AC35" s="79">
        <f t="shared" si="73"/>
        <v>7640.3923209647037</v>
      </c>
      <c r="AD35" s="79"/>
    </row>
    <row r="36" spans="2:30" x14ac:dyDescent="0.2">
      <c r="B36" s="78" t="s">
        <v>44</v>
      </c>
      <c r="C36" s="79"/>
      <c r="D36" s="87">
        <f>D34/C34-1</f>
        <v>0.23518588461024659</v>
      </c>
      <c r="E36" s="87">
        <f t="shared" ref="E36:H36" si="74">E34/D34-1</f>
        <v>0.13269098377941724</v>
      </c>
      <c r="F36" s="87">
        <f t="shared" si="74"/>
        <v>0.14184274779573691</v>
      </c>
      <c r="G36" s="87">
        <f t="shared" si="74"/>
        <v>4.8959668401683532E-2</v>
      </c>
      <c r="H36" s="87">
        <f t="shared" si="74"/>
        <v>-9.1282184789291176E-2</v>
      </c>
      <c r="I36" s="87">
        <f>I34/H34-1</f>
        <v>-3.9072590234476512E-2</v>
      </c>
      <c r="J36" s="87">
        <v>0.03</v>
      </c>
      <c r="K36" s="87">
        <v>0.02</v>
      </c>
      <c r="L36" s="87">
        <v>0.02</v>
      </c>
      <c r="M36" s="87">
        <v>0.03</v>
      </c>
      <c r="N36" s="87">
        <v>0.04</v>
      </c>
      <c r="O36" s="79"/>
      <c r="P36" s="79"/>
      <c r="Q36" s="87">
        <f>Q34/P34-1</f>
        <v>-0.29789998913319082</v>
      </c>
      <c r="R36" s="87">
        <f t="shared" ref="R36:T36" si="75">R34/Q34-1</f>
        <v>0.84860624391376427</v>
      </c>
      <c r="S36" s="87">
        <f t="shared" si="75"/>
        <v>-5.6557060109765023E-2</v>
      </c>
      <c r="T36" s="87">
        <f t="shared" si="75"/>
        <v>0.11447648000000021</v>
      </c>
      <c r="U36" s="87">
        <v>0.11</v>
      </c>
      <c r="V36" s="87">
        <v>0.11</v>
      </c>
      <c r="W36" s="87">
        <v>0.11</v>
      </c>
      <c r="X36" s="87">
        <v>0.11</v>
      </c>
      <c r="Y36" s="87">
        <v>0.11</v>
      </c>
      <c r="Z36" s="87">
        <v>0.11</v>
      </c>
      <c r="AA36" s="87">
        <v>0.11</v>
      </c>
      <c r="AB36" s="87">
        <v>0.11</v>
      </c>
      <c r="AC36" s="87">
        <v>0.11</v>
      </c>
    </row>
    <row r="37" spans="2:30" x14ac:dyDescent="0.2">
      <c r="C37" s="79"/>
      <c r="D37" s="87"/>
      <c r="E37" s="87"/>
      <c r="F37" s="87"/>
      <c r="G37" s="87"/>
      <c r="H37" s="87"/>
      <c r="I37" s="87"/>
      <c r="J37" s="79"/>
      <c r="K37" s="79"/>
      <c r="L37" s="79"/>
      <c r="M37" s="79"/>
      <c r="N37" s="79"/>
      <c r="O37" s="79"/>
      <c r="P37" s="121"/>
      <c r="Q37" s="121"/>
      <c r="R37" s="121"/>
      <c r="S37" s="121"/>
    </row>
    <row r="38" spans="2:30" s="119" customFormat="1" x14ac:dyDescent="0.2">
      <c r="B38" s="119" t="s">
        <v>126</v>
      </c>
      <c r="C38" s="119">
        <v>648.79999999999995</v>
      </c>
      <c r="D38" s="122">
        <v>684</v>
      </c>
      <c r="E38" s="122">
        <v>730.7</v>
      </c>
      <c r="F38" s="122">
        <v>881</v>
      </c>
      <c r="G38" s="122">
        <v>915.5</v>
      </c>
      <c r="H38" s="122">
        <v>940.8</v>
      </c>
      <c r="I38" s="122">
        <v>950.9</v>
      </c>
      <c r="J38" s="119">
        <f>I38*(1+J39)</f>
        <v>1017.4630000000001</v>
      </c>
      <c r="K38" s="119">
        <f t="shared" ref="K38:N38" si="76">J38*(1+K39)</f>
        <v>1098.8600400000003</v>
      </c>
      <c r="L38" s="119">
        <f t="shared" si="76"/>
        <v>1153.8030420000002</v>
      </c>
      <c r="M38" s="119">
        <f t="shared" si="76"/>
        <v>1223.0312245200003</v>
      </c>
      <c r="N38" s="119">
        <f t="shared" si="76"/>
        <v>1284.1827857460003</v>
      </c>
      <c r="R38" s="119">
        <f>F38</f>
        <v>881</v>
      </c>
      <c r="S38" s="119">
        <f>J38</f>
        <v>1017.4630000000001</v>
      </c>
      <c r="T38" s="119">
        <f>N38</f>
        <v>1284.1827857460003</v>
      </c>
      <c r="U38" s="119">
        <f>T38*(1+U40)</f>
        <v>1566.7029986101202</v>
      </c>
      <c r="V38" s="119">
        <f t="shared" ref="V38:AC38" si="77">U38*(1+V40)</f>
        <v>1848.7095383599417</v>
      </c>
      <c r="W38" s="119">
        <f t="shared" si="77"/>
        <v>2107.5288737303335</v>
      </c>
      <c r="X38" s="119">
        <f t="shared" si="77"/>
        <v>2360.432338577974</v>
      </c>
      <c r="Y38" s="119">
        <f t="shared" si="77"/>
        <v>2593.5250320125488</v>
      </c>
      <c r="Z38" s="119">
        <f t="shared" si="77"/>
        <v>2794.5232219935215</v>
      </c>
      <c r="AA38" s="119">
        <f t="shared" si="77"/>
        <v>2951.7151532306566</v>
      </c>
      <c r="AB38" s="119">
        <f t="shared" si="77"/>
        <v>3055.0251835937293</v>
      </c>
      <c r="AC38" s="119">
        <f t="shared" si="77"/>
        <v>3207.776442773416</v>
      </c>
    </row>
    <row r="39" spans="2:30" x14ac:dyDescent="0.2">
      <c r="B39" s="78" t="s">
        <v>127</v>
      </c>
      <c r="C39" s="79"/>
      <c r="D39" s="87">
        <f>D38/C38-1</f>
        <v>5.4254007398273796E-2</v>
      </c>
      <c r="E39" s="87">
        <f t="shared" ref="E39:I39" si="78">E38/D38-1</f>
        <v>6.827485380116971E-2</v>
      </c>
      <c r="F39" s="87">
        <f t="shared" si="78"/>
        <v>0.20569317093198292</v>
      </c>
      <c r="G39" s="87">
        <f t="shared" si="78"/>
        <v>3.916004540295126E-2</v>
      </c>
      <c r="H39" s="87">
        <f t="shared" si="78"/>
        <v>2.7635172037138167E-2</v>
      </c>
      <c r="I39" s="87">
        <f t="shared" si="78"/>
        <v>1.0735544217687076E-2</v>
      </c>
      <c r="J39" s="87">
        <v>7.0000000000000007E-2</v>
      </c>
      <c r="K39" s="87">
        <v>0.08</v>
      </c>
      <c r="L39" s="87">
        <v>0.05</v>
      </c>
      <c r="M39" s="87">
        <v>0.06</v>
      </c>
      <c r="N39" s="87">
        <v>0.05</v>
      </c>
      <c r="O39" s="79"/>
      <c r="P39" s="79"/>
      <c r="Q39" s="79"/>
      <c r="R39" s="79"/>
    </row>
    <row r="40" spans="2:30" x14ac:dyDescent="0.2">
      <c r="B40" s="78" t="s">
        <v>128</v>
      </c>
      <c r="C40" s="79"/>
      <c r="D40" s="87"/>
      <c r="E40" s="87"/>
      <c r="F40" s="87"/>
      <c r="G40" s="87">
        <f>G38/C38-1</f>
        <v>0.41106658446362521</v>
      </c>
      <c r="H40" s="87">
        <f t="shared" ref="H40:I40" si="79">H38/D38-1</f>
        <v>0.37543859649122791</v>
      </c>
      <c r="I40" s="87">
        <f t="shared" si="79"/>
        <v>0.30135486519775556</v>
      </c>
      <c r="J40" s="87">
        <f>J38/F38-1</f>
        <v>0.154895573212259</v>
      </c>
      <c r="K40" s="87">
        <f t="shared" ref="K40:N40" si="80">K38/G38-1</f>
        <v>0.20028404150737322</v>
      </c>
      <c r="L40" s="87">
        <f t="shared" si="80"/>
        <v>0.22640629464285755</v>
      </c>
      <c r="M40" s="87">
        <f t="shared" si="80"/>
        <v>0.2861828000000004</v>
      </c>
      <c r="N40" s="87">
        <f t="shared" si="80"/>
        <v>0.2621420000000001</v>
      </c>
      <c r="O40" s="79"/>
      <c r="P40" s="79"/>
      <c r="Q40" s="79"/>
      <c r="R40" s="79"/>
      <c r="S40" s="87">
        <f>S38/R38-1</f>
        <v>0.154895573212259</v>
      </c>
      <c r="T40" s="87">
        <f>T38/S38-1</f>
        <v>0.2621420000000001</v>
      </c>
      <c r="U40" s="87">
        <v>0.22</v>
      </c>
      <c r="V40" s="123">
        <v>0.18</v>
      </c>
      <c r="W40" s="123">
        <v>0.14000000000000001</v>
      </c>
      <c r="X40" s="123">
        <v>0.12</v>
      </c>
      <c r="Y40" s="123">
        <f t="shared" ref="Y40:AB40" si="81">X40-($U$40-$AC$40)/($AC$2-$U$2)</f>
        <v>9.8750000000000004E-2</v>
      </c>
      <c r="Z40" s="123">
        <f t="shared" si="81"/>
        <v>7.7500000000000013E-2</v>
      </c>
      <c r="AA40" s="123">
        <f t="shared" si="81"/>
        <v>5.6250000000000015E-2</v>
      </c>
      <c r="AB40" s="123">
        <f t="shared" si="81"/>
        <v>3.5000000000000017E-2</v>
      </c>
      <c r="AC40" s="87">
        <v>0.05</v>
      </c>
    </row>
    <row r="41" spans="2:30" x14ac:dyDescent="0.2">
      <c r="C41" s="79"/>
      <c r="D41" s="87"/>
      <c r="E41" s="87"/>
      <c r="F41" s="87"/>
      <c r="G41" s="87"/>
      <c r="H41" s="87"/>
      <c r="I41" s="87"/>
      <c r="J41" s="79"/>
      <c r="K41" s="79"/>
      <c r="L41" s="79"/>
      <c r="M41" s="79"/>
      <c r="N41" s="79"/>
      <c r="O41" s="79"/>
      <c r="P41" s="79"/>
      <c r="Q41" s="79"/>
      <c r="R41" s="79"/>
    </row>
    <row r="42" spans="2:30" x14ac:dyDescent="0.2">
      <c r="B42" s="78" t="s">
        <v>129</v>
      </c>
      <c r="C42" s="79"/>
      <c r="D42" s="87">
        <f t="shared" ref="D42:N43" si="82">D3/C3-1</f>
        <v>2.9490200073865491E-2</v>
      </c>
      <c r="E42" s="87">
        <f t="shared" si="82"/>
        <v>8.927144387567032E-2</v>
      </c>
      <c r="F42" s="87">
        <f t="shared" si="82"/>
        <v>0.10505263875166104</v>
      </c>
      <c r="G42" s="87">
        <f t="shared" si="82"/>
        <v>1.1228133641373761E-2</v>
      </c>
      <c r="H42" s="87">
        <f t="shared" si="82"/>
        <v>5.7760634607462613E-2</v>
      </c>
      <c r="I42" s="87">
        <f t="shared" si="82"/>
        <v>3.6233327589840325E-2</v>
      </c>
      <c r="J42" s="87">
        <f>J39</f>
        <v>7.0000000000000007E-2</v>
      </c>
      <c r="K42" s="87">
        <f t="shared" ref="K42:M42" si="83">K39</f>
        <v>0.08</v>
      </c>
      <c r="L42" s="87">
        <f t="shared" si="83"/>
        <v>0.05</v>
      </c>
      <c r="M42" s="87">
        <f t="shared" si="83"/>
        <v>0.06</v>
      </c>
      <c r="N42" s="87">
        <f>N39</f>
        <v>0.05</v>
      </c>
      <c r="O42" s="79"/>
      <c r="P42" s="79"/>
      <c r="Q42" s="87">
        <f>Q39</f>
        <v>0</v>
      </c>
      <c r="R42" s="87">
        <f t="shared" ref="R42" si="84">R39</f>
        <v>0</v>
      </c>
      <c r="S42" s="87">
        <f>S40</f>
        <v>0.154895573212259</v>
      </c>
      <c r="T42" s="87">
        <f>T40</f>
        <v>0.2621420000000001</v>
      </c>
      <c r="U42" s="123">
        <f>U40</f>
        <v>0.22</v>
      </c>
      <c r="V42" s="123">
        <f t="shared" ref="V42:AC42" si="85">V40</f>
        <v>0.18</v>
      </c>
      <c r="W42" s="123">
        <f t="shared" si="85"/>
        <v>0.14000000000000001</v>
      </c>
      <c r="X42" s="123">
        <f t="shared" si="85"/>
        <v>0.12</v>
      </c>
      <c r="Y42" s="123">
        <f t="shared" si="85"/>
        <v>9.8750000000000004E-2</v>
      </c>
      <c r="Z42" s="123">
        <f t="shared" si="85"/>
        <v>7.7500000000000013E-2</v>
      </c>
      <c r="AA42" s="123">
        <f t="shared" si="85"/>
        <v>5.6250000000000015E-2</v>
      </c>
      <c r="AB42" s="123">
        <f t="shared" si="85"/>
        <v>3.5000000000000017E-2</v>
      </c>
      <c r="AC42" s="123">
        <f t="shared" si="85"/>
        <v>0.05</v>
      </c>
    </row>
    <row r="43" spans="2:30" x14ac:dyDescent="0.2">
      <c r="B43" s="78" t="s">
        <v>130</v>
      </c>
      <c r="C43" s="79"/>
      <c r="D43" s="87">
        <f t="shared" si="82"/>
        <v>-8.0749640128446543E-2</v>
      </c>
      <c r="E43" s="87">
        <f t="shared" si="82"/>
        <v>0.45168187430361084</v>
      </c>
      <c r="F43" s="87">
        <f t="shared" si="82"/>
        <v>1.8306434883624449</v>
      </c>
      <c r="G43" s="87">
        <f t="shared" si="82"/>
        <v>-0.23425476717428606</v>
      </c>
      <c r="H43" s="87">
        <f t="shared" si="82"/>
        <v>-4.6808754988563406E-2</v>
      </c>
      <c r="I43" s="87">
        <f t="shared" si="82"/>
        <v>0.11223116930058841</v>
      </c>
      <c r="J43" s="87">
        <f t="shared" si="82"/>
        <v>-0.6614124214631325</v>
      </c>
      <c r="K43" s="87">
        <f t="shared" si="82"/>
        <v>-0.2674756885162779</v>
      </c>
      <c r="L43" s="87">
        <f t="shared" si="82"/>
        <v>1.4293007329850393E-2</v>
      </c>
      <c r="M43" s="87">
        <f t="shared" si="82"/>
        <v>0.42399940184408735</v>
      </c>
      <c r="N43" s="87">
        <f t="shared" si="82"/>
        <v>0.32167146299831084</v>
      </c>
      <c r="O43" s="79"/>
      <c r="P43" s="79"/>
      <c r="Q43" s="87">
        <f t="shared" ref="Q43:AC43" si="86">Q4/P4-1</f>
        <v>6.7353803757957298E-2</v>
      </c>
      <c r="R43" s="87">
        <f t="shared" si="86"/>
        <v>0.8317407201736613</v>
      </c>
      <c r="S43" s="87">
        <f t="shared" si="86"/>
        <v>0.3873341086888904</v>
      </c>
      <c r="T43" s="87">
        <f t="shared" si="86"/>
        <v>-0.58147642619082451</v>
      </c>
      <c r="U43" s="87">
        <f t="shared" si="86"/>
        <v>8.4856004723727674E-2</v>
      </c>
      <c r="V43" s="87">
        <f t="shared" si="86"/>
        <v>9.8999276380470125E-2</v>
      </c>
      <c r="W43" s="87">
        <f t="shared" si="86"/>
        <v>9.9990235793639748E-2</v>
      </c>
      <c r="X43" s="87">
        <f t="shared" si="86"/>
        <v>0.10090013358242311</v>
      </c>
      <c r="Y43" s="87">
        <f t="shared" si="86"/>
        <v>0.10173415813116038</v>
      </c>
      <c r="Z43" s="87">
        <f t="shared" si="86"/>
        <v>0.10249742616416557</v>
      </c>
      <c r="AA43" s="87">
        <f t="shared" si="86"/>
        <v>0.10319492847984479</v>
      </c>
      <c r="AB43" s="87">
        <f t="shared" si="86"/>
        <v>0.10383148766869987</v>
      </c>
      <c r="AC43" s="87">
        <f t="shared" si="86"/>
        <v>0.10441172642725927</v>
      </c>
    </row>
    <row r="44" spans="2:30" x14ac:dyDescent="0.2">
      <c r="B44" s="78" t="s">
        <v>131</v>
      </c>
      <c r="C44" s="79"/>
      <c r="D44" s="87">
        <f t="shared" ref="D44:N45" si="87">D12/C12-1</f>
        <v>-1.2574812173691607E-2</v>
      </c>
      <c r="E44" s="87">
        <f t="shared" si="87"/>
        <v>0.12996098913499066</v>
      </c>
      <c r="F44" s="87">
        <f t="shared" si="87"/>
        <v>0.80227117096553302</v>
      </c>
      <c r="G44" s="87">
        <f t="shared" si="87"/>
        <v>-0.13743152962036542</v>
      </c>
      <c r="H44" s="87">
        <f t="shared" si="87"/>
        <v>0.13930439570524</v>
      </c>
      <c r="I44" s="87">
        <f t="shared" si="87"/>
        <v>-0.15553765606121628</v>
      </c>
      <c r="J44" s="87">
        <f t="shared" si="87"/>
        <v>-4.6165585654330488E-2</v>
      </c>
      <c r="K44" s="87">
        <f t="shared" si="87"/>
        <v>-7.999999999999996E-2</v>
      </c>
      <c r="L44" s="87">
        <f t="shared" si="87"/>
        <v>-2.1739130434782594E-2</v>
      </c>
      <c r="M44" s="87">
        <f t="shared" si="87"/>
        <v>6.6666666666666652E-2</v>
      </c>
      <c r="N44" s="87">
        <f t="shared" si="87"/>
        <v>8.3333333333333259E-2</v>
      </c>
      <c r="O44" s="79"/>
      <c r="P44" s="79"/>
      <c r="Q44" s="87">
        <f t="shared" ref="Q44:AC45" si="88">Q12/P12-1</f>
        <v>-0.31341900678735513</v>
      </c>
      <c r="R44" s="87">
        <f t="shared" si="88"/>
        <v>0.28277343469268801</v>
      </c>
      <c r="S44" s="87">
        <f t="shared" si="88"/>
        <v>0.3631468535821667</v>
      </c>
      <c r="T44" s="87">
        <f t="shared" si="88"/>
        <v>-0.1277742259567084</v>
      </c>
      <c r="U44" s="87">
        <f t="shared" si="88"/>
        <v>0.48883881023961262</v>
      </c>
      <c r="V44" s="87">
        <f t="shared" si="88"/>
        <v>0.1100000000000001</v>
      </c>
      <c r="W44" s="87">
        <f t="shared" si="88"/>
        <v>0.1100000000000001</v>
      </c>
      <c r="X44" s="87">
        <f t="shared" si="88"/>
        <v>0.1100000000000001</v>
      </c>
      <c r="Y44" s="87">
        <f t="shared" si="88"/>
        <v>0.1100000000000001</v>
      </c>
      <c r="Z44" s="87">
        <f t="shared" si="88"/>
        <v>0.1100000000000001</v>
      </c>
      <c r="AA44" s="87">
        <f t="shared" si="88"/>
        <v>0.1100000000000001</v>
      </c>
      <c r="AB44" s="87">
        <f t="shared" si="88"/>
        <v>0.10999999999999988</v>
      </c>
      <c r="AC44" s="87">
        <f t="shared" si="88"/>
        <v>0.11000000000000032</v>
      </c>
    </row>
    <row r="45" spans="2:30" x14ac:dyDescent="0.2">
      <c r="B45" s="78" t="s">
        <v>132</v>
      </c>
      <c r="C45" s="79"/>
      <c r="D45" s="87">
        <f t="shared" si="87"/>
        <v>-0.53741045370124696</v>
      </c>
      <c r="E45" s="87">
        <f t="shared" si="87"/>
        <v>1.3009392027530828</v>
      </c>
      <c r="F45" s="87">
        <f t="shared" si="87"/>
        <v>-0.21013600884914396</v>
      </c>
      <c r="G45" s="87">
        <f t="shared" si="87"/>
        <v>0.43728673149371788</v>
      </c>
      <c r="H45" s="87">
        <f t="shared" si="87"/>
        <v>1.13517407951255</v>
      </c>
      <c r="I45" s="87">
        <f t="shared" si="87"/>
        <v>0.28147414967735318</v>
      </c>
      <c r="J45" s="87">
        <f t="shared" si="87"/>
        <v>-0.49845021115246113</v>
      </c>
      <c r="K45" s="87">
        <f t="shared" si="87"/>
        <v>0</v>
      </c>
      <c r="L45" s="87">
        <f t="shared" si="87"/>
        <v>0</v>
      </c>
      <c r="M45" s="87">
        <f t="shared" si="87"/>
        <v>0</v>
      </c>
      <c r="N45" s="87">
        <f t="shared" si="87"/>
        <v>0</v>
      </c>
      <c r="O45" s="79"/>
      <c r="P45" s="79"/>
      <c r="Q45" s="87">
        <f t="shared" si="88"/>
        <v>-4.1645518982911005</v>
      </c>
      <c r="R45" s="87">
        <f t="shared" si="88"/>
        <v>-1.8022611814712692</v>
      </c>
      <c r="S45" s="87">
        <f t="shared" si="88"/>
        <v>1.5990910254768913</v>
      </c>
      <c r="T45" s="87">
        <f t="shared" si="88"/>
        <v>-0.2421931687503196</v>
      </c>
      <c r="U45" s="87">
        <f t="shared" si="88"/>
        <v>0</v>
      </c>
      <c r="V45" s="87">
        <f t="shared" si="88"/>
        <v>0</v>
      </c>
      <c r="W45" s="87">
        <f t="shared" si="88"/>
        <v>0</v>
      </c>
      <c r="X45" s="87">
        <f t="shared" si="88"/>
        <v>0</v>
      </c>
      <c r="Y45" s="87">
        <f t="shared" si="88"/>
        <v>0</v>
      </c>
      <c r="Z45" s="87">
        <f t="shared" si="88"/>
        <v>0</v>
      </c>
      <c r="AA45" s="87">
        <f t="shared" si="88"/>
        <v>0</v>
      </c>
      <c r="AB45" s="87">
        <f t="shared" si="88"/>
        <v>0</v>
      </c>
      <c r="AC45" s="87">
        <f t="shared" si="88"/>
        <v>0</v>
      </c>
    </row>
    <row r="46" spans="2:30" s="47" customFormat="1" x14ac:dyDescent="0.2">
      <c r="B46" s="47" t="s">
        <v>133</v>
      </c>
      <c r="C46" s="119"/>
      <c r="D46" s="87">
        <f t="shared" ref="D46:N46" si="89">D5/C5-1</f>
        <v>2.6209718939748994E-2</v>
      </c>
      <c r="E46" s="87">
        <f t="shared" si="89"/>
        <v>9.8931893565031848E-2</v>
      </c>
      <c r="F46" s="87">
        <f t="shared" si="89"/>
        <v>0.16581507245064109</v>
      </c>
      <c r="G46" s="87">
        <f t="shared" si="89"/>
        <v>-9.7600128320642909E-3</v>
      </c>
      <c r="H46" s="87">
        <f t="shared" si="89"/>
        <v>5.0847082272173605E-2</v>
      </c>
      <c r="I46" s="87">
        <f t="shared" si="89"/>
        <v>4.079095126702148E-2</v>
      </c>
      <c r="J46" s="87">
        <f t="shared" si="89"/>
        <v>2.3126099980908643E-2</v>
      </c>
      <c r="K46" s="87">
        <f t="shared" si="89"/>
        <v>7.2630550626645585E-2</v>
      </c>
      <c r="L46" s="87">
        <f t="shared" si="89"/>
        <v>4.9482827087109715E-2</v>
      </c>
      <c r="M46" s="87">
        <f t="shared" si="89"/>
        <v>6.509531761687759E-2</v>
      </c>
      <c r="N46" s="87">
        <f t="shared" si="89"/>
        <v>5.5084355909162719E-2</v>
      </c>
      <c r="O46" s="119"/>
      <c r="P46" s="119"/>
    </row>
    <row r="47" spans="2:30" s="47" customFormat="1" x14ac:dyDescent="0.2">
      <c r="B47" s="47" t="s">
        <v>134</v>
      </c>
      <c r="C47" s="119"/>
      <c r="D47" s="87"/>
      <c r="E47" s="87"/>
      <c r="F47" s="87"/>
      <c r="G47" s="87">
        <f>G5/C5-1</f>
        <v>0.30189820081569163</v>
      </c>
      <c r="H47" s="87">
        <f>H5/D5-1</f>
        <v>0.33315432556616198</v>
      </c>
      <c r="I47" s="87">
        <f>I5/E5-1</f>
        <v>0.26262142978712211</v>
      </c>
      <c r="J47" s="87">
        <f t="shared" ref="J47:N47" si="90">J5/F5-1</f>
        <v>0.10808392320310345</v>
      </c>
      <c r="K47" s="87">
        <f t="shared" si="90"/>
        <v>0.20027941114067427</v>
      </c>
      <c r="L47" s="87">
        <f t="shared" si="90"/>
        <v>0.19872115643568566</v>
      </c>
      <c r="M47" s="87">
        <f t="shared" si="90"/>
        <v>0.22671348102485434</v>
      </c>
      <c r="N47" s="87">
        <f t="shared" si="90"/>
        <v>0.26503097031377321</v>
      </c>
      <c r="O47" s="119"/>
      <c r="P47" s="119"/>
      <c r="Q47" s="87">
        <f>Q5/P5-1</f>
        <v>0.17466198564934676</v>
      </c>
      <c r="R47" s="87">
        <f>R5/Q5-1</f>
        <v>0.28206777730247379</v>
      </c>
      <c r="S47" s="87">
        <f>S5/R5-1</f>
        <v>0.24214180358058646</v>
      </c>
      <c r="T47" s="87">
        <f>T5/S5-1</f>
        <v>0.22367089929380213</v>
      </c>
      <c r="U47" s="87">
        <f t="shared" ref="U47:AC47" si="91">U5/T5-1</f>
        <v>0.21758284391460414</v>
      </c>
      <c r="V47" s="87">
        <f t="shared" si="91"/>
        <v>0.17870916593684183</v>
      </c>
      <c r="W47" s="87">
        <f t="shared" si="91"/>
        <v>0.1394055186202714</v>
      </c>
      <c r="X47" s="87">
        <f t="shared" si="91"/>
        <v>0.11972602363099472</v>
      </c>
      <c r="Y47" s="87">
        <f t="shared" si="91"/>
        <v>9.8792086301417781E-2</v>
      </c>
      <c r="Z47" s="87">
        <f t="shared" si="91"/>
        <v>7.7853488682990246E-2</v>
      </c>
      <c r="AA47" s="87">
        <f t="shared" si="91"/>
        <v>5.6929026548083739E-2</v>
      </c>
      <c r="AB47" s="87">
        <f t="shared" si="91"/>
        <v>3.6039182106932355E-2</v>
      </c>
      <c r="AC47" s="87">
        <f t="shared" si="91"/>
        <v>5.0875232846934626E-2</v>
      </c>
    </row>
    <row r="48" spans="2:30" x14ac:dyDescent="0.2">
      <c r="B48" s="78" t="s">
        <v>135</v>
      </c>
      <c r="C48" s="87">
        <f t="shared" ref="C48:I48" si="92">C6/C5</f>
        <v>0.15249695413031461</v>
      </c>
      <c r="D48" s="87">
        <f t="shared" si="92"/>
        <v>0.16460446507983906</v>
      </c>
      <c r="E48" s="87">
        <f t="shared" si="92"/>
        <v>0.15923655278557139</v>
      </c>
      <c r="F48" s="87">
        <f t="shared" si="92"/>
        <v>0.19403045860844781</v>
      </c>
      <c r="G48" s="87">
        <f t="shared" si="92"/>
        <v>0.15228435389214928</v>
      </c>
      <c r="H48" s="87">
        <f t="shared" si="92"/>
        <v>0.1741875077147253</v>
      </c>
      <c r="I48" s="87">
        <f t="shared" si="92"/>
        <v>0.1564155669846633</v>
      </c>
      <c r="J48" s="87">
        <f>AVERAGE(C48:I48)</f>
        <v>0.16475083702795867</v>
      </c>
      <c r="K48" s="87">
        <f t="shared" ref="K48:N48" si="93">AVERAGE(D48:J48)</f>
        <v>0.16650139172762213</v>
      </c>
      <c r="L48" s="87">
        <f t="shared" si="93"/>
        <v>0.16677238124873398</v>
      </c>
      <c r="M48" s="87">
        <f t="shared" si="93"/>
        <v>0.16784892817204294</v>
      </c>
      <c r="N48" s="87">
        <f t="shared" si="93"/>
        <v>0.16410870953827078</v>
      </c>
      <c r="O48" s="79"/>
      <c r="P48" s="79"/>
      <c r="Q48" s="87">
        <f t="shared" ref="Q48:T48" si="94">AVERAGE(J48:P48)</f>
        <v>0.16599644954292567</v>
      </c>
      <c r="R48" s="87">
        <f t="shared" si="94"/>
        <v>0.16624557204591908</v>
      </c>
      <c r="S48" s="87">
        <f t="shared" si="94"/>
        <v>0.16619440810957847</v>
      </c>
      <c r="T48" s="87">
        <f t="shared" si="94"/>
        <v>0.16607881348174738</v>
      </c>
      <c r="U48" s="123">
        <f>AVERAGE(Q48:T48)</f>
        <v>0.16612881079504266</v>
      </c>
      <c r="V48" s="123">
        <f t="shared" ref="V48:AC48" si="95">AVERAGE(R48:U48)</f>
        <v>0.16616190110807189</v>
      </c>
      <c r="W48" s="123">
        <f t="shared" si="95"/>
        <v>0.16614098337361011</v>
      </c>
      <c r="X48" s="123">
        <f t="shared" si="95"/>
        <v>0.16612762718961802</v>
      </c>
      <c r="Y48" s="123">
        <f t="shared" si="95"/>
        <v>0.16613983061658566</v>
      </c>
      <c r="Z48" s="123">
        <f t="shared" si="95"/>
        <v>0.16614258557197142</v>
      </c>
      <c r="AA48" s="123">
        <f t="shared" si="95"/>
        <v>0.16613775668794628</v>
      </c>
      <c r="AB48" s="123">
        <f t="shared" si="95"/>
        <v>0.16613695001653034</v>
      </c>
      <c r="AC48" s="123">
        <f t="shared" si="95"/>
        <v>0.16613928072325843</v>
      </c>
    </row>
    <row r="49" spans="2:30" s="47" customFormat="1" x14ac:dyDescent="0.2">
      <c r="B49" s="47" t="s">
        <v>136</v>
      </c>
      <c r="C49" s="124">
        <f t="shared" ref="C49:N49" si="96">C10/C5</f>
        <v>0.80848461084123668</v>
      </c>
      <c r="D49" s="124">
        <f t="shared" si="96"/>
        <v>0.79678765344096281</v>
      </c>
      <c r="E49" s="124">
        <f t="shared" si="96"/>
        <v>0.80155602515995239</v>
      </c>
      <c r="F49" s="124">
        <f t="shared" si="96"/>
        <v>0.76868450039536285</v>
      </c>
      <c r="G49" s="124">
        <f t="shared" si="96"/>
        <v>0.80409510100131287</v>
      </c>
      <c r="H49" s="124">
        <f t="shared" si="96"/>
        <v>0.78120888615925599</v>
      </c>
      <c r="I49" s="124">
        <f t="shared" si="96"/>
        <v>0.79381728983587208</v>
      </c>
      <c r="J49" s="124">
        <f t="shared" si="96"/>
        <v>0.7869342977607795</v>
      </c>
      <c r="K49" s="124">
        <f t="shared" si="96"/>
        <v>0.78469637713737406</v>
      </c>
      <c r="L49" s="124">
        <f t="shared" si="96"/>
        <v>0.78447975400204084</v>
      </c>
      <c r="M49" s="124">
        <f t="shared" si="96"/>
        <v>0.78389218212596568</v>
      </c>
      <c r="N49" s="124">
        <f t="shared" si="96"/>
        <v>0.78789993143352977</v>
      </c>
      <c r="Q49" s="124">
        <f t="shared" ref="Q49:S49" si="97">Q10/Q5</f>
        <v>0.7894673154960401</v>
      </c>
      <c r="R49" s="124">
        <f t="shared" si="97"/>
        <v>0.79234032936027043</v>
      </c>
      <c r="S49" s="124">
        <f t="shared" si="97"/>
        <v>0.79131379817010483</v>
      </c>
      <c r="T49" s="124">
        <f>T10/T5</f>
        <v>0.78530648151740834</v>
      </c>
      <c r="U49" s="124">
        <f t="shared" ref="U49:AC49" si="98">U10/U5</f>
        <v>0.79830037237244911</v>
      </c>
      <c r="V49" s="124">
        <f t="shared" si="98"/>
        <v>0.80020977855125808</v>
      </c>
      <c r="W49" s="124">
        <f t="shared" si="98"/>
        <v>0.80104057329430756</v>
      </c>
      <c r="X49" s="124">
        <f t="shared" si="98"/>
        <v>0.80131947363798139</v>
      </c>
      <c r="Y49" s="124">
        <f t="shared" si="98"/>
        <v>0.80099814553958104</v>
      </c>
      <c r="Z49" s="124">
        <f t="shared" si="98"/>
        <v>0.80008231656627349</v>
      </c>
      <c r="AA49" s="124">
        <f t="shared" si="98"/>
        <v>0.79850405275865044</v>
      </c>
      <c r="AB49" s="124">
        <f t="shared" si="98"/>
        <v>0.79614112982953678</v>
      </c>
      <c r="AC49" s="124">
        <f t="shared" si="98"/>
        <v>0.79414290566693269</v>
      </c>
    </row>
    <row r="51" spans="2:30" s="47" customFormat="1" x14ac:dyDescent="0.2">
      <c r="B51" s="47" t="s">
        <v>137</v>
      </c>
      <c r="D51" s="124">
        <f t="shared" ref="D51:N51" si="99">D14/C14-1</f>
        <v>-9.6292889014336636E-3</v>
      </c>
      <c r="E51" s="124">
        <f t="shared" si="99"/>
        <v>0.20013506037920736</v>
      </c>
      <c r="F51" s="124">
        <f t="shared" si="99"/>
        <v>-0.14182730331450555</v>
      </c>
      <c r="G51" s="124">
        <f t="shared" si="99"/>
        <v>-0.1489924171787681</v>
      </c>
      <c r="H51" s="124">
        <f t="shared" si="99"/>
        <v>-1.2909213715732877</v>
      </c>
      <c r="I51" s="124">
        <f t="shared" si="99"/>
        <v>-0.35009815183725712</v>
      </c>
      <c r="J51" s="124">
        <f t="shared" si="99"/>
        <v>-2.3986605928259483</v>
      </c>
      <c r="K51" s="124">
        <f t="shared" si="99"/>
        <v>-0.26747568851627801</v>
      </c>
      <c r="L51" s="124">
        <f t="shared" si="99"/>
        <v>1.4293007329850393E-2</v>
      </c>
      <c r="M51" s="124">
        <f t="shared" si="99"/>
        <v>0.42399940184408735</v>
      </c>
      <c r="N51" s="124">
        <f t="shared" si="99"/>
        <v>0.32167146299831084</v>
      </c>
      <c r="O51" s="124"/>
      <c r="P51" s="124"/>
      <c r="Q51" s="124">
        <f t="shared" ref="Q51:AC51" si="100">Q14/P14-1</f>
        <v>-0.49930009175087875</v>
      </c>
      <c r="R51" s="124">
        <f t="shared" si="100"/>
        <v>8.1689175861447794</v>
      </c>
      <c r="S51" s="124">
        <f t="shared" si="100"/>
        <v>-0.83783317018851522</v>
      </c>
      <c r="T51" s="124">
        <f t="shared" si="100"/>
        <v>0.32547376694376196</v>
      </c>
      <c r="U51" s="124">
        <f t="shared" si="100"/>
        <v>8.4856004723727896E-2</v>
      </c>
      <c r="V51" s="124">
        <f t="shared" si="100"/>
        <v>9.8999276380470125E-2</v>
      </c>
      <c r="W51" s="124">
        <f t="shared" si="100"/>
        <v>9.9990235793639748E-2</v>
      </c>
      <c r="X51" s="124">
        <f t="shared" si="100"/>
        <v>0.10090013358242311</v>
      </c>
      <c r="Y51" s="124">
        <f t="shared" si="100"/>
        <v>0.10173415813116038</v>
      </c>
      <c r="Z51" s="124">
        <f t="shared" si="100"/>
        <v>0.10249742616416557</v>
      </c>
      <c r="AA51" s="124">
        <f t="shared" si="100"/>
        <v>0.10319492847984457</v>
      </c>
      <c r="AB51" s="124">
        <f t="shared" si="100"/>
        <v>0.10383148766869987</v>
      </c>
      <c r="AC51" s="124">
        <f t="shared" si="100"/>
        <v>0.10441172642725927</v>
      </c>
    </row>
    <row r="52" spans="2:30" x14ac:dyDescent="0.2">
      <c r="B52" s="78" t="s">
        <v>138</v>
      </c>
      <c r="D52" s="87">
        <f t="shared" ref="D52:N52" si="101">D11/C11-1</f>
        <v>-1.6357738635290886E-3</v>
      </c>
      <c r="E52" s="87">
        <f t="shared" si="101"/>
        <v>0.19297837677167884</v>
      </c>
      <c r="F52" s="87">
        <f t="shared" si="101"/>
        <v>-0.14786263918912168</v>
      </c>
      <c r="G52" s="87">
        <f t="shared" si="101"/>
        <v>-0.1565067521386504</v>
      </c>
      <c r="H52" s="87">
        <f t="shared" si="101"/>
        <v>-1.3654315151582521</v>
      </c>
      <c r="I52" s="87">
        <f t="shared" si="101"/>
        <v>-0.26176966894754206</v>
      </c>
      <c r="J52" s="87">
        <f t="shared" si="101"/>
        <v>-1.8541195682582652</v>
      </c>
      <c r="K52" s="87">
        <f t="shared" si="101"/>
        <v>-0.31333333333333402</v>
      </c>
      <c r="L52" s="87">
        <f t="shared" si="101"/>
        <v>2.0000000000002904E-2</v>
      </c>
      <c r="M52" s="87">
        <f t="shared" si="101"/>
        <v>0.52999999999999936</v>
      </c>
      <c r="N52" s="87">
        <f t="shared" si="101"/>
        <v>0.37333333333333085</v>
      </c>
      <c r="Q52" s="87">
        <f t="shared" ref="Q52:S52" si="102">Q11/P11-1</f>
        <v>-0.4246587251530235</v>
      </c>
      <c r="R52" s="87">
        <f t="shared" si="102"/>
        <v>7.4001229843672771</v>
      </c>
      <c r="S52" s="87">
        <f t="shared" si="102"/>
        <v>-0.87880318935552026</v>
      </c>
      <c r="T52" s="87">
        <f>T11/S11-1</f>
        <v>0.52151311493771124</v>
      </c>
      <c r="U52" s="87">
        <f t="shared" ref="U52:AC52" si="103">U11/T11-1</f>
        <v>7.0896072276155131E-2</v>
      </c>
      <c r="V52" s="87">
        <f t="shared" si="103"/>
        <v>0.10999999999999988</v>
      </c>
      <c r="W52" s="87">
        <f t="shared" si="103"/>
        <v>0.11000000000000076</v>
      </c>
      <c r="X52" s="87">
        <f t="shared" si="103"/>
        <v>0.1100000000000001</v>
      </c>
      <c r="Y52" s="87">
        <f t="shared" si="103"/>
        <v>0.1100000000000001</v>
      </c>
      <c r="Z52" s="87">
        <f t="shared" si="103"/>
        <v>0.10999999999999988</v>
      </c>
      <c r="AA52" s="87">
        <f t="shared" si="103"/>
        <v>0.1100000000000001</v>
      </c>
      <c r="AB52" s="87">
        <f t="shared" si="103"/>
        <v>0.10999999999999965</v>
      </c>
      <c r="AC52" s="87">
        <f t="shared" si="103"/>
        <v>0.11000000000000187</v>
      </c>
    </row>
    <row r="53" spans="2:30" x14ac:dyDescent="0.2">
      <c r="B53" s="78" t="s">
        <v>139</v>
      </c>
      <c r="C53" s="87">
        <f>C15/C14</f>
        <v>0.44528490430565204</v>
      </c>
      <c r="D53" s="87">
        <f t="shared" ref="D53:N53" si="104">D15/D14</f>
        <v>0.49910470590503553</v>
      </c>
      <c r="E53" s="87">
        <f t="shared" si="104"/>
        <v>0.49074386068399162</v>
      </c>
      <c r="F53" s="87">
        <f t="shared" si="104"/>
        <v>0.51103319089293464</v>
      </c>
      <c r="G53" s="87">
        <f t="shared" si="104"/>
        <v>0.53228600718303476</v>
      </c>
      <c r="H53" s="87">
        <f t="shared" si="104"/>
        <v>-0.36909743932762351</v>
      </c>
      <c r="I53" s="87">
        <f t="shared" si="104"/>
        <v>-0.9023770315744255</v>
      </c>
      <c r="J53" s="87">
        <f t="shared" si="104"/>
        <v>0.85316548496848177</v>
      </c>
      <c r="K53" s="87">
        <f t="shared" si="104"/>
        <v>1.0918991078096465</v>
      </c>
      <c r="L53" s="87">
        <f t="shared" si="104"/>
        <v>1.0047450062171772</v>
      </c>
      <c r="M53" s="87">
        <f t="shared" si="104"/>
        <v>0.75597820144248062</v>
      </c>
      <c r="N53" s="87">
        <f t="shared" si="104"/>
        <v>0.61011890683936432</v>
      </c>
      <c r="Q53" s="87">
        <f t="shared" ref="Q53:S53" si="105">Q15/Q14</f>
        <v>1.3838319745851457</v>
      </c>
      <c r="R53" s="87">
        <f t="shared" si="105"/>
        <v>0.48681826794422955</v>
      </c>
      <c r="S53" s="87">
        <f t="shared" si="105"/>
        <v>1.3205277110769593</v>
      </c>
      <c r="T53" s="87">
        <f>T15/T14</f>
        <v>0.81369552783771493</v>
      </c>
      <c r="U53" s="87">
        <v>0.8</v>
      </c>
      <c r="V53" s="87">
        <v>1</v>
      </c>
      <c r="W53" s="87">
        <v>1</v>
      </c>
      <c r="X53" s="87">
        <v>0.96</v>
      </c>
      <c r="Y53" s="87">
        <v>0.8</v>
      </c>
      <c r="Z53" s="87">
        <v>0.8</v>
      </c>
      <c r="AA53" s="87">
        <v>0.8</v>
      </c>
      <c r="AB53" s="87">
        <v>0.8</v>
      </c>
      <c r="AC53" s="87">
        <v>0.8</v>
      </c>
    </row>
    <row r="54" spans="2:30" s="47" customFormat="1" x14ac:dyDescent="0.2">
      <c r="B54" s="47" t="s">
        <v>136</v>
      </c>
      <c r="C54" s="124">
        <f t="shared" ref="C54:N54" si="106">C16/C11</f>
        <v>0.56745576311029433</v>
      </c>
      <c r="D54" s="124">
        <f t="shared" si="106"/>
        <v>0.50829724445247115</v>
      </c>
      <c r="E54" s="124">
        <f t="shared" si="106"/>
        <v>0.5198818173732751</v>
      </c>
      <c r="F54" s="124">
        <f t="shared" si="106"/>
        <v>0.50270455661408542</v>
      </c>
      <c r="G54" s="124">
        <f t="shared" si="106"/>
        <v>0.48513836912728714</v>
      </c>
      <c r="H54" s="124">
        <f t="shared" si="106"/>
        <v>1.1305486268319314</v>
      </c>
      <c r="I54" s="124">
        <f t="shared" si="106"/>
        <v>1.3829528376154012</v>
      </c>
      <c r="J54" s="124">
        <f t="shared" si="106"/>
        <v>0.17479644513480647</v>
      </c>
      <c r="K54" s="124">
        <f t="shared" si="106"/>
        <v>-0.1167056321252667</v>
      </c>
      <c r="L54" s="124">
        <f t="shared" si="106"/>
        <v>-5.9921208763818058E-3</v>
      </c>
      <c r="M54" s="124">
        <f t="shared" si="106"/>
        <v>0.28680768207315305</v>
      </c>
      <c r="N54" s="124">
        <f t="shared" si="106"/>
        <v>0.44100334401114688</v>
      </c>
      <c r="Q54" s="124">
        <f t="shared" ref="Q54:AC54" si="107">Q16/Q11</f>
        <v>-0.35926695713259293</v>
      </c>
      <c r="R54" s="124">
        <f t="shared" si="107"/>
        <v>0.52429985583773775</v>
      </c>
      <c r="S54" s="124">
        <f t="shared" si="107"/>
        <v>-0.43817234898636376</v>
      </c>
      <c r="T54" s="124">
        <f>T16/T11</f>
        <v>0.22186975423932193</v>
      </c>
      <c r="U54" s="124">
        <f t="shared" si="107"/>
        <v>0.24128459190144397</v>
      </c>
      <c r="V54" s="124">
        <f t="shared" si="107"/>
        <v>0</v>
      </c>
      <c r="W54" s="124">
        <f t="shared" si="107"/>
        <v>0</v>
      </c>
      <c r="X54" s="124">
        <f t="shared" si="107"/>
        <v>4.6959645489381974E-2</v>
      </c>
      <c r="Y54" s="124">
        <f t="shared" si="107"/>
        <v>0.23304975445667506</v>
      </c>
      <c r="Z54" s="124">
        <f t="shared" si="107"/>
        <v>0.23147455356457203</v>
      </c>
      <c r="AA54" s="124">
        <f t="shared" si="107"/>
        <v>0.23005545366177657</v>
      </c>
      <c r="AB54" s="124">
        <f t="shared" si="107"/>
        <v>0.22877698528087986</v>
      </c>
      <c r="AC54" s="124">
        <f t="shared" si="107"/>
        <v>0.22762521196475652</v>
      </c>
    </row>
    <row r="56" spans="2:30" s="47" customFormat="1" x14ac:dyDescent="0.2">
      <c r="B56" s="47" t="s">
        <v>140</v>
      </c>
      <c r="D56" s="124">
        <f t="shared" ref="D56:N56" si="108">D20/C20-1</f>
        <v>-1.4187925279192104E-3</v>
      </c>
      <c r="E56" s="124">
        <f t="shared" si="108"/>
        <v>0.17630855920809685</v>
      </c>
      <c r="F56" s="124">
        <f t="shared" si="108"/>
        <v>-7.4162652136436913E-2</v>
      </c>
      <c r="G56" s="124">
        <f t="shared" si="108"/>
        <v>-0.11043117784036083</v>
      </c>
      <c r="H56" s="124">
        <f t="shared" si="108"/>
        <v>-0.87725602191062535</v>
      </c>
      <c r="I56" s="124">
        <f t="shared" si="108"/>
        <v>0.68162804742379524</v>
      </c>
      <c r="J56" s="124">
        <f t="shared" si="108"/>
        <v>1.557558635080909</v>
      </c>
      <c r="K56" s="124">
        <f t="shared" si="108"/>
        <v>-4.5215015892283605E-2</v>
      </c>
      <c r="L56" s="124">
        <f t="shared" si="108"/>
        <v>4.0128077758499359E-2</v>
      </c>
      <c r="M56" s="124">
        <f t="shared" si="108"/>
        <v>0.15813540808385085</v>
      </c>
      <c r="N56" s="124">
        <f t="shared" si="108"/>
        <v>0.14005743048353203</v>
      </c>
      <c r="Q56" s="124">
        <f>Q20/P20-1</f>
        <v>-0.16847881040081658</v>
      </c>
      <c r="R56" s="124">
        <f t="shared" ref="R56:AC56" si="109">R20/Q20-1</f>
        <v>2.7000029662760636</v>
      </c>
      <c r="S56" s="124">
        <f>S20/R20-1</f>
        <v>-0.57834343834748303</v>
      </c>
      <c r="T56" s="124">
        <f t="shared" si="109"/>
        <v>0.25341632970843508</v>
      </c>
      <c r="U56" s="124">
        <f t="shared" si="109"/>
        <v>0.17657237016129446</v>
      </c>
      <c r="V56" s="124">
        <f t="shared" si="109"/>
        <v>0.15599997335484472</v>
      </c>
      <c r="W56" s="124">
        <f t="shared" si="109"/>
        <v>0.12872988365272486</v>
      </c>
      <c r="X56" s="124">
        <f t="shared" si="109"/>
        <v>0.11475685891342957</v>
      </c>
      <c r="Y56" s="124">
        <f t="shared" si="109"/>
        <v>9.9559004278398922E-2</v>
      </c>
      <c r="Z56" s="124">
        <f t="shared" si="109"/>
        <v>8.4290199824289092E-2</v>
      </c>
      <c r="AA56" s="124">
        <f t="shared" si="109"/>
        <v>6.921605902475525E-2</v>
      </c>
      <c r="AB56" s="124">
        <f t="shared" si="109"/>
        <v>5.4615223112641775E-2</v>
      </c>
      <c r="AC56" s="124">
        <f t="shared" si="109"/>
        <v>6.622958237543819E-2</v>
      </c>
      <c r="AD56" s="124"/>
    </row>
    <row r="57" spans="2:30" s="47" customFormat="1" x14ac:dyDescent="0.2">
      <c r="B57" s="47" t="s">
        <v>136</v>
      </c>
      <c r="C57" s="124">
        <f t="shared" ref="C57:N57" si="110">C26/C20</f>
        <v>0.62726935091091085</v>
      </c>
      <c r="D57" s="124">
        <f t="shared" si="110"/>
        <v>0.58479606543051177</v>
      </c>
      <c r="E57" s="124">
        <f t="shared" si="110"/>
        <v>0.587597893084565</v>
      </c>
      <c r="F57" s="124">
        <f t="shared" si="110"/>
        <v>0.58721072588564605</v>
      </c>
      <c r="G57" s="124">
        <f t="shared" si="110"/>
        <v>0.59506893887965551</v>
      </c>
      <c r="H57" s="124">
        <f t="shared" si="110"/>
        <v>2.6737865929245309E-2</v>
      </c>
      <c r="I57" s="124">
        <f t="shared" si="110"/>
        <v>0.21706545797522767</v>
      </c>
      <c r="J57" s="124">
        <f t="shared" si="110"/>
        <v>0.61369634726154954</v>
      </c>
      <c r="K57" s="124">
        <f t="shared" si="110"/>
        <v>0.60349076945747127</v>
      </c>
      <c r="L57" s="124">
        <f t="shared" si="110"/>
        <v>0.63097569168695555</v>
      </c>
      <c r="M57" s="124">
        <f t="shared" si="110"/>
        <v>0.65866864832818439</v>
      </c>
      <c r="N57" s="124">
        <f t="shared" si="110"/>
        <v>0.68443013722452184</v>
      </c>
      <c r="Q57" s="124">
        <f>Q26/Q20</f>
        <v>0.47751374278977771</v>
      </c>
      <c r="R57" s="124">
        <f t="shared" ref="R57:T57" si="111">R26/R20</f>
        <v>0.59615333167856277</v>
      </c>
      <c r="S57" s="124">
        <f t="shared" si="111"/>
        <v>0.52078517453690276</v>
      </c>
      <c r="T57" s="124">
        <f t="shared" si="111"/>
        <v>0.64814404914614532</v>
      </c>
      <c r="U57" s="124">
        <f>U26/U20</f>
        <v>0.67193086788018463</v>
      </c>
      <c r="V57" s="124">
        <f t="shared" ref="V57:AC57" si="112">V26/V20</f>
        <v>0.62580370383474093</v>
      </c>
      <c r="W57" s="124">
        <f t="shared" si="112"/>
        <v>0.63123132053423625</v>
      </c>
      <c r="X57" s="124">
        <f t="shared" si="112"/>
        <v>0.64431502063523294</v>
      </c>
      <c r="Y57" s="124">
        <f t="shared" si="112"/>
        <v>0.6858687829661354</v>
      </c>
      <c r="Z57" s="124">
        <f t="shared" si="112"/>
        <v>0.68355247652692697</v>
      </c>
      <c r="AA57" s="124">
        <f t="shared" si="112"/>
        <v>0.67897608503583828</v>
      </c>
      <c r="AB57" s="124">
        <f t="shared" si="112"/>
        <v>0.67197289061619547</v>
      </c>
      <c r="AC57" s="124">
        <f t="shared" si="112"/>
        <v>0.66636708171985293</v>
      </c>
      <c r="AD57" s="124"/>
    </row>
    <row r="58" spans="2:30" x14ac:dyDescent="0.2">
      <c r="B58" s="78" t="s">
        <v>27</v>
      </c>
      <c r="C58" s="87">
        <f t="shared" ref="C58:I58" si="113">C28/C26</f>
        <v>-1.2034346023551216E-4</v>
      </c>
      <c r="D58" s="87">
        <f t="shared" si="113"/>
        <v>9.3169418067628129E-2</v>
      </c>
      <c r="E58" s="87">
        <f t="shared" si="113"/>
        <v>0.12547284725478589</v>
      </c>
      <c r="F58" s="87">
        <f t="shared" si="113"/>
        <v>0.12934802331278697</v>
      </c>
      <c r="G58" s="87">
        <f t="shared" si="113"/>
        <v>0.15843356313248033</v>
      </c>
      <c r="H58" s="87">
        <f t="shared" si="113"/>
        <v>2.1695197337137775</v>
      </c>
      <c r="I58" s="87">
        <f t="shared" si="113"/>
        <v>0.41013584117032381</v>
      </c>
      <c r="J58" s="87">
        <v>0.21</v>
      </c>
      <c r="K58" s="87">
        <v>0.21</v>
      </c>
      <c r="L58" s="87">
        <v>0.21</v>
      </c>
      <c r="M58" s="87">
        <v>0.21</v>
      </c>
      <c r="N58" s="87">
        <v>0.21</v>
      </c>
      <c r="Q58" s="87">
        <f>Q28/Q26</f>
        <v>0.12527275809831578</v>
      </c>
      <c r="R58" s="87">
        <f t="shared" ref="R58:T58" si="114">R28/R26</f>
        <v>8.799777880836368E-2</v>
      </c>
      <c r="S58" s="87">
        <f>S28/S26</f>
        <v>0.195522658006509</v>
      </c>
      <c r="T58" s="87">
        <f t="shared" si="114"/>
        <v>0.21515345127436186</v>
      </c>
      <c r="U58" s="87">
        <v>0.21</v>
      </c>
      <c r="V58" s="87">
        <v>0.21</v>
      </c>
      <c r="W58" s="87">
        <v>0.21</v>
      </c>
      <c r="X58" s="87">
        <v>0.21</v>
      </c>
      <c r="Y58" s="87">
        <v>0.21</v>
      </c>
      <c r="Z58" s="87">
        <v>0.21</v>
      </c>
      <c r="AA58" s="87">
        <v>0.21</v>
      </c>
      <c r="AB58" s="87">
        <v>0.21</v>
      </c>
      <c r="AC58" s="87">
        <v>0.21</v>
      </c>
    </row>
    <row r="59" spans="2:30" x14ac:dyDescent="0.2">
      <c r="B59" s="78" t="s">
        <v>141</v>
      </c>
      <c r="C59" s="87">
        <f>C30/C29</f>
        <v>0.52366130773316832</v>
      </c>
      <c r="D59" s="87">
        <f t="shared" ref="D59:I59" si="115">D30/D29</f>
        <v>0.46434236325304107</v>
      </c>
      <c r="E59" s="87">
        <f t="shared" si="115"/>
        <v>0.43593566824116942</v>
      </c>
      <c r="F59" s="87">
        <f t="shared" si="115"/>
        <v>0.47574107575985397</v>
      </c>
      <c r="G59" s="87">
        <f t="shared" si="115"/>
        <v>0.47175679175266683</v>
      </c>
      <c r="H59" s="87">
        <f t="shared" si="115"/>
        <v>2.4273680733338279</v>
      </c>
      <c r="I59" s="87">
        <f t="shared" si="115"/>
        <v>1.4037061265414166E-2</v>
      </c>
      <c r="J59" s="87">
        <v>0.5</v>
      </c>
      <c r="K59" s="87">
        <v>0.5</v>
      </c>
      <c r="L59" s="87">
        <v>0.5</v>
      </c>
      <c r="M59" s="87">
        <v>0.5</v>
      </c>
      <c r="N59" s="87">
        <v>0.5</v>
      </c>
      <c r="Q59" s="87">
        <f t="shared" ref="Q59:T59" si="116">Q30/Q29</f>
        <v>0.40366633444943406</v>
      </c>
      <c r="R59" s="87">
        <f t="shared" si="116"/>
        <v>0.47572126134177595</v>
      </c>
      <c r="S59" s="87">
        <f t="shared" si="116"/>
        <v>0.45681176669591589</v>
      </c>
      <c r="T59" s="87">
        <f t="shared" si="116"/>
        <v>0.50000000000000011</v>
      </c>
      <c r="U59" s="123">
        <f>AVERAGE(Q59:T59)</f>
        <v>0.45904984062178156</v>
      </c>
      <c r="V59" s="123">
        <f t="shared" ref="V59:AC59" si="117">AVERAGE(R59:U59)</f>
        <v>0.47289571716486839</v>
      </c>
      <c r="W59" s="123">
        <f t="shared" si="117"/>
        <v>0.47218933112064149</v>
      </c>
      <c r="X59" s="123">
        <f t="shared" si="117"/>
        <v>0.47603372222682289</v>
      </c>
      <c r="Y59" s="123">
        <f t="shared" si="117"/>
        <v>0.47004215278352862</v>
      </c>
      <c r="Z59" s="123">
        <f t="shared" si="117"/>
        <v>0.47279023082396532</v>
      </c>
      <c r="AA59" s="123">
        <f t="shared" si="117"/>
        <v>0.47276385923873959</v>
      </c>
      <c r="AB59" s="123">
        <f t="shared" si="117"/>
        <v>0.47290749126826409</v>
      </c>
      <c r="AC59" s="123">
        <f t="shared" si="117"/>
        <v>0.47212593352862436</v>
      </c>
    </row>
    <row r="60" spans="2:30" x14ac:dyDescent="0.2">
      <c r="B60" s="78" t="s">
        <v>123</v>
      </c>
      <c r="C60" s="87"/>
      <c r="D60" s="87">
        <f>D31/C31-1</f>
        <v>1.7066290550070473E-2</v>
      </c>
      <c r="E60" s="87">
        <f t="shared" ref="E60:H60" si="118">E31/D31-1</f>
        <v>1.5254472333934288E-3</v>
      </c>
      <c r="F60" s="87">
        <f t="shared" si="118"/>
        <v>5.815563555801706E-3</v>
      </c>
      <c r="G60" s="87">
        <f t="shared" si="118"/>
        <v>1.0875550660792932E-2</v>
      </c>
      <c r="H60" s="87">
        <f t="shared" si="118"/>
        <v>-3.6633528530573334E-2</v>
      </c>
      <c r="I60" s="87">
        <f>I31/H31-1</f>
        <v>4.9335595137121935E-2</v>
      </c>
      <c r="J60" s="87">
        <v>0.01</v>
      </c>
      <c r="K60" s="87">
        <v>0.01</v>
      </c>
      <c r="L60" s="87">
        <v>0.01</v>
      </c>
      <c r="M60" s="87">
        <v>0.01</v>
      </c>
      <c r="N60" s="87">
        <v>0.01</v>
      </c>
      <c r="Q60" s="87">
        <f>Q31/P31-1</f>
        <v>3.1069684864625025E-2</v>
      </c>
      <c r="R60" s="87">
        <f t="shared" ref="R60:T60" si="119">R31/Q31-1</f>
        <v>3.285980771990249E-2</v>
      </c>
      <c r="S60" s="87">
        <f t="shared" si="119"/>
        <v>1.8936857460405632E-2</v>
      </c>
      <c r="T60" s="87">
        <f t="shared" si="119"/>
        <v>4.8025931252619891E-2</v>
      </c>
      <c r="U60" s="123">
        <v>0.03</v>
      </c>
      <c r="V60" s="123">
        <v>0.03</v>
      </c>
      <c r="W60" s="123">
        <v>0.03</v>
      </c>
      <c r="X60" s="123">
        <v>0.03</v>
      </c>
      <c r="Y60" s="123">
        <v>0.03</v>
      </c>
      <c r="Z60" s="123">
        <v>0.03</v>
      </c>
      <c r="AA60" s="123">
        <v>0.03</v>
      </c>
      <c r="AB60" s="123">
        <v>0.03</v>
      </c>
      <c r="AC60" s="123">
        <v>0.03</v>
      </c>
    </row>
    <row r="61" spans="2:30" s="47" customFormat="1" x14ac:dyDescent="0.2">
      <c r="B61" s="47" t="s">
        <v>142</v>
      </c>
      <c r="C61" s="124">
        <f>C29/C20</f>
        <v>0.62990594979459791</v>
      </c>
      <c r="D61" s="124">
        <f t="shared" ref="D61:AC61" si="120">D29/D20</f>
        <v>0.53282543560684092</v>
      </c>
      <c r="E61" s="124">
        <f t="shared" si="120"/>
        <v>0.51666020003968338</v>
      </c>
      <c r="F61" s="124">
        <f t="shared" si="120"/>
        <v>0.51010809770562426</v>
      </c>
      <c r="G61" s="124">
        <f t="shared" si="120"/>
        <v>0.50318203453576471</v>
      </c>
      <c r="H61" s="124">
        <f t="shared" si="120"/>
        <v>-1.9244461396650269E-2</v>
      </c>
      <c r="I61" s="124">
        <f t="shared" si="120"/>
        <v>0.15458353258722601</v>
      </c>
      <c r="J61" s="124">
        <f t="shared" si="120"/>
        <v>0.49398564759694358</v>
      </c>
      <c r="K61" s="124">
        <f t="shared" si="120"/>
        <v>0.4895712355091732</v>
      </c>
      <c r="L61" s="124">
        <f t="shared" si="120"/>
        <v>0.51237598015528873</v>
      </c>
      <c r="M61" s="124">
        <f t="shared" si="120"/>
        <v>0.53299900600130257</v>
      </c>
      <c r="N61" s="124">
        <f t="shared" si="120"/>
        <v>0.55199503631636937</v>
      </c>
      <c r="O61" s="124"/>
      <c r="P61" s="124">
        <f t="shared" si="120"/>
        <v>0.52067680802150917</v>
      </c>
      <c r="Q61" s="124">
        <f t="shared" si="120"/>
        <v>0.42440216017005766</v>
      </c>
      <c r="R61" s="124">
        <f t="shared" si="120"/>
        <v>0.54535967076089509</v>
      </c>
      <c r="S61" s="124">
        <f t="shared" si="120"/>
        <v>0.42729124739733582</v>
      </c>
      <c r="T61" s="124">
        <f t="shared" si="120"/>
        <v>0.52459923326866131</v>
      </c>
      <c r="U61" s="124">
        <f t="shared" si="120"/>
        <v>0.53364921554987044</v>
      </c>
      <c r="V61" s="124">
        <f t="shared" si="120"/>
        <v>0.49709638908175474</v>
      </c>
      <c r="W61" s="124">
        <f t="shared" si="120"/>
        <v>0.50133921288113237</v>
      </c>
      <c r="X61" s="124">
        <f t="shared" si="120"/>
        <v>0.51166395767706907</v>
      </c>
      <c r="Y61" s="124">
        <f t="shared" si="120"/>
        <v>0.54451664166026359</v>
      </c>
      <c r="Z61" s="124">
        <f t="shared" si="120"/>
        <v>0.54275031272313745</v>
      </c>
      <c r="AA61" s="124">
        <f t="shared" si="120"/>
        <v>0.53923962449201435</v>
      </c>
      <c r="AB61" s="124">
        <f t="shared" si="120"/>
        <v>0.53385669526668966</v>
      </c>
      <c r="AC61" s="124">
        <f t="shared" si="120"/>
        <v>0.52955118348430852</v>
      </c>
    </row>
    <row r="63" spans="2:30" x14ac:dyDescent="0.2">
      <c r="B63" s="78" t="s">
        <v>143</v>
      </c>
      <c r="J63" s="78">
        <v>0.97</v>
      </c>
      <c r="K63" s="78">
        <v>1.1100000000000001</v>
      </c>
      <c r="L63" s="78">
        <v>1.1299999999999999</v>
      </c>
      <c r="M63" s="78">
        <v>1.32</v>
      </c>
      <c r="N63" s="78">
        <v>1.43</v>
      </c>
      <c r="S63" s="78">
        <v>5.0599999999999996</v>
      </c>
      <c r="T63" s="78">
        <v>4.97</v>
      </c>
      <c r="U63" s="78">
        <v>6.29</v>
      </c>
      <c r="V63" s="78">
        <v>7.05</v>
      </c>
    </row>
    <row r="64" spans="2:30" x14ac:dyDescent="0.2">
      <c r="B64" s="78" t="s">
        <v>144</v>
      </c>
      <c r="J64" s="78">
        <v>2.78</v>
      </c>
      <c r="K64" s="78">
        <v>2.89</v>
      </c>
      <c r="L64" s="78">
        <v>3.08</v>
      </c>
      <c r="M64" s="78">
        <v>3.32</v>
      </c>
      <c r="N64" s="78">
        <v>3.84</v>
      </c>
      <c r="S64" s="78">
        <v>12.93</v>
      </c>
      <c r="T64" s="78">
        <v>12.8</v>
      </c>
      <c r="U64" s="78">
        <v>15.7</v>
      </c>
      <c r="V64" s="78">
        <v>15.28</v>
      </c>
    </row>
  </sheetData>
  <sheetProtection algorithmName="SHA-512" hashValue="ZTswbqQ8LlV1CKDis59ZzjfQgiIYi76LUeOh4C7XuKjW0WkybckE6pQA6wUSgca6tEWSRTEWeZxoyJcNjE5c4g==" saltValue="p7rk2bbDcEbMXe6sIa0Vbg==" spinCount="100000" sheet="1" objects="1" scenarios="1" selectLockedCells="1"/>
  <pageMargins left="0.7" right="0.7" top="0.75" bottom="0.75" header="0.3" footer="0.3"/>
  <ignoredErrors>
    <ignoredError sqref="S12:T12 T13 S15:T15 P5" formulaRange="1"/>
    <ignoredError sqref="S27:T27 S29:T29 T31" 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CE9A3-F6F0-314D-BF35-05214BE798A3}">
  <dimension ref="A2:AD22"/>
  <sheetViews>
    <sheetView showGridLines="0" zoomScale="130" zoomScaleNormal="130" workbookViewId="0">
      <selection activeCell="H24" sqref="H24"/>
    </sheetView>
  </sheetViews>
  <sheetFormatPr baseColWidth="10" defaultColWidth="10.83203125" defaultRowHeight="16" x14ac:dyDescent="0.2"/>
  <cols>
    <col min="1" max="1" width="6.1640625" style="68" customWidth="1"/>
    <col min="2" max="5" width="10.83203125" style="68"/>
    <col min="6" max="6" width="12.83203125" style="68" customWidth="1"/>
    <col min="7" max="8" width="10.83203125" style="68"/>
    <col min="9" max="9" width="17" style="68" bestFit="1" customWidth="1"/>
    <col min="10" max="16384" width="10.83203125" style="68"/>
  </cols>
  <sheetData>
    <row r="2" spans="1:30" ht="22" thickBot="1" x14ac:dyDescent="0.3">
      <c r="A2" s="67"/>
      <c r="B2" s="114" t="s">
        <v>32</v>
      </c>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row>
    <row r="4" spans="1:30" x14ac:dyDescent="0.2">
      <c r="B4" s="68" t="s">
        <v>145</v>
      </c>
    </row>
    <row r="5" spans="1:30" x14ac:dyDescent="0.2">
      <c r="B5" s="68" t="s">
        <v>146</v>
      </c>
    </row>
    <row r="7" spans="1:30" ht="20" customHeight="1" x14ac:dyDescent="0.2">
      <c r="B7" s="126" t="s">
        <v>147</v>
      </c>
      <c r="C7" s="127"/>
      <c r="D7" s="127"/>
      <c r="E7" s="127"/>
      <c r="F7" s="127"/>
    </row>
    <row r="9" spans="1:30" x14ac:dyDescent="0.2">
      <c r="B9" s="68" t="s">
        <v>77</v>
      </c>
      <c r="F9" s="69">
        <f>DCF!G5*DCF!D104</f>
        <v>61892.230999999992</v>
      </c>
      <c r="I9" s="69"/>
    </row>
    <row r="10" spans="1:30" x14ac:dyDescent="0.2">
      <c r="B10" s="68" t="s">
        <v>148</v>
      </c>
      <c r="F10" s="99">
        <f>DCF!T13+DCF!T14</f>
        <v>7890</v>
      </c>
    </row>
    <row r="11" spans="1:30" x14ac:dyDescent="0.2">
      <c r="B11" s="68" t="s">
        <v>31</v>
      </c>
      <c r="F11" s="100">
        <f>DCF!T15</f>
        <v>4.5900000000000003E-2</v>
      </c>
    </row>
    <row r="12" spans="1:30" x14ac:dyDescent="0.2">
      <c r="B12" s="68" t="s">
        <v>149</v>
      </c>
      <c r="F12" s="100">
        <f>DCF!K57</f>
        <v>0.15</v>
      </c>
    </row>
    <row r="13" spans="1:30" x14ac:dyDescent="0.2">
      <c r="B13" s="70" t="s">
        <v>150</v>
      </c>
      <c r="C13" s="70"/>
      <c r="D13" s="70"/>
      <c r="E13" s="70"/>
      <c r="F13" s="71">
        <f>(F10)/(F10+F9)</f>
        <v>0.11306603252624584</v>
      </c>
    </row>
    <row r="14" spans="1:30" x14ac:dyDescent="0.2">
      <c r="B14" s="72" t="s">
        <v>151</v>
      </c>
      <c r="C14" s="73"/>
      <c r="D14" s="73"/>
      <c r="E14" s="73"/>
      <c r="F14" s="101">
        <f>F11*(1-F12)</f>
        <v>3.9015000000000001E-2</v>
      </c>
    </row>
    <row r="16" spans="1:30" x14ac:dyDescent="0.2">
      <c r="B16" s="68" t="s">
        <v>152</v>
      </c>
      <c r="F16" s="100">
        <f>DCF!T19</f>
        <v>3.4770000000000002E-2</v>
      </c>
    </row>
    <row r="17" spans="2:6" x14ac:dyDescent="0.2">
      <c r="B17" s="68" t="s">
        <v>153</v>
      </c>
      <c r="F17" s="102">
        <f>DCF!T20</f>
        <v>5.11E-2</v>
      </c>
    </row>
    <row r="18" spans="2:6" x14ac:dyDescent="0.2">
      <c r="B18" s="68" t="s">
        <v>40</v>
      </c>
      <c r="F18" s="68">
        <f>DCF!T21</f>
        <v>1.68</v>
      </c>
    </row>
    <row r="19" spans="2:6" x14ac:dyDescent="0.2">
      <c r="B19" s="70" t="s">
        <v>154</v>
      </c>
      <c r="C19" s="70"/>
      <c r="D19" s="70"/>
      <c r="E19" s="70"/>
      <c r="F19" s="71">
        <f>1-F13</f>
        <v>0.88693396747375419</v>
      </c>
    </row>
    <row r="20" spans="2:6" x14ac:dyDescent="0.2">
      <c r="B20" s="74" t="s">
        <v>155</v>
      </c>
      <c r="F20" s="102">
        <f>F16+F18*F17</f>
        <v>0.120618</v>
      </c>
    </row>
    <row r="22" spans="2:6" ht="26" customHeight="1" x14ac:dyDescent="0.2">
      <c r="B22" s="75" t="s">
        <v>32</v>
      </c>
      <c r="C22" s="76"/>
      <c r="D22" s="76"/>
      <c r="E22" s="76"/>
      <c r="F22" s="77">
        <f>F14*F13+F20*F19</f>
        <v>0.11139147254776077</v>
      </c>
    </row>
  </sheetData>
  <sheetProtection algorithmName="SHA-512" hashValue="OrxEoX12cY/Q/UGeILthqBZH+mE8OVqjJzJYvdLWHiogkK28UlkpOmDpZ/sRAxfIgBi0Q1rCsArwTaZesYYH/w==" saltValue="uxftmtIUM1z2eVzZsZnvmg=="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2023-01-18T23:09:39Z</dcterms:created>
  <dcterms:modified xsi:type="dcterms:W3CDTF">2023-01-18T23:50:25Z</dcterms:modified>
</cp:coreProperties>
</file>