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eremyjiao/Desktop/"/>
    </mc:Choice>
  </mc:AlternateContent>
  <xr:revisionPtr revIDLastSave="0" documentId="13_ncr:1_{BAA081E2-43CD-FA48-BEAA-70B7801C1229}" xr6:coauthVersionLast="47" xr6:coauthVersionMax="47" xr10:uidLastSave="{00000000-0000-0000-0000-000000000000}"/>
  <bookViews>
    <workbookView xWindow="14400" yWindow="500" windowWidth="14400" windowHeight="15660" xr2:uid="{185DFDF4-6209-174C-ACF9-ED7482FCA153}"/>
  </bookViews>
  <sheets>
    <sheet name="DCF" sheetId="1" r:id="rId1"/>
    <sheet name="Financials + KPIs" sheetId="2" r:id="rId2"/>
    <sheet name="WACC"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4" i="1" l="1"/>
  <c r="D32" i="1"/>
  <c r="D33" i="1"/>
  <c r="D134" i="1"/>
  <c r="L134" i="1"/>
  <c r="H29" i="1"/>
  <c r="P29" i="1"/>
  <c r="K39" i="1"/>
  <c r="L101" i="1"/>
  <c r="M101" i="1"/>
  <c r="N101" i="1" s="1"/>
  <c r="K101" i="1"/>
  <c r="L98" i="1"/>
  <c r="M98" i="1"/>
  <c r="O98" i="1" s="1"/>
  <c r="N98" i="1"/>
  <c r="K98" i="1"/>
  <c r="F97" i="1"/>
  <c r="G97" i="1"/>
  <c r="H97" i="1"/>
  <c r="I97" i="1"/>
  <c r="J97" i="1"/>
  <c r="E97" i="1"/>
  <c r="F100" i="1"/>
  <c r="G100" i="1"/>
  <c r="H100" i="1"/>
  <c r="I100" i="1"/>
  <c r="J100" i="1"/>
  <c r="E100" i="1"/>
  <c r="N94" i="1"/>
  <c r="O94" i="1"/>
  <c r="M94" i="1"/>
  <c r="K94" i="1"/>
  <c r="F93" i="1"/>
  <c r="G93" i="1"/>
  <c r="H93" i="1"/>
  <c r="I93" i="1"/>
  <c r="J93" i="1"/>
  <c r="E93" i="1"/>
  <c r="K89" i="1"/>
  <c r="F88" i="1"/>
  <c r="G88" i="1"/>
  <c r="H88" i="1"/>
  <c r="I88" i="1"/>
  <c r="J88" i="1"/>
  <c r="E88" i="1"/>
  <c r="E81" i="1"/>
  <c r="F81" i="1"/>
  <c r="G81" i="1"/>
  <c r="H81" i="1"/>
  <c r="I81" i="1"/>
  <c r="J81" i="1"/>
  <c r="K84" i="1"/>
  <c r="K67" i="1"/>
  <c r="M68" i="1"/>
  <c r="N68" i="1" s="1"/>
  <c r="O68" i="1" s="1"/>
  <c r="P68" i="1" s="1"/>
  <c r="Q68" i="1" s="1"/>
  <c r="R68" i="1" s="1"/>
  <c r="S68" i="1" s="1"/>
  <c r="T68" i="1" s="1"/>
  <c r="U70" i="1"/>
  <c r="M70" i="1" s="1"/>
  <c r="N70" i="1" s="1"/>
  <c r="O70" i="1" s="1"/>
  <c r="P70" i="1" s="1"/>
  <c r="Q70" i="1" s="1"/>
  <c r="R70" i="1" s="1"/>
  <c r="S70" i="1" s="1"/>
  <c r="T70" i="1" s="1"/>
  <c r="U69" i="1"/>
  <c r="M69" i="1" s="1"/>
  <c r="N69" i="1" s="1"/>
  <c r="O69" i="1" s="1"/>
  <c r="P69" i="1" s="1"/>
  <c r="Q69" i="1" s="1"/>
  <c r="R69" i="1" s="1"/>
  <c r="S69" i="1" s="1"/>
  <c r="T69" i="1" s="1"/>
  <c r="U68" i="1"/>
  <c r="K60" i="1"/>
  <c r="M63" i="1"/>
  <c r="N63" i="1" s="1"/>
  <c r="O63" i="1" s="1"/>
  <c r="P63" i="1" s="1"/>
  <c r="Q63" i="1" s="1"/>
  <c r="R63" i="1" s="1"/>
  <c r="S63" i="1" s="1"/>
  <c r="T63" i="1" s="1"/>
  <c r="M61" i="1"/>
  <c r="M62" i="1"/>
  <c r="P22" i="2"/>
  <c r="Q22" i="2"/>
  <c r="R22" i="2"/>
  <c r="O22" i="2"/>
  <c r="AB6" i="2"/>
  <c r="AA6" i="2"/>
  <c r="K59" i="1" s="1"/>
  <c r="M54" i="1"/>
  <c r="M56" i="1"/>
  <c r="M55" i="1"/>
  <c r="L69" i="1"/>
  <c r="K69" i="1"/>
  <c r="L55" i="1"/>
  <c r="K55" i="1"/>
  <c r="K53" i="1" s="1"/>
  <c r="L48" i="1"/>
  <c r="K48" i="1"/>
  <c r="L41" i="1"/>
  <c r="K41" i="1"/>
  <c r="F66" i="1"/>
  <c r="G66" i="1"/>
  <c r="H66" i="1"/>
  <c r="I66" i="1"/>
  <c r="J66" i="1"/>
  <c r="E66" i="1"/>
  <c r="F52" i="1"/>
  <c r="G52" i="1"/>
  <c r="H52" i="1"/>
  <c r="I52" i="1"/>
  <c r="J52" i="1"/>
  <c r="E52" i="1"/>
  <c r="F45" i="1"/>
  <c r="G45" i="1"/>
  <c r="H45" i="1"/>
  <c r="I45" i="1"/>
  <c r="J45" i="1"/>
  <c r="E45" i="1"/>
  <c r="F38" i="1"/>
  <c r="G38" i="1"/>
  <c r="H38" i="1"/>
  <c r="I38" i="1"/>
  <c r="J38" i="1"/>
  <c r="E38" i="1"/>
  <c r="D17" i="2"/>
  <c r="E17" i="2"/>
  <c r="F17" i="2"/>
  <c r="G17" i="2"/>
  <c r="H17" i="2"/>
  <c r="I17" i="2"/>
  <c r="J17" i="2"/>
  <c r="K17" i="2"/>
  <c r="L17" i="2"/>
  <c r="M17" i="2"/>
  <c r="N17" i="2"/>
  <c r="O17" i="2"/>
  <c r="U17" i="2"/>
  <c r="V17" i="2"/>
  <c r="W17" i="2"/>
  <c r="X17" i="2"/>
  <c r="Y17" i="2"/>
  <c r="Z17" i="2"/>
  <c r="C17" i="2"/>
  <c r="AA8" i="2"/>
  <c r="O3" i="2"/>
  <c r="AB3" i="2" s="1"/>
  <c r="P3" i="2"/>
  <c r="Q3" i="2"/>
  <c r="R3" i="2"/>
  <c r="O4" i="2"/>
  <c r="P4" i="2"/>
  <c r="Q4" i="2"/>
  <c r="O5" i="2"/>
  <c r="P5" i="2"/>
  <c r="Q5" i="2"/>
  <c r="O7" i="2"/>
  <c r="AB7" i="2" s="1"/>
  <c r="P7" i="2"/>
  <c r="Q7" i="2"/>
  <c r="N7" i="2"/>
  <c r="R7" i="2" s="1"/>
  <c r="N4" i="2"/>
  <c r="AA4" i="2" s="1"/>
  <c r="N5" i="2"/>
  <c r="AA5" i="2" s="1"/>
  <c r="N3" i="2"/>
  <c r="AA3" i="2" s="1"/>
  <c r="C26" i="2"/>
  <c r="C28" i="2"/>
  <c r="E28" i="2"/>
  <c r="G19" i="2"/>
  <c r="H19" i="2"/>
  <c r="I19" i="2"/>
  <c r="G20" i="2"/>
  <c r="H20" i="2"/>
  <c r="I20" i="2"/>
  <c r="J20" i="2"/>
  <c r="G21" i="2"/>
  <c r="H21" i="2"/>
  <c r="I21" i="2"/>
  <c r="G23" i="2"/>
  <c r="H23" i="2"/>
  <c r="I23" i="2"/>
  <c r="J23" i="2"/>
  <c r="F16" i="2"/>
  <c r="F12" i="2"/>
  <c r="F10" i="2"/>
  <c r="F7" i="2"/>
  <c r="F5" i="2"/>
  <c r="J21" i="2" s="1"/>
  <c r="F3" i="2"/>
  <c r="J19" i="2" s="1"/>
  <c r="F4" i="2"/>
  <c r="D13" i="2"/>
  <c r="D28" i="2" s="1"/>
  <c r="C14" i="2"/>
  <c r="D14" i="2"/>
  <c r="E14" i="2"/>
  <c r="C9" i="2"/>
  <c r="C11" i="2" s="1"/>
  <c r="D9" i="2"/>
  <c r="D11" i="2" s="1"/>
  <c r="D26" i="2" s="1"/>
  <c r="E9" i="2"/>
  <c r="E11" i="2" s="1"/>
  <c r="E26" i="2" s="1"/>
  <c r="AC31" i="2"/>
  <c r="AD31" i="2"/>
  <c r="AE31" i="2"/>
  <c r="AF31" i="2"/>
  <c r="AG31" i="2"/>
  <c r="AH31" i="2"/>
  <c r="AI31" i="2"/>
  <c r="AJ31" i="2"/>
  <c r="AK31" i="2"/>
  <c r="AL31" i="2"/>
  <c r="W19" i="2"/>
  <c r="X19" i="2"/>
  <c r="Y19" i="2"/>
  <c r="Z19" i="2"/>
  <c r="W20" i="2"/>
  <c r="X20" i="2"/>
  <c r="Y20" i="2"/>
  <c r="Z20" i="2"/>
  <c r="W21" i="2"/>
  <c r="X21" i="2"/>
  <c r="Y21" i="2"/>
  <c r="Z21" i="2"/>
  <c r="W23" i="2"/>
  <c r="X23" i="2"/>
  <c r="Y23" i="2"/>
  <c r="Z23" i="2"/>
  <c r="V20" i="2"/>
  <c r="V21" i="2"/>
  <c r="V23" i="2"/>
  <c r="V19" i="2"/>
  <c r="F156" i="1"/>
  <c r="L19" i="2"/>
  <c r="M19" i="2"/>
  <c r="L20" i="2"/>
  <c r="M20" i="2"/>
  <c r="L21" i="2"/>
  <c r="M21" i="2"/>
  <c r="L23" i="2"/>
  <c r="M23" i="2"/>
  <c r="K20" i="2"/>
  <c r="K21" i="2"/>
  <c r="K23" i="2"/>
  <c r="K19" i="2"/>
  <c r="H14" i="2"/>
  <c r="H29" i="2" s="1"/>
  <c r="I14" i="2"/>
  <c r="I29" i="2" s="1"/>
  <c r="J14" i="2"/>
  <c r="K14" i="2"/>
  <c r="L14" i="2"/>
  <c r="M14" i="2"/>
  <c r="U14" i="2"/>
  <c r="V14" i="2"/>
  <c r="W14" i="2"/>
  <c r="X14" i="2"/>
  <c r="Y14" i="2"/>
  <c r="Z14" i="2"/>
  <c r="AC14" i="2"/>
  <c r="AD14" i="2"/>
  <c r="AE14" i="2"/>
  <c r="AF14" i="2"/>
  <c r="AG14" i="2"/>
  <c r="AH14" i="2"/>
  <c r="AI14" i="2"/>
  <c r="AJ14" i="2"/>
  <c r="AK14" i="2"/>
  <c r="AL14" i="2"/>
  <c r="G14" i="2"/>
  <c r="G29" i="2" s="1"/>
  <c r="H9" i="2"/>
  <c r="H27" i="2" s="1"/>
  <c r="I9" i="2"/>
  <c r="I27" i="2" s="1"/>
  <c r="J9" i="2"/>
  <c r="J28" i="2" s="1"/>
  <c r="K9" i="2"/>
  <c r="K28" i="2" s="1"/>
  <c r="L9" i="2"/>
  <c r="M9" i="2"/>
  <c r="U9" i="2"/>
  <c r="U11" i="2" s="1"/>
  <c r="U26" i="2" s="1"/>
  <c r="V9" i="2"/>
  <c r="V27" i="2" s="1"/>
  <c r="W9" i="2"/>
  <c r="W11" i="2" s="1"/>
  <c r="W26" i="2" s="1"/>
  <c r="X9" i="2"/>
  <c r="X11" i="2" s="1"/>
  <c r="X26" i="2" s="1"/>
  <c r="Y9" i="2"/>
  <c r="Y11" i="2" s="1"/>
  <c r="Y26" i="2" s="1"/>
  <c r="Z9" i="2"/>
  <c r="Z27" i="2" s="1"/>
  <c r="AC9" i="2"/>
  <c r="AC28" i="2" s="1"/>
  <c r="AD9" i="2"/>
  <c r="AD30" i="2" s="1"/>
  <c r="AE9" i="2"/>
  <c r="AF9" i="2"/>
  <c r="AF27" i="2" s="1"/>
  <c r="AG9" i="2"/>
  <c r="AG27" i="2" s="1"/>
  <c r="AH9" i="2"/>
  <c r="AH27" i="2" s="1"/>
  <c r="AI9" i="2"/>
  <c r="AI28" i="2" s="1"/>
  <c r="AJ9" i="2"/>
  <c r="AJ28" i="2" s="1"/>
  <c r="AK9" i="2"/>
  <c r="AK28" i="2" s="1"/>
  <c r="AL9" i="2"/>
  <c r="AL30" i="2" s="1"/>
  <c r="G9" i="2"/>
  <c r="G11" i="2" s="1"/>
  <c r="F18" i="3"/>
  <c r="F17" i="3"/>
  <c r="F11" i="3"/>
  <c r="AL35" i="2"/>
  <c r="AK35" i="2"/>
  <c r="AJ35" i="2"/>
  <c r="AI35" i="2"/>
  <c r="AH35" i="2"/>
  <c r="AG35" i="2"/>
  <c r="AL34" i="2"/>
  <c r="AK34" i="2"/>
  <c r="AJ34" i="2"/>
  <c r="AI34" i="2"/>
  <c r="AH34" i="2"/>
  <c r="AG34" i="2"/>
  <c r="AF34" i="2"/>
  <c r="AE34" i="2"/>
  <c r="AD34" i="2"/>
  <c r="AC34" i="2"/>
  <c r="AL25" i="2"/>
  <c r="AK25" i="2"/>
  <c r="AJ25" i="2"/>
  <c r="AI25" i="2"/>
  <c r="AH25" i="2"/>
  <c r="AG25" i="2"/>
  <c r="AF25" i="2"/>
  <c r="AE25" i="2"/>
  <c r="AD25" i="2"/>
  <c r="AL23" i="2"/>
  <c r="AK23" i="2"/>
  <c r="AJ23" i="2"/>
  <c r="AI23" i="2"/>
  <c r="AH23" i="2"/>
  <c r="AG23" i="2"/>
  <c r="AF23" i="2"/>
  <c r="AE23" i="2"/>
  <c r="AD23" i="2"/>
  <c r="AL20" i="2"/>
  <c r="AK20" i="2"/>
  <c r="AJ20" i="2"/>
  <c r="AI20" i="2"/>
  <c r="AH20" i="2"/>
  <c r="AG20" i="2"/>
  <c r="AF20" i="2"/>
  <c r="AE20" i="2"/>
  <c r="AD20" i="2"/>
  <c r="AC20" i="2"/>
  <c r="AC2" i="2"/>
  <c r="AD2" i="2" s="1"/>
  <c r="AE2" i="2" s="1"/>
  <c r="AF2" i="2" s="1"/>
  <c r="AG2" i="2" s="1"/>
  <c r="AH2" i="2" s="1"/>
  <c r="AI2" i="2" s="1"/>
  <c r="AJ2" i="2" s="1"/>
  <c r="AK2" i="2" s="1"/>
  <c r="AL2" i="2" s="1"/>
  <c r="Y2" i="2"/>
  <c r="Z2" i="2" s="1"/>
  <c r="L147" i="1"/>
  <c r="M147" i="1" s="1"/>
  <c r="N147" i="1" s="1"/>
  <c r="O147" i="1" s="1"/>
  <c r="P147" i="1" s="1"/>
  <c r="Q147" i="1" s="1"/>
  <c r="R147" i="1" s="1"/>
  <c r="S147" i="1" s="1"/>
  <c r="T147" i="1" s="1"/>
  <c r="U147" i="1" s="1"/>
  <c r="J147" i="1"/>
  <c r="I147" i="1" s="1"/>
  <c r="H147" i="1" s="1"/>
  <c r="G147" i="1" s="1"/>
  <c r="F147" i="1" s="1"/>
  <c r="E147" i="1" s="1"/>
  <c r="L146" i="1"/>
  <c r="M146" i="1" s="1"/>
  <c r="N146" i="1" s="1"/>
  <c r="O146" i="1" s="1"/>
  <c r="P146" i="1" s="1"/>
  <c r="Q146" i="1" s="1"/>
  <c r="R146" i="1" s="1"/>
  <c r="S146" i="1" s="1"/>
  <c r="T146" i="1" s="1"/>
  <c r="U146" i="1" s="1"/>
  <c r="F146" i="1"/>
  <c r="G146" i="1" s="1"/>
  <c r="H146" i="1" s="1"/>
  <c r="I146" i="1" s="1"/>
  <c r="J146" i="1" s="1"/>
  <c r="N139" i="1"/>
  <c r="O139" i="1" s="1"/>
  <c r="P139" i="1" s="1"/>
  <c r="F139" i="1"/>
  <c r="G139" i="1" s="1"/>
  <c r="H139" i="1" s="1"/>
  <c r="D129" i="1"/>
  <c r="D126" i="1"/>
  <c r="D125" i="1"/>
  <c r="D124" i="1"/>
  <c r="D123" i="1"/>
  <c r="L109" i="1"/>
  <c r="M109" i="1" s="1"/>
  <c r="N109" i="1" s="1"/>
  <c r="O109" i="1" s="1"/>
  <c r="P109" i="1" s="1"/>
  <c r="Q109" i="1" s="1"/>
  <c r="R109" i="1" s="1"/>
  <c r="S109" i="1" s="1"/>
  <c r="T109" i="1" s="1"/>
  <c r="L108" i="1"/>
  <c r="M108" i="1" s="1"/>
  <c r="N108" i="1" s="1"/>
  <c r="O108" i="1" s="1"/>
  <c r="P108" i="1" s="1"/>
  <c r="Q108" i="1" s="1"/>
  <c r="R108" i="1" s="1"/>
  <c r="S108" i="1" s="1"/>
  <c r="T108" i="1" s="1"/>
  <c r="J161" i="1"/>
  <c r="I161" i="1"/>
  <c r="G161" i="1"/>
  <c r="F161" i="1"/>
  <c r="I160" i="1"/>
  <c r="H160" i="1"/>
  <c r="E160" i="1"/>
  <c r="U89" i="1"/>
  <c r="U157" i="1" s="1"/>
  <c r="I156" i="1"/>
  <c r="G156" i="1"/>
  <c r="U85" i="1"/>
  <c r="U84" i="1"/>
  <c r="U83" i="1"/>
  <c r="I154" i="1"/>
  <c r="E154" i="1"/>
  <c r="L77" i="1"/>
  <c r="M77" i="1" s="1"/>
  <c r="N77" i="1" s="1"/>
  <c r="O77" i="1" s="1"/>
  <c r="P77" i="1" s="1"/>
  <c r="Q77" i="1" s="1"/>
  <c r="R77" i="1" s="1"/>
  <c r="S77" i="1" s="1"/>
  <c r="T77" i="1" s="1"/>
  <c r="U77" i="1" s="1"/>
  <c r="J77" i="1"/>
  <c r="I77" i="1" s="1"/>
  <c r="H77" i="1" s="1"/>
  <c r="G77" i="1" s="1"/>
  <c r="F77" i="1" s="1"/>
  <c r="E77" i="1" s="1"/>
  <c r="L76" i="1"/>
  <c r="M76" i="1" s="1"/>
  <c r="N76" i="1" s="1"/>
  <c r="O76" i="1" s="1"/>
  <c r="P76" i="1" s="1"/>
  <c r="Q76" i="1" s="1"/>
  <c r="R76" i="1" s="1"/>
  <c r="S76" i="1" s="1"/>
  <c r="T76" i="1" s="1"/>
  <c r="U76" i="1" s="1"/>
  <c r="F76" i="1"/>
  <c r="G76" i="1" s="1"/>
  <c r="H76" i="1" s="1"/>
  <c r="I76" i="1" s="1"/>
  <c r="J76" i="1" s="1"/>
  <c r="U63" i="1"/>
  <c r="U62" i="1"/>
  <c r="U60" i="1" s="1"/>
  <c r="U61" i="1"/>
  <c r="U56" i="1"/>
  <c r="U55" i="1"/>
  <c r="U53" i="1" s="1"/>
  <c r="U54" i="1"/>
  <c r="U49" i="1"/>
  <c r="M49" i="1"/>
  <c r="U48" i="1"/>
  <c r="U46" i="1" s="1"/>
  <c r="M48" i="1"/>
  <c r="M46" i="1" s="1"/>
  <c r="U47" i="1"/>
  <c r="M47" i="1"/>
  <c r="U42" i="1"/>
  <c r="M42" i="1"/>
  <c r="U41" i="1"/>
  <c r="U39" i="1" s="1"/>
  <c r="M41" i="1"/>
  <c r="U40" i="1"/>
  <c r="M40" i="1"/>
  <c r="L37" i="1"/>
  <c r="M37" i="1" s="1"/>
  <c r="N37" i="1" s="1"/>
  <c r="O37" i="1" s="1"/>
  <c r="P37" i="1" s="1"/>
  <c r="Q37" i="1" s="1"/>
  <c r="R37" i="1" s="1"/>
  <c r="S37" i="1" s="1"/>
  <c r="T37" i="1" s="1"/>
  <c r="U37" i="1" s="1"/>
  <c r="J37" i="1"/>
  <c r="I37" i="1" s="1"/>
  <c r="H37" i="1" s="1"/>
  <c r="G37" i="1" s="1"/>
  <c r="F37" i="1" s="1"/>
  <c r="E37" i="1" s="1"/>
  <c r="L36" i="1"/>
  <c r="M36" i="1" s="1"/>
  <c r="N36" i="1" s="1"/>
  <c r="O36" i="1" s="1"/>
  <c r="P36" i="1" s="1"/>
  <c r="Q36" i="1" s="1"/>
  <c r="R36" i="1" s="1"/>
  <c r="S36" i="1" s="1"/>
  <c r="T36" i="1" s="1"/>
  <c r="U36" i="1" s="1"/>
  <c r="F36" i="1"/>
  <c r="G36" i="1" s="1"/>
  <c r="H36" i="1" s="1"/>
  <c r="I36" i="1" s="1"/>
  <c r="J36" i="1" s="1"/>
  <c r="P28" i="1"/>
  <c r="H28" i="1"/>
  <c r="F10" i="3"/>
  <c r="G5" i="1" a="1"/>
  <c r="G5" i="1" s="1"/>
  <c r="F9" i="3" s="1"/>
  <c r="U82" i="1" l="1"/>
  <c r="U155" i="1" s="1"/>
  <c r="O101" i="1"/>
  <c r="P98" i="1"/>
  <c r="N61" i="1"/>
  <c r="O61" i="1" s="1"/>
  <c r="P61" i="1" s="1"/>
  <c r="Q61" i="1" s="1"/>
  <c r="R61" i="1" s="1"/>
  <c r="S61" i="1" s="1"/>
  <c r="T61" i="1" s="1"/>
  <c r="N62" i="1"/>
  <c r="O62" i="1" s="1"/>
  <c r="P62" i="1" s="1"/>
  <c r="Q62" i="1" s="1"/>
  <c r="R62" i="1" s="1"/>
  <c r="S62" i="1" s="1"/>
  <c r="T62" i="1" s="1"/>
  <c r="M139" i="1"/>
  <c r="L139" i="1" s="1"/>
  <c r="E73" i="1"/>
  <c r="F20" i="3"/>
  <c r="N54" i="1"/>
  <c r="O54" i="1" s="1"/>
  <c r="P54" i="1" s="1"/>
  <c r="Q54" i="1" s="1"/>
  <c r="R54" i="1" s="1"/>
  <c r="S54" i="1" s="1"/>
  <c r="T54" i="1" s="1"/>
  <c r="N55" i="1"/>
  <c r="O55" i="1" s="1"/>
  <c r="P55" i="1" s="1"/>
  <c r="Q55" i="1" s="1"/>
  <c r="R55" i="1" s="1"/>
  <c r="S55" i="1" s="1"/>
  <c r="T55" i="1" s="1"/>
  <c r="N56" i="1"/>
  <c r="O56" i="1" s="1"/>
  <c r="P56" i="1" s="1"/>
  <c r="Q56" i="1" s="1"/>
  <c r="R56" i="1" s="1"/>
  <c r="S56" i="1" s="1"/>
  <c r="T56" i="1" s="1"/>
  <c r="AB22" i="2"/>
  <c r="L62" i="1" s="1"/>
  <c r="F67" i="1"/>
  <c r="D27" i="2"/>
  <c r="R4" i="2"/>
  <c r="AB4" i="2" s="1"/>
  <c r="AA19" i="2"/>
  <c r="AB19" i="2"/>
  <c r="AA21" i="2"/>
  <c r="AA20" i="2"/>
  <c r="AB20" i="2"/>
  <c r="F9" i="2"/>
  <c r="F27" i="2" s="1"/>
  <c r="F13" i="2"/>
  <c r="F28" i="2" s="1"/>
  <c r="Q9" i="2"/>
  <c r="Q11" i="2" s="1"/>
  <c r="Q10" i="2" s="1"/>
  <c r="AA7" i="2"/>
  <c r="AA23" i="2" s="1"/>
  <c r="J24" i="2"/>
  <c r="I24" i="2"/>
  <c r="E27" i="2"/>
  <c r="N9" i="2"/>
  <c r="N13" i="2" s="1"/>
  <c r="AA13" i="2" s="1"/>
  <c r="H24" i="2"/>
  <c r="G24" i="2"/>
  <c r="C27" i="2"/>
  <c r="N12" i="2"/>
  <c r="AA12" i="2" s="1"/>
  <c r="AA14" i="2" s="1"/>
  <c r="R5" i="2"/>
  <c r="P9" i="2"/>
  <c r="P13" i="2" s="1"/>
  <c r="O9" i="2"/>
  <c r="P11" i="2"/>
  <c r="P10" i="2" s="1"/>
  <c r="F11" i="2"/>
  <c r="C15" i="2"/>
  <c r="D15" i="2"/>
  <c r="E15" i="2"/>
  <c r="L29" i="2"/>
  <c r="AG28" i="2"/>
  <c r="M29" i="2"/>
  <c r="Y28" i="2"/>
  <c r="I28" i="2"/>
  <c r="H28" i="2"/>
  <c r="AK11" i="2"/>
  <c r="AK26" i="2" s="1"/>
  <c r="AK30" i="2"/>
  <c r="K29" i="2"/>
  <c r="AJ11" i="2"/>
  <c r="AL24" i="2"/>
  <c r="AJ30" i="2"/>
  <c r="I67" i="1"/>
  <c r="AE24" i="2"/>
  <c r="M24" i="2"/>
  <c r="AC11" i="2"/>
  <c r="AC26" i="2" s="1"/>
  <c r="AK24" i="2"/>
  <c r="AC30" i="2"/>
  <c r="L24" i="2"/>
  <c r="AD24" i="2"/>
  <c r="AH28" i="2"/>
  <c r="G15" i="2"/>
  <c r="G26" i="2"/>
  <c r="AE27" i="2"/>
  <c r="AL27" i="2"/>
  <c r="AD27" i="2"/>
  <c r="AC46" i="2"/>
  <c r="AI11" i="2"/>
  <c r="K11" i="2"/>
  <c r="AJ24" i="2"/>
  <c r="G27" i="2"/>
  <c r="M27" i="2"/>
  <c r="AI30" i="2"/>
  <c r="AF28" i="2"/>
  <c r="AK27" i="2"/>
  <c r="AC27" i="2"/>
  <c r="F53" i="1"/>
  <c r="AH11" i="2"/>
  <c r="J11" i="2"/>
  <c r="AI24" i="2"/>
  <c r="G28" i="2"/>
  <c r="L27" i="2"/>
  <c r="AH30" i="2"/>
  <c r="AE28" i="2"/>
  <c r="AJ27" i="2"/>
  <c r="K24" i="2"/>
  <c r="L11" i="2"/>
  <c r="AG11" i="2"/>
  <c r="I11" i="2"/>
  <c r="AH24" i="2"/>
  <c r="M28" i="2"/>
  <c r="K27" i="2"/>
  <c r="AG30" i="2"/>
  <c r="AL28" i="2"/>
  <c r="AD28" i="2"/>
  <c r="AI27" i="2"/>
  <c r="AF11" i="2"/>
  <c r="H11" i="2"/>
  <c r="N24" i="2"/>
  <c r="AG24" i="2"/>
  <c r="L28" i="2"/>
  <c r="J27" i="2"/>
  <c r="AF30" i="2"/>
  <c r="Y27" i="2"/>
  <c r="M11" i="2"/>
  <c r="AE11" i="2"/>
  <c r="AF24" i="2"/>
  <c r="AE30" i="2"/>
  <c r="H95" i="1"/>
  <c r="H153" i="1" s="1"/>
  <c r="AL11" i="2"/>
  <c r="AD11" i="2"/>
  <c r="V28" i="2"/>
  <c r="U28" i="2"/>
  <c r="U27" i="2"/>
  <c r="G53" i="1"/>
  <c r="F39" i="1"/>
  <c r="F46" i="1"/>
  <c r="U15" i="2"/>
  <c r="U31" i="2" s="1"/>
  <c r="V11" i="2"/>
  <c r="V26" i="2" s="1"/>
  <c r="V24" i="2"/>
  <c r="W27" i="2"/>
  <c r="W15" i="2"/>
  <c r="W31" i="2" s="1"/>
  <c r="W24" i="2"/>
  <c r="W28" i="2"/>
  <c r="Z24" i="2"/>
  <c r="X28" i="2"/>
  <c r="X27" i="2"/>
  <c r="Y24" i="2"/>
  <c r="X24" i="2"/>
  <c r="Z28" i="2"/>
  <c r="Z11" i="2"/>
  <c r="I89" i="1"/>
  <c r="I157" i="1" s="1"/>
  <c r="Y15" i="2"/>
  <c r="X15" i="2"/>
  <c r="J53" i="1"/>
  <c r="I39" i="1"/>
  <c r="G46" i="1"/>
  <c r="I73" i="1"/>
  <c r="I78" i="1" s="1"/>
  <c r="H67" i="1"/>
  <c r="H53" i="1"/>
  <c r="H73" i="1"/>
  <c r="H78" i="1" s="1"/>
  <c r="H101" i="1" s="1"/>
  <c r="G39" i="1"/>
  <c r="I53" i="1"/>
  <c r="J46" i="1"/>
  <c r="N40" i="1"/>
  <c r="O40" i="1" s="1"/>
  <c r="P40" i="1" s="1"/>
  <c r="Q40" i="1" s="1"/>
  <c r="R40" i="1" s="1"/>
  <c r="S40" i="1" s="1"/>
  <c r="T40" i="1" s="1"/>
  <c r="N47" i="1"/>
  <c r="O47" i="1" s="1"/>
  <c r="P47" i="1" s="1"/>
  <c r="Q47" i="1" s="1"/>
  <c r="R47" i="1" s="1"/>
  <c r="S47" i="1" s="1"/>
  <c r="T47" i="1" s="1"/>
  <c r="N42" i="1"/>
  <c r="O42" i="1" s="1"/>
  <c r="P42" i="1" s="1"/>
  <c r="Q42" i="1" s="1"/>
  <c r="R42" i="1" s="1"/>
  <c r="S42" i="1" s="1"/>
  <c r="T42" i="1" s="1"/>
  <c r="E152" i="1"/>
  <c r="E159" i="1" s="1"/>
  <c r="E150" i="1"/>
  <c r="E95" i="1"/>
  <c r="E153" i="1" s="1"/>
  <c r="H39" i="1"/>
  <c r="F160" i="1"/>
  <c r="F95" i="1"/>
  <c r="F153" i="1" s="1"/>
  <c r="N49" i="1"/>
  <c r="O49" i="1" s="1"/>
  <c r="P49" i="1" s="1"/>
  <c r="Q49" i="1" s="1"/>
  <c r="R49" i="1" s="1"/>
  <c r="S49" i="1" s="1"/>
  <c r="T49" i="1" s="1"/>
  <c r="F13" i="3"/>
  <c r="F19" i="3" s="1"/>
  <c r="M39" i="1"/>
  <c r="N41" i="1"/>
  <c r="H46" i="1"/>
  <c r="I46" i="1"/>
  <c r="G160" i="1"/>
  <c r="N48" i="1"/>
  <c r="G67" i="1"/>
  <c r="H156" i="1"/>
  <c r="G152" i="1"/>
  <c r="G159" i="1" s="1"/>
  <c r="E161" i="1"/>
  <c r="E139" i="1"/>
  <c r="D139" i="1" s="1"/>
  <c r="K56" i="1"/>
  <c r="F73" i="1"/>
  <c r="E91" i="1"/>
  <c r="H152" i="1"/>
  <c r="H159" i="1" s="1"/>
  <c r="G73" i="1"/>
  <c r="I152" i="1"/>
  <c r="I159" i="1" s="1"/>
  <c r="I150" i="1"/>
  <c r="I95" i="1"/>
  <c r="I153" i="1" s="1"/>
  <c r="G95" i="1"/>
  <c r="G153" i="1" s="1"/>
  <c r="J160" i="1"/>
  <c r="E78" i="1"/>
  <c r="E94" i="1" s="1"/>
  <c r="H161" i="1"/>
  <c r="I91" i="1"/>
  <c r="K52" i="1"/>
  <c r="K54" i="1"/>
  <c r="E156" i="1"/>
  <c r="E89" i="1"/>
  <c r="E157" i="1" s="1"/>
  <c r="F152" i="1"/>
  <c r="F159" i="1" s="1"/>
  <c r="AC35" i="2"/>
  <c r="P101" i="1" l="1"/>
  <c r="Q101" i="1"/>
  <c r="Q98" i="1"/>
  <c r="E82" i="1"/>
  <c r="E155" i="1" s="1"/>
  <c r="E101" i="1"/>
  <c r="AK46" i="2"/>
  <c r="R9" i="2"/>
  <c r="R12" i="2" s="1"/>
  <c r="AB5" i="2"/>
  <c r="Q24" i="2"/>
  <c r="R13" i="2"/>
  <c r="R14" i="2" s="1"/>
  <c r="R24" i="2"/>
  <c r="R11" i="2"/>
  <c r="R10" i="2" s="1"/>
  <c r="D30" i="2"/>
  <c r="D31" i="2"/>
  <c r="C30" i="2"/>
  <c r="C31" i="2"/>
  <c r="E31" i="2"/>
  <c r="E30" i="2"/>
  <c r="F26" i="2"/>
  <c r="O12" i="2"/>
  <c r="AB12" i="2" s="1"/>
  <c r="O13" i="2"/>
  <c r="Q13" i="2"/>
  <c r="Q12" i="2"/>
  <c r="AB23" i="2"/>
  <c r="N11" i="2"/>
  <c r="N10" i="2"/>
  <c r="AA10" i="2" s="1"/>
  <c r="F14" i="2"/>
  <c r="J29" i="2" s="1"/>
  <c r="N14" i="2"/>
  <c r="AA9" i="2"/>
  <c r="AA28" i="2" s="1"/>
  <c r="P24" i="2"/>
  <c r="P12" i="2"/>
  <c r="P14" i="2" s="1"/>
  <c r="P29" i="2" s="1"/>
  <c r="O11" i="2"/>
  <c r="O24" i="2"/>
  <c r="AJ26" i="2"/>
  <c r="AJ46" i="2"/>
  <c r="Y31" i="2"/>
  <c r="Y30" i="2"/>
  <c r="L26" i="2"/>
  <c r="L15" i="2"/>
  <c r="I15" i="2"/>
  <c r="I26" i="2"/>
  <c r="AG46" i="2"/>
  <c r="AG26" i="2"/>
  <c r="AI46" i="2"/>
  <c r="AI26" i="2"/>
  <c r="AL26" i="2"/>
  <c r="AL46" i="2"/>
  <c r="AE46" i="2"/>
  <c r="AE26" i="2"/>
  <c r="H26" i="2"/>
  <c r="H15" i="2"/>
  <c r="G31" i="2"/>
  <c r="G30" i="2"/>
  <c r="M26" i="2"/>
  <c r="M15" i="2"/>
  <c r="AF26" i="2"/>
  <c r="AF46" i="2"/>
  <c r="J26" i="2"/>
  <c r="J15" i="2"/>
  <c r="AD26" i="2"/>
  <c r="AD46" i="2"/>
  <c r="K26" i="2"/>
  <c r="K15" i="2"/>
  <c r="AH46" i="2"/>
  <c r="AH26" i="2"/>
  <c r="U30" i="2"/>
  <c r="V15" i="2"/>
  <c r="V30" i="2" s="1"/>
  <c r="W30" i="2"/>
  <c r="X31" i="2"/>
  <c r="X30" i="2"/>
  <c r="Z15" i="2"/>
  <c r="Z26" i="2"/>
  <c r="I74" i="1"/>
  <c r="I79" i="1" s="1"/>
  <c r="I149" i="1" s="1"/>
  <c r="H74" i="1"/>
  <c r="H79" i="1" s="1"/>
  <c r="H149" i="1" s="1"/>
  <c r="L53" i="1"/>
  <c r="L52" i="1" s="1"/>
  <c r="L56" i="1"/>
  <c r="L54" i="1"/>
  <c r="I158" i="1"/>
  <c r="I163" i="1" s="1"/>
  <c r="I104" i="1"/>
  <c r="I105" i="1" s="1"/>
  <c r="E158" i="1"/>
  <c r="E163" i="1" s="1"/>
  <c r="E104" i="1"/>
  <c r="E105" i="1" s="1"/>
  <c r="O48" i="1"/>
  <c r="N46" i="1"/>
  <c r="I148" i="1"/>
  <c r="I151" i="1" s="1"/>
  <c r="I102" i="1"/>
  <c r="I101" i="1"/>
  <c r="I94" i="1"/>
  <c r="I98" i="1"/>
  <c r="N39" i="1"/>
  <c r="O41" i="1"/>
  <c r="J156" i="1"/>
  <c r="F78" i="1"/>
  <c r="F74" i="1"/>
  <c r="F79" i="1" s="1"/>
  <c r="F149" i="1" s="1"/>
  <c r="J152" i="1"/>
  <c r="J159" i="1" s="1"/>
  <c r="J95" i="1"/>
  <c r="J153" i="1" s="1"/>
  <c r="E148" i="1"/>
  <c r="E151" i="1" s="1"/>
  <c r="E98" i="1"/>
  <c r="G78" i="1"/>
  <c r="G74" i="1"/>
  <c r="G79" i="1" s="1"/>
  <c r="G149" i="1" s="1"/>
  <c r="I82" i="1"/>
  <c r="I155" i="1" s="1"/>
  <c r="H148" i="1"/>
  <c r="H98" i="1"/>
  <c r="H94" i="1"/>
  <c r="AB13" i="2" l="1"/>
  <c r="R101" i="1"/>
  <c r="S101" i="1" s="1"/>
  <c r="R98" i="1"/>
  <c r="AB14" i="2"/>
  <c r="AA27" i="2"/>
  <c r="F15" i="2"/>
  <c r="AA11" i="2"/>
  <c r="AA15" i="2" s="1"/>
  <c r="N15" i="2"/>
  <c r="N16" i="2" s="1"/>
  <c r="AA16" i="2" s="1"/>
  <c r="AB21" i="2"/>
  <c r="AC25" i="2"/>
  <c r="AB9" i="2"/>
  <c r="AB27" i="2" s="1"/>
  <c r="Q14" i="2"/>
  <c r="Q29" i="2" s="1"/>
  <c r="R15" i="2"/>
  <c r="AA24" i="2"/>
  <c r="K47" i="1" s="1"/>
  <c r="F30" i="2"/>
  <c r="F31" i="2"/>
  <c r="R29" i="2"/>
  <c r="N29" i="2"/>
  <c r="O14" i="2"/>
  <c r="O29" i="2" s="1"/>
  <c r="P15" i="2"/>
  <c r="O10" i="2"/>
  <c r="AB10" i="2" s="1"/>
  <c r="K31" i="2"/>
  <c r="K30" i="2"/>
  <c r="M30" i="2"/>
  <c r="M31" i="2"/>
  <c r="I30" i="2"/>
  <c r="I31" i="2"/>
  <c r="V31" i="2"/>
  <c r="L31" i="2"/>
  <c r="L30" i="2"/>
  <c r="J30" i="2"/>
  <c r="J31" i="2"/>
  <c r="H30" i="2"/>
  <c r="H31" i="2"/>
  <c r="Z30" i="2"/>
  <c r="Z31" i="2"/>
  <c r="F148" i="1"/>
  <c r="F94" i="1"/>
  <c r="F102" i="1"/>
  <c r="F101" i="1"/>
  <c r="F98" i="1"/>
  <c r="K68" i="1"/>
  <c r="K66" i="1"/>
  <c r="K70" i="1"/>
  <c r="F154" i="1"/>
  <c r="F82" i="1"/>
  <c r="F155" i="1" s="1"/>
  <c r="F89" i="1"/>
  <c r="F157" i="1" s="1"/>
  <c r="F91" i="1"/>
  <c r="F150" i="1"/>
  <c r="P41" i="1"/>
  <c r="O39" i="1"/>
  <c r="G154" i="1"/>
  <c r="G91" i="1"/>
  <c r="G82" i="1"/>
  <c r="G155" i="1" s="1"/>
  <c r="G89" i="1"/>
  <c r="G157" i="1" s="1"/>
  <c r="G150" i="1"/>
  <c r="K40" i="1"/>
  <c r="K42" i="1"/>
  <c r="K38" i="1"/>
  <c r="J39" i="1"/>
  <c r="J73" i="1"/>
  <c r="G148" i="1"/>
  <c r="G94" i="1"/>
  <c r="G102" i="1"/>
  <c r="G101" i="1"/>
  <c r="H102" i="1"/>
  <c r="G98" i="1"/>
  <c r="J67" i="1"/>
  <c r="O46" i="1"/>
  <c r="P48" i="1"/>
  <c r="AC23" i="2"/>
  <c r="M53" i="1"/>
  <c r="M52" i="1" s="1"/>
  <c r="H154" i="1"/>
  <c r="H91" i="1"/>
  <c r="H82" i="1"/>
  <c r="H155" i="1" s="1"/>
  <c r="H150" i="1"/>
  <c r="H151" i="1" s="1"/>
  <c r="H89" i="1"/>
  <c r="H157" i="1" s="1"/>
  <c r="T101" i="1" l="1"/>
  <c r="U101" i="1" s="1"/>
  <c r="S98" i="1"/>
  <c r="T98" i="1" s="1"/>
  <c r="U98" i="1"/>
  <c r="AA17" i="2"/>
  <c r="AA30" i="2"/>
  <c r="AA26" i="2"/>
  <c r="AA31" i="2"/>
  <c r="L68" i="1"/>
  <c r="L67" i="1"/>
  <c r="L66" i="1" s="1"/>
  <c r="L70" i="1"/>
  <c r="K46" i="1"/>
  <c r="K45" i="1" s="1"/>
  <c r="K73" i="1" s="1"/>
  <c r="P30" i="2"/>
  <c r="P16" i="2"/>
  <c r="P17" i="2" s="1"/>
  <c r="R30" i="2"/>
  <c r="R16" i="2"/>
  <c r="R17" i="2" s="1"/>
  <c r="AB28" i="2"/>
  <c r="L94" i="1" s="1"/>
  <c r="AB11" i="2"/>
  <c r="AC24" i="2"/>
  <c r="AB24" i="2"/>
  <c r="Q15" i="2"/>
  <c r="K49" i="1"/>
  <c r="O15" i="2"/>
  <c r="G151" i="1"/>
  <c r="N53" i="1"/>
  <c r="N52" i="1" s="1"/>
  <c r="H158" i="1"/>
  <c r="H163" i="1" s="1"/>
  <c r="H104" i="1"/>
  <c r="H105" i="1" s="1"/>
  <c r="J78" i="1"/>
  <c r="J74" i="1"/>
  <c r="J79" i="1" s="1"/>
  <c r="J149" i="1" s="1"/>
  <c r="Q48" i="1"/>
  <c r="P46" i="1"/>
  <c r="G158" i="1"/>
  <c r="G163" i="1" s="1"/>
  <c r="G104" i="1"/>
  <c r="G105" i="1" s="1"/>
  <c r="F151" i="1"/>
  <c r="AD35" i="2"/>
  <c r="F158" i="1"/>
  <c r="F163" i="1" s="1"/>
  <c r="F104" i="1"/>
  <c r="F105" i="1" s="1"/>
  <c r="L40" i="1"/>
  <c r="L42" i="1"/>
  <c r="L39" i="1"/>
  <c r="L38" i="1" s="1"/>
  <c r="Q41" i="1"/>
  <c r="P39" i="1"/>
  <c r="R94" i="1" l="1"/>
  <c r="P94" i="1"/>
  <c r="Q94" i="1"/>
  <c r="S94" i="1"/>
  <c r="T94" i="1"/>
  <c r="L46" i="1"/>
  <c r="L45" i="1" s="1"/>
  <c r="L49" i="1"/>
  <c r="L47" i="1"/>
  <c r="AB15" i="2"/>
  <c r="AB26" i="2"/>
  <c r="O30" i="2"/>
  <c r="O16" i="2"/>
  <c r="Q30" i="2"/>
  <c r="Q16" i="2"/>
  <c r="Q17" i="2" s="1"/>
  <c r="M38" i="1"/>
  <c r="N38" i="1" s="1"/>
  <c r="O38" i="1" s="1"/>
  <c r="P38" i="1" s="1"/>
  <c r="J148" i="1"/>
  <c r="J102" i="1"/>
  <c r="J101" i="1"/>
  <c r="J98" i="1"/>
  <c r="J94" i="1"/>
  <c r="J154" i="1"/>
  <c r="J91" i="1"/>
  <c r="J82" i="1"/>
  <c r="J155" i="1" s="1"/>
  <c r="J150" i="1"/>
  <c r="J89" i="1"/>
  <c r="J157" i="1" s="1"/>
  <c r="Q39" i="1"/>
  <c r="R41" i="1"/>
  <c r="AE35" i="2"/>
  <c r="R48" i="1"/>
  <c r="Q46" i="1"/>
  <c r="K74" i="1"/>
  <c r="K79" i="1" s="1"/>
  <c r="K149" i="1" s="1"/>
  <c r="K78" i="1"/>
  <c r="O53" i="1"/>
  <c r="O52" i="1" s="1"/>
  <c r="U94" i="1" l="1"/>
  <c r="AB30" i="2"/>
  <c r="L84" i="1" s="1"/>
  <c r="M84" i="1" s="1"/>
  <c r="N84" i="1" s="1"/>
  <c r="O84" i="1" s="1"/>
  <c r="P84" i="1" s="1"/>
  <c r="Q84" i="1" s="1"/>
  <c r="R84" i="1" s="1"/>
  <c r="S84" i="1" s="1"/>
  <c r="T84" i="1" s="1"/>
  <c r="M45" i="1"/>
  <c r="N45" i="1" s="1"/>
  <c r="O45" i="1" s="1"/>
  <c r="L60" i="1"/>
  <c r="L59" i="1" s="1"/>
  <c r="L73" i="1" s="1"/>
  <c r="L63" i="1"/>
  <c r="L61" i="1"/>
  <c r="AB16" i="2"/>
  <c r="AB31" i="2" s="1"/>
  <c r="L89" i="1" s="1"/>
  <c r="J151" i="1"/>
  <c r="S48" i="1"/>
  <c r="R46" i="1"/>
  <c r="S41" i="1"/>
  <c r="R39" i="1"/>
  <c r="Q38" i="1"/>
  <c r="K85" i="1"/>
  <c r="K82" i="1" s="1"/>
  <c r="K155" i="1" s="1"/>
  <c r="K83" i="1"/>
  <c r="P53" i="1"/>
  <c r="P52" i="1" s="1"/>
  <c r="K157" i="1"/>
  <c r="F12" i="3"/>
  <c r="F14" i="3" s="1"/>
  <c r="F22" i="3" s="1"/>
  <c r="L27" i="1" s="1"/>
  <c r="K97" i="1"/>
  <c r="K160" i="1" s="1"/>
  <c r="J158" i="1"/>
  <c r="J163" i="1" s="1"/>
  <c r="J104" i="1"/>
  <c r="J105" i="1" s="1"/>
  <c r="K148" i="1"/>
  <c r="AB17" i="2" l="1"/>
  <c r="L78" i="1"/>
  <c r="L93" i="1" s="1"/>
  <c r="L74" i="1"/>
  <c r="L79" i="1" s="1"/>
  <c r="L149" i="1" s="1"/>
  <c r="M60" i="1"/>
  <c r="M59" i="1" s="1"/>
  <c r="K81" i="1"/>
  <c r="K154" i="1" s="1"/>
  <c r="AF35" i="2"/>
  <c r="T48" i="1"/>
  <c r="T46" i="1" s="1"/>
  <c r="S46" i="1"/>
  <c r="K100" i="1"/>
  <c r="K93" i="1"/>
  <c r="P27" i="1"/>
  <c r="H27" i="1"/>
  <c r="Q53" i="1"/>
  <c r="Q52" i="1" s="1"/>
  <c r="R38" i="1"/>
  <c r="P45" i="1"/>
  <c r="T41" i="1"/>
  <c r="T39" i="1" s="1"/>
  <c r="S39" i="1"/>
  <c r="C142" i="1" l="1"/>
  <c r="K142" i="1"/>
  <c r="K143" i="1" s="1"/>
  <c r="K144" i="1" s="1"/>
  <c r="L148" i="1"/>
  <c r="L97" i="1"/>
  <c r="L160" i="1" s="1"/>
  <c r="L100" i="1"/>
  <c r="L161" i="1" s="1"/>
  <c r="M67" i="1"/>
  <c r="M66" i="1" s="1"/>
  <c r="M73" i="1" s="1"/>
  <c r="N60" i="1"/>
  <c r="N59" i="1" s="1"/>
  <c r="K88" i="1"/>
  <c r="K156" i="1" s="1"/>
  <c r="K152" i="1"/>
  <c r="K159" i="1" s="1"/>
  <c r="K150" i="1"/>
  <c r="K151" i="1" s="1"/>
  <c r="K95" i="1"/>
  <c r="K153" i="1" s="1"/>
  <c r="L152" i="1"/>
  <c r="L159" i="1" s="1"/>
  <c r="Q45" i="1"/>
  <c r="L85" i="1"/>
  <c r="M85" i="1" s="1"/>
  <c r="N85" i="1" s="1"/>
  <c r="O85" i="1" s="1"/>
  <c r="P85" i="1" s="1"/>
  <c r="Q85" i="1" s="1"/>
  <c r="R85" i="1" s="1"/>
  <c r="S85" i="1" s="1"/>
  <c r="T85" i="1" s="1"/>
  <c r="L83" i="1"/>
  <c r="M83" i="1" s="1"/>
  <c r="N83" i="1" s="1"/>
  <c r="O83" i="1" s="1"/>
  <c r="P83" i="1" s="1"/>
  <c r="Q83" i="1" s="1"/>
  <c r="R83" i="1" s="1"/>
  <c r="S83" i="1" s="1"/>
  <c r="T83" i="1" s="1"/>
  <c r="K161" i="1"/>
  <c r="K102" i="1"/>
  <c r="S38" i="1"/>
  <c r="T38" i="1" s="1"/>
  <c r="U38" i="1" s="1"/>
  <c r="R53" i="1"/>
  <c r="R52" i="1" s="1"/>
  <c r="L135" i="1"/>
  <c r="K115" i="1"/>
  <c r="D135" i="1"/>
  <c r="C143" i="1"/>
  <c r="C144" i="1" s="1"/>
  <c r="C141" i="1"/>
  <c r="C140" i="1" s="1"/>
  <c r="K141" i="1" l="1"/>
  <c r="K140" i="1" s="1"/>
  <c r="L95" i="1"/>
  <c r="L153" i="1" s="1"/>
  <c r="L102" i="1"/>
  <c r="N67" i="1"/>
  <c r="N66" i="1" s="1"/>
  <c r="O60" i="1"/>
  <c r="O59" i="1" s="1"/>
  <c r="M78" i="1"/>
  <c r="M74" i="1"/>
  <c r="M79" i="1" s="1"/>
  <c r="M149" i="1" s="1"/>
  <c r="K91" i="1"/>
  <c r="K158" i="1" s="1"/>
  <c r="K163" i="1" s="1"/>
  <c r="S53" i="1"/>
  <c r="S52" i="1" s="1"/>
  <c r="T53" i="1"/>
  <c r="R45" i="1"/>
  <c r="K116" i="1"/>
  <c r="T22" i="1"/>
  <c r="T115" i="1" s="1"/>
  <c r="L115" i="1" s="1"/>
  <c r="M115" i="1" s="1"/>
  <c r="N115" i="1" s="1"/>
  <c r="O115" i="1" s="1"/>
  <c r="P115" i="1" s="1"/>
  <c r="Q115" i="1" s="1"/>
  <c r="R115" i="1" s="1"/>
  <c r="S115" i="1" s="1"/>
  <c r="L82" i="1"/>
  <c r="O67" i="1" l="1"/>
  <c r="O66" i="1" s="1"/>
  <c r="O73" i="1" s="1"/>
  <c r="M97" i="1"/>
  <c r="M160" i="1" s="1"/>
  <c r="M93" i="1"/>
  <c r="M148" i="1"/>
  <c r="M100" i="1"/>
  <c r="P60" i="1"/>
  <c r="P59" i="1" s="1"/>
  <c r="N73" i="1"/>
  <c r="K104" i="1"/>
  <c r="K105" i="1" s="1"/>
  <c r="T52" i="1"/>
  <c r="U52" i="1" s="1"/>
  <c r="L116" i="1"/>
  <c r="S45" i="1"/>
  <c r="L155" i="1"/>
  <c r="L81" i="1"/>
  <c r="M82" i="1"/>
  <c r="L157" i="1"/>
  <c r="M89" i="1"/>
  <c r="M152" i="1" l="1"/>
  <c r="M159" i="1" s="1"/>
  <c r="M95" i="1"/>
  <c r="M153" i="1" s="1"/>
  <c r="O74" i="1"/>
  <c r="O79" i="1" s="1"/>
  <c r="O149" i="1" s="1"/>
  <c r="O78" i="1"/>
  <c r="M161" i="1"/>
  <c r="M102" i="1"/>
  <c r="N78" i="1"/>
  <c r="N74" i="1"/>
  <c r="N79" i="1" s="1"/>
  <c r="N149" i="1" s="1"/>
  <c r="P67" i="1"/>
  <c r="P66" i="1" s="1"/>
  <c r="Q60" i="1"/>
  <c r="Q59" i="1" s="1"/>
  <c r="M155" i="1"/>
  <c r="M81" i="1"/>
  <c r="T45" i="1"/>
  <c r="N82" i="1"/>
  <c r="M116" i="1"/>
  <c r="L154" i="1"/>
  <c r="L88" i="1"/>
  <c r="L156" i="1" s="1"/>
  <c r="L150" i="1"/>
  <c r="L151" i="1" s="1"/>
  <c r="M157" i="1"/>
  <c r="N89" i="1"/>
  <c r="Q67" i="1" l="1"/>
  <c r="Q66" i="1" s="1"/>
  <c r="Q73" i="1" s="1"/>
  <c r="R60" i="1"/>
  <c r="R59" i="1" s="1"/>
  <c r="N148" i="1"/>
  <c r="N93" i="1"/>
  <c r="N97" i="1"/>
  <c r="N160" i="1" s="1"/>
  <c r="N100" i="1"/>
  <c r="P73" i="1"/>
  <c r="O148" i="1"/>
  <c r="O93" i="1"/>
  <c r="O97" i="1"/>
  <c r="O160" i="1" s="1"/>
  <c r="O100" i="1"/>
  <c r="O161" i="1" s="1"/>
  <c r="N116" i="1"/>
  <c r="N155" i="1"/>
  <c r="N81" i="1"/>
  <c r="U45" i="1"/>
  <c r="N157" i="1"/>
  <c r="O89" i="1"/>
  <c r="L91" i="1"/>
  <c r="O82" i="1"/>
  <c r="M154" i="1"/>
  <c r="M88" i="1"/>
  <c r="M156" i="1" s="1"/>
  <c r="M150" i="1"/>
  <c r="M151" i="1" s="1"/>
  <c r="R67" i="1" l="1"/>
  <c r="R66" i="1" s="1"/>
  <c r="R73" i="1" s="1"/>
  <c r="Q78" i="1"/>
  <c r="Q74" i="1"/>
  <c r="Q79" i="1" s="1"/>
  <c r="Q149" i="1" s="1"/>
  <c r="O95" i="1"/>
  <c r="O153" i="1" s="1"/>
  <c r="O152" i="1"/>
  <c r="O159" i="1" s="1"/>
  <c r="O102" i="1"/>
  <c r="P78" i="1"/>
  <c r="P74" i="1"/>
  <c r="P79" i="1" s="1"/>
  <c r="P149" i="1" s="1"/>
  <c r="N152" i="1"/>
  <c r="N159" i="1" s="1"/>
  <c r="N95" i="1"/>
  <c r="N153" i="1" s="1"/>
  <c r="S60" i="1"/>
  <c r="S59" i="1" s="1"/>
  <c r="T60" i="1"/>
  <c r="N161" i="1"/>
  <c r="N102" i="1"/>
  <c r="M91" i="1"/>
  <c r="M104" i="1" s="1"/>
  <c r="N154" i="1"/>
  <c r="N88" i="1"/>
  <c r="N156" i="1" s="1"/>
  <c r="N150" i="1"/>
  <c r="N151" i="1" s="1"/>
  <c r="O155" i="1"/>
  <c r="O81" i="1"/>
  <c r="L158" i="1"/>
  <c r="L163" i="1" s="1"/>
  <c r="L104" i="1"/>
  <c r="P82" i="1"/>
  <c r="O157" i="1"/>
  <c r="P89" i="1"/>
  <c r="O116" i="1"/>
  <c r="S67" i="1" l="1"/>
  <c r="S66" i="1" s="1"/>
  <c r="S73" i="1" s="1"/>
  <c r="T59" i="1"/>
  <c r="Q97" i="1"/>
  <c r="Q160" i="1" s="1"/>
  <c r="Q100" i="1"/>
  <c r="Q148" i="1"/>
  <c r="Q93" i="1"/>
  <c r="R74" i="1"/>
  <c r="R79" i="1" s="1"/>
  <c r="R149" i="1" s="1"/>
  <c r="R78" i="1"/>
  <c r="P148" i="1"/>
  <c r="P97" i="1"/>
  <c r="P160" i="1" s="1"/>
  <c r="P93" i="1"/>
  <c r="P100" i="1"/>
  <c r="M158" i="1"/>
  <c r="M163" i="1" s="1"/>
  <c r="N91" i="1"/>
  <c r="N104" i="1" s="1"/>
  <c r="M110" i="1" s="1"/>
  <c r="M105" i="1"/>
  <c r="Q82" i="1"/>
  <c r="P155" i="1"/>
  <c r="P81" i="1"/>
  <c r="P157" i="1"/>
  <c r="Q89" i="1"/>
  <c r="O154" i="1"/>
  <c r="O88" i="1"/>
  <c r="O156" i="1" s="1"/>
  <c r="O150" i="1"/>
  <c r="O151" i="1" s="1"/>
  <c r="L105" i="1"/>
  <c r="L110" i="1"/>
  <c r="K110" i="1"/>
  <c r="K118" i="1" s="1"/>
  <c r="P116" i="1"/>
  <c r="Q161" i="1" l="1"/>
  <c r="Q102" i="1"/>
  <c r="P95" i="1"/>
  <c r="P153" i="1" s="1"/>
  <c r="P152" i="1"/>
  <c r="P159" i="1" s="1"/>
  <c r="T67" i="1"/>
  <c r="T66" i="1" s="1"/>
  <c r="T73" i="1" s="1"/>
  <c r="U59" i="1"/>
  <c r="Q152" i="1"/>
  <c r="Q159" i="1" s="1"/>
  <c r="Q95" i="1"/>
  <c r="Q153" i="1" s="1"/>
  <c r="P161" i="1"/>
  <c r="P102" i="1"/>
  <c r="S78" i="1"/>
  <c r="S74" i="1"/>
  <c r="S79" i="1" s="1"/>
  <c r="S149" i="1" s="1"/>
  <c r="R93" i="1"/>
  <c r="R97" i="1"/>
  <c r="R160" i="1" s="1"/>
  <c r="R148" i="1"/>
  <c r="R100" i="1"/>
  <c r="N158" i="1"/>
  <c r="N163" i="1" s="1"/>
  <c r="O91" i="1"/>
  <c r="O104" i="1" s="1"/>
  <c r="P154" i="1"/>
  <c r="P88" i="1"/>
  <c r="P156" i="1" s="1"/>
  <c r="P150" i="1"/>
  <c r="P151" i="1" s="1"/>
  <c r="L111" i="1"/>
  <c r="L118" i="1"/>
  <c r="M111" i="1"/>
  <c r="M118" i="1"/>
  <c r="Q155" i="1"/>
  <c r="Q81" i="1"/>
  <c r="N105" i="1"/>
  <c r="R82" i="1"/>
  <c r="Q157" i="1"/>
  <c r="R89" i="1"/>
  <c r="Q116" i="1"/>
  <c r="R152" i="1" l="1"/>
  <c r="R159" i="1" s="1"/>
  <c r="R95" i="1"/>
  <c r="R153" i="1" s="1"/>
  <c r="T78" i="1"/>
  <c r="T74" i="1"/>
  <c r="T79" i="1" s="1"/>
  <c r="T149" i="1" s="1"/>
  <c r="S97" i="1"/>
  <c r="S160" i="1" s="1"/>
  <c r="S93" i="1"/>
  <c r="S148" i="1"/>
  <c r="S100" i="1"/>
  <c r="U67" i="1"/>
  <c r="U66" i="1" s="1"/>
  <c r="U73" i="1" s="1"/>
  <c r="R102" i="1"/>
  <c r="R161" i="1"/>
  <c r="O158" i="1"/>
  <c r="O163" i="1" s="1"/>
  <c r="R157" i="1"/>
  <c r="S89" i="1"/>
  <c r="O105" i="1"/>
  <c r="S82" i="1"/>
  <c r="T82" i="1"/>
  <c r="P91" i="1"/>
  <c r="N110" i="1"/>
  <c r="R116" i="1"/>
  <c r="Q154" i="1"/>
  <c r="Q88" i="1"/>
  <c r="Q156" i="1" s="1"/>
  <c r="Q150" i="1"/>
  <c r="Q151" i="1" s="1"/>
  <c r="R155" i="1"/>
  <c r="R81" i="1"/>
  <c r="S161" i="1" l="1"/>
  <c r="S102" i="1"/>
  <c r="S152" i="1"/>
  <c r="S159" i="1" s="1"/>
  <c r="S95" i="1"/>
  <c r="S153" i="1" s="1"/>
  <c r="T93" i="1"/>
  <c r="T97" i="1"/>
  <c r="T160" i="1" s="1"/>
  <c r="T100" i="1"/>
  <c r="T148" i="1"/>
  <c r="U74" i="1"/>
  <c r="U79" i="1" s="1"/>
  <c r="U149" i="1" s="1"/>
  <c r="U78" i="1"/>
  <c r="Q91" i="1"/>
  <c r="Q158" i="1" s="1"/>
  <c r="Q163" i="1" s="1"/>
  <c r="T155" i="1"/>
  <c r="T81" i="1"/>
  <c r="S157" i="1"/>
  <c r="T89" i="1"/>
  <c r="T157" i="1" s="1"/>
  <c r="S116" i="1"/>
  <c r="N111" i="1"/>
  <c r="N118" i="1"/>
  <c r="S155" i="1"/>
  <c r="S81" i="1"/>
  <c r="P158" i="1"/>
  <c r="P163" i="1" s="1"/>
  <c r="P104" i="1"/>
  <c r="R154" i="1"/>
  <c r="R88" i="1"/>
  <c r="R156" i="1" s="1"/>
  <c r="R150" i="1"/>
  <c r="R151" i="1" s="1"/>
  <c r="T161" i="1" l="1"/>
  <c r="T102" i="1"/>
  <c r="T152" i="1"/>
  <c r="T159" i="1" s="1"/>
  <c r="T95" i="1"/>
  <c r="T153" i="1" s="1"/>
  <c r="U100" i="1"/>
  <c r="U148" i="1"/>
  <c r="U97" i="1"/>
  <c r="U160" i="1" s="1"/>
  <c r="U81" i="1"/>
  <c r="U93" i="1"/>
  <c r="Q104" i="1"/>
  <c r="Q105" i="1" s="1"/>
  <c r="R91" i="1"/>
  <c r="R158" i="1" s="1"/>
  <c r="R163" i="1" s="1"/>
  <c r="P105" i="1"/>
  <c r="O110" i="1"/>
  <c r="S154" i="1"/>
  <c r="S88" i="1"/>
  <c r="S156" i="1" s="1"/>
  <c r="S150" i="1"/>
  <c r="S151" i="1" s="1"/>
  <c r="T154" i="1"/>
  <c r="T88" i="1"/>
  <c r="T156" i="1" s="1"/>
  <c r="T113" i="1"/>
  <c r="T150" i="1"/>
  <c r="T151" i="1" s="1"/>
  <c r="T116" i="1"/>
  <c r="U88" i="1" l="1"/>
  <c r="U156" i="1" s="1"/>
  <c r="U154" i="1"/>
  <c r="U102" i="1"/>
  <c r="U161" i="1"/>
  <c r="U152" i="1"/>
  <c r="U159" i="1" s="1"/>
  <c r="U150" i="1"/>
  <c r="U151" i="1" s="1"/>
  <c r="U95" i="1"/>
  <c r="U153" i="1" s="1"/>
  <c r="P110" i="1"/>
  <c r="P111" i="1" s="1"/>
  <c r="R104" i="1"/>
  <c r="R105" i="1" s="1"/>
  <c r="O111" i="1"/>
  <c r="O118" i="1"/>
  <c r="T91" i="1"/>
  <c r="S91" i="1"/>
  <c r="U91" i="1" l="1"/>
  <c r="U104" i="1" s="1"/>
  <c r="U105" i="1" s="1"/>
  <c r="P118" i="1"/>
  <c r="Q110" i="1"/>
  <c r="Q111" i="1" s="1"/>
  <c r="S158" i="1"/>
  <c r="S163" i="1" s="1"/>
  <c r="S104" i="1"/>
  <c r="T158" i="1"/>
  <c r="T163" i="1" s="1"/>
  <c r="T104" i="1"/>
  <c r="U158" i="1" l="1"/>
  <c r="U163" i="1" s="1"/>
  <c r="Q118" i="1"/>
  <c r="S105" i="1"/>
  <c r="S110" i="1"/>
  <c r="R110" i="1"/>
  <c r="T105" i="1"/>
  <c r="T110" i="1"/>
  <c r="R111" i="1" l="1"/>
  <c r="R118" i="1"/>
  <c r="S111" i="1"/>
  <c r="S118" i="1"/>
  <c r="T112" i="1"/>
  <c r="T114" i="1" s="1"/>
  <c r="T119" i="1" s="1"/>
  <c r="T111" i="1"/>
  <c r="T118" i="1"/>
  <c r="D121" i="1" l="1"/>
  <c r="D127" i="1" s="1"/>
  <c r="D130" i="1" s="1"/>
  <c r="K139" i="1" s="1"/>
  <c r="C139" i="1" l="1"/>
  <c r="G4" i="1"/>
  <c r="S4" i="1" s="1"/>
  <c r="S5" i="1" s="1"/>
  <c r="O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tc={2268A04D-DF45-4B4C-94C1-00F566A3B854}</author>
    <author>tc={37637FB6-BA8D-0547-AEBB-62060655220A}</author>
    <author>tc={3DD7DB3B-6406-C34D-A497-0941FBA60325}</author>
  </authors>
  <commentList>
    <comment ref="K2" authorId="0" shapeId="0" xr:uid="{2268A04D-DF45-4B4C-94C1-00F566A3B854}">
      <text>
        <t>[Threaded comment]
Your version of Excel allows you to read this threaded comment; however, any edits to it will get removed if the file is opened in a newer version of Excel. Learn more: https://go.microsoft.com/fwlink/?linkid=870924
Comment:
    S&amp;P acquired IHS Markit for $44B</t>
      </text>
    </comment>
    <comment ref="N2" authorId="1" shapeId="0" xr:uid="{37637FB6-BA8D-0547-AEBB-62060655220A}">
      <text>
        <t>[Threaded comment]
Your version of Excel allows you to read this threaded comment; however, any edits to it will get removed if the file is opened in a newer version of Excel. Learn more: https://go.microsoft.com/fwlink/?linkid=870924
Comment:
    S&amp;P investor day medium-term outlook: 2025/2026 target 6-9% organic revenue growth, 58-60% adjusted operating profit margin.
2022 guidence:
Revenue: over 30% increase
Operating margin: 45.7% - 46.7%
Tax rate: 26% - 27%
CapEx: 115 million</t>
      </text>
    </comment>
    <comment ref="M8" authorId="2" shapeId="0" xr:uid="{3DD7DB3B-6406-C34D-A497-0941FBA60325}">
      <text>
        <t>[Threaded comment]
Your version of Excel allows you to read this threaded comment; however, any edits to it will get removed if the file is opened in a newer version of Excel. Learn more: https://go.microsoft.com/fwlink/?linkid=870924
Comment:
    S&amp;P’s Engeineering Solutions is sold to KKR for 975m, no longer relevent</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<sst xmlns="http://schemas.openxmlformats.org/spreadsheetml/2006/main" count="293" uniqueCount="159">
  <si>
    <t>Ticker</t>
  </si>
  <si>
    <t>Implied Share Price</t>
  </si>
  <si>
    <t>Base Case</t>
  </si>
  <si>
    <t>Conservative Case</t>
  </si>
  <si>
    <t>10yr Price Target</t>
  </si>
  <si>
    <t>Date</t>
  </si>
  <si>
    <t>Current Share Price</t>
  </si>
  <si>
    <t>Optimistic Case</t>
  </si>
  <si>
    <t>Implied Upside (Downside)</t>
  </si>
  <si>
    <t>10yr CAGR</t>
  </si>
  <si>
    <t>x</t>
  </si>
  <si>
    <t>Assumptions</t>
  </si>
  <si>
    <t>1 = Conservative Case, 2 = Base / Street Case, 3 = Optimistic Case, 4 = Manual</t>
  </si>
  <si>
    <t>Revenue Build Switches</t>
  </si>
  <si>
    <t>Base / Street Case</t>
  </si>
  <si>
    <t>Financials</t>
  </si>
  <si>
    <t>Cash &amp; Securities</t>
  </si>
  <si>
    <t>Non-operating Assets</t>
  </si>
  <si>
    <t>Book Value of Debt</t>
  </si>
  <si>
    <t>Minority Interest</t>
  </si>
  <si>
    <t>Market Value of Debt</t>
  </si>
  <si>
    <t>Operating Leases</t>
  </si>
  <si>
    <t>Pre-tax Cost of Debt</t>
  </si>
  <si>
    <t>Outstanding Diluted Shares</t>
  </si>
  <si>
    <t>Market Numbers</t>
  </si>
  <si>
    <t>Riskfree Rate</t>
  </si>
  <si>
    <t>Equity Risk Premium</t>
  </si>
  <si>
    <t>Beta</t>
  </si>
  <si>
    <t>EBIT</t>
  </si>
  <si>
    <t>EBIT - 2023</t>
  </si>
  <si>
    <t>Terminal Cost of Capital</t>
  </si>
  <si>
    <t>EBIT - 2033</t>
  </si>
  <si>
    <t>Taxes</t>
  </si>
  <si>
    <t>Taxes - 2033</t>
  </si>
  <si>
    <t>WACC</t>
  </si>
  <si>
    <t>TGR</t>
  </si>
  <si>
    <t>EV/EBITDA</t>
  </si>
  <si>
    <t>Valuation Assumptions</t>
  </si>
  <si>
    <t>Manual</t>
  </si>
  <si>
    <t>Revenue Build (12/31 FYE)</t>
  </si>
  <si>
    <t>Ending</t>
  </si>
  <si>
    <t xml:space="preserve">  % growth</t>
  </si>
  <si>
    <t>Optimstic Case</t>
  </si>
  <si>
    <t>Total Revenue</t>
  </si>
  <si>
    <t>DCF (12/31 FYE)</t>
  </si>
  <si>
    <t>Revenue</t>
  </si>
  <si>
    <t>EBIT (Operating Income)</t>
  </si>
  <si>
    <t xml:space="preserve">  % of sales</t>
  </si>
  <si>
    <t xml:space="preserve">  % of EBIT</t>
  </si>
  <si>
    <t>EBIAT</t>
  </si>
  <si>
    <t>D&amp;A</t>
  </si>
  <si>
    <t xml:space="preserve">  % of CapEx</t>
  </si>
  <si>
    <t>CapEx</t>
  </si>
  <si>
    <t>dNWC</t>
  </si>
  <si>
    <t xml:space="preserve">  % of  change in sales</t>
  </si>
  <si>
    <t xml:space="preserve">Unlevered FCF </t>
  </si>
  <si>
    <t>Projection Period (9/30 YE)</t>
  </si>
  <si>
    <t>Adjusted Unlevered FCF</t>
  </si>
  <si>
    <t>Perpertunity Growth TV</t>
  </si>
  <si>
    <t>EV/EBITDA TV</t>
  </si>
  <si>
    <t>Average TV</t>
  </si>
  <si>
    <t>Discount Factor</t>
  </si>
  <si>
    <t>PV of FCF</t>
  </si>
  <si>
    <t>PV of TV</t>
  </si>
  <si>
    <t>Enterprise Value</t>
  </si>
  <si>
    <t>(+) Cash</t>
  </si>
  <si>
    <t>(+) Non-operating Assets</t>
  </si>
  <si>
    <t>(-) Debt</t>
  </si>
  <si>
    <t>(-) Minority Interest</t>
  </si>
  <si>
    <t xml:space="preserve"> </t>
  </si>
  <si>
    <t>Equity Value</t>
  </si>
  <si>
    <t>Outstanding Diluted Share</t>
  </si>
  <si>
    <t>Sensitivity Analysis</t>
  </si>
  <si>
    <t>TGR Step-up</t>
  </si>
  <si>
    <t>EV/EBITDA Multiple</t>
  </si>
  <si>
    <t>EV/EBITDA Step-up</t>
  </si>
  <si>
    <t>WACC Step-up</t>
  </si>
  <si>
    <t xml:space="preserve">WACC </t>
  </si>
  <si>
    <t>Summary Financials (12/31 FYE)</t>
  </si>
  <si>
    <t>EBITDA</t>
  </si>
  <si>
    <t xml:space="preserve">EBIT </t>
  </si>
  <si>
    <t xml:space="preserve">  (+) D&amp;A</t>
  </si>
  <si>
    <t xml:space="preserve">  (-) CapEx</t>
  </si>
  <si>
    <t xml:space="preserve">  (-) dNWC</t>
  </si>
  <si>
    <t>FCF</t>
  </si>
  <si>
    <t>$ in millions</t>
  </si>
  <si>
    <t>Q121A</t>
  </si>
  <si>
    <t>Q221A</t>
  </si>
  <si>
    <t>Q321A</t>
  </si>
  <si>
    <t>Q421A</t>
  </si>
  <si>
    <t>Q122A</t>
  </si>
  <si>
    <t>Q222A</t>
  </si>
  <si>
    <t>Q322A</t>
  </si>
  <si>
    <t>Q422E</t>
  </si>
  <si>
    <t>Q123E</t>
  </si>
  <si>
    <t>Q223E</t>
  </si>
  <si>
    <t>Q323E</t>
  </si>
  <si>
    <t>Q423E</t>
  </si>
  <si>
    <t>2016A</t>
  </si>
  <si>
    <t>2017A</t>
  </si>
  <si>
    <t>2018A</t>
  </si>
  <si>
    <t>2022E</t>
  </si>
  <si>
    <t>Revenue y/y</t>
  </si>
  <si>
    <t>D&amp;A % of sales</t>
  </si>
  <si>
    <t>WACC = % of equity x cost of equity + % of debt x cost of debt x (1 - tax rate)</t>
  </si>
  <si>
    <t>Cost of equity = Risk Free Rate + Beta x Market Risk Premium</t>
  </si>
  <si>
    <t>WACC Calculation</t>
  </si>
  <si>
    <t>Market Value of Debt + Operating Leases</t>
  </si>
  <si>
    <t>Tax Rate</t>
  </si>
  <si>
    <t>D/(D+E)</t>
  </si>
  <si>
    <t>After Tax Cost of Debt</t>
  </si>
  <si>
    <t>10 yr Treasury Yield</t>
  </si>
  <si>
    <t>E/(D+E)</t>
  </si>
  <si>
    <t>Cost of Equity</t>
  </si>
  <si>
    <t>S&amp;P Global DCF</t>
  </si>
  <si>
    <t>SPGI</t>
  </si>
  <si>
    <t>Market Intelligence</t>
  </si>
  <si>
    <t>Ratings</t>
  </si>
  <si>
    <t>Commodity Insights</t>
  </si>
  <si>
    <t>Mobility</t>
  </si>
  <si>
    <t>Indices</t>
  </si>
  <si>
    <t>Engineering Solutions</t>
  </si>
  <si>
    <t>COGS</t>
  </si>
  <si>
    <t>SG&amp;A</t>
  </si>
  <si>
    <t>Gross Profit</t>
  </si>
  <si>
    <t>OpEx</t>
  </si>
  <si>
    <t>OpInc</t>
  </si>
  <si>
    <t>Market Intelligence y/y</t>
  </si>
  <si>
    <t>Ratings y/y</t>
  </si>
  <si>
    <t>Commodity Insights y/y</t>
  </si>
  <si>
    <t>Mobility y/y</t>
  </si>
  <si>
    <t>Indices y/y</t>
  </si>
  <si>
    <t>Gross Margin</t>
  </si>
  <si>
    <t>SG&amp;A % of sales</t>
  </si>
  <si>
    <t>OpEx y/y</t>
  </si>
  <si>
    <t>Operating Margin</t>
  </si>
  <si>
    <t>Taxes % of OpInc</t>
  </si>
  <si>
    <t>Q120Q</t>
  </si>
  <si>
    <t>Q220A</t>
  </si>
  <si>
    <t>Q320A</t>
  </si>
  <si>
    <t>Q420A</t>
  </si>
  <si>
    <t>Market - 2023</t>
  </si>
  <si>
    <t>Market - 2024</t>
  </si>
  <si>
    <t>Ratings - 2023</t>
  </si>
  <si>
    <t>Ratings - 2024</t>
  </si>
  <si>
    <t>Commodity - 2023</t>
  </si>
  <si>
    <t>Commodity - 2024</t>
  </si>
  <si>
    <t>Mobility - 2023</t>
  </si>
  <si>
    <t>Mobility - 2024</t>
  </si>
  <si>
    <t>Indices - 2023</t>
  </si>
  <si>
    <t>Market - 2032</t>
  </si>
  <si>
    <t>Ratings - 2032</t>
  </si>
  <si>
    <t>Commodity - 2032</t>
  </si>
  <si>
    <t>Mobility - 2032</t>
  </si>
  <si>
    <t>Indices - 2032</t>
  </si>
  <si>
    <t>Price Target: $432.66</t>
  </si>
  <si>
    <t>10yr CAGR: 9.86%</t>
  </si>
  <si>
    <t>Recommendation: HOLD</t>
  </si>
  <si>
    <t>Implied Upside: 17.91%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</si>
</sst>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_([$$-409]* #,##0.00_);_([$$-409]* \(#,##0.00\);_([$$-409]* &quot;-&quot;??_);_(@_)"/>
    <numFmt numFmtId="165" formatCode="0.0%"/>
    <numFmt numFmtId="166" formatCode="0.0\x"/>
    <numFmt numFmtId="167" formatCode="General\A"/>
    <numFmt numFmtId="168" formatCode="General\E"/>
  </numFmts>
  <fonts count="25" x14ac:knownFonts="1">
    <font>
      <sz val="12"/>
      <color theme="1"/>
      <name val="Calibri"/>
      <family val="2"/>
      <scheme val="minor"/>
    </font>
    <font>
      <sz val="12"/>
      <color theme="1"/>
      <name val="Calibri"/>
      <family val="2"/>
      <scheme val="minor"/>
    </font>
    <font>
      <sz val="12"/>
      <color rgb="FF9C5700"/>
      <name val="Calibri"/>
      <family val="2"/>
      <scheme val="minor"/>
    </font>
    <font>
      <sz val="12"/>
      <color rgb="FF3F3F76"/>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2"/>
      <color theme="0"/>
      <name val="Calibri"/>
      <family val="2"/>
      <scheme val="minor"/>
    </font>
    <font>
      <sz val="9"/>
      <name val="Geneva"/>
      <family val="2"/>
    </font>
    <font>
      <sz val="12"/>
      <name val="Calibri"/>
      <family val="2"/>
      <scheme val="minor"/>
    </font>
    <font>
      <b/>
      <sz val="20"/>
      <name val="Calibri"/>
      <family val="2"/>
      <scheme val="minor"/>
    </font>
    <font>
      <b/>
      <sz val="16"/>
      <name val="Calibri"/>
      <family val="2"/>
      <scheme val="minor"/>
    </font>
    <font>
      <sz val="16"/>
      <name val="Calibri"/>
      <family val="2"/>
      <scheme val="minor"/>
    </font>
    <font>
      <b/>
      <sz val="12"/>
      <name val="Calibri"/>
      <family val="2"/>
      <scheme val="minor"/>
    </font>
    <font>
      <b/>
      <sz val="12"/>
      <color theme="0"/>
      <name val="Calibri (Body)"/>
    </font>
    <font>
      <b/>
      <u/>
      <sz val="12"/>
      <name val="Calibri"/>
      <family val="2"/>
      <scheme val="minor"/>
    </font>
    <font>
      <sz val="12"/>
      <color theme="9"/>
      <name val="Calibri"/>
      <family val="2"/>
      <scheme val="minor"/>
    </font>
    <font>
      <i/>
      <sz val="12"/>
      <name val="Calibri"/>
      <family val="2"/>
      <scheme val="minor"/>
    </font>
    <font>
      <sz val="12"/>
      <color rgb="FF7030A0"/>
      <name val="Calibri"/>
      <family val="2"/>
      <scheme val="minor"/>
    </font>
    <font>
      <i/>
      <sz val="12"/>
      <color theme="1"/>
      <name val="Calibri"/>
      <family val="2"/>
      <scheme val="minor"/>
    </font>
    <font>
      <i/>
      <sz val="12"/>
      <color theme="9"/>
      <name val="Calibri"/>
      <family val="2"/>
      <scheme val="minor"/>
    </font>
    <font>
      <i/>
      <sz val="12"/>
      <color rgb="FF7030A0"/>
      <name val="Calibri"/>
      <family val="2"/>
      <scheme val="minor"/>
    </font>
    <font>
      <i/>
      <sz val="12"/>
      <color rgb="FFFF0000"/>
      <name val="Calibri"/>
      <family val="2"/>
      <scheme val="minor"/>
    </font>
    <font>
      <b/>
      <sz val="18"/>
      <color theme="0"/>
      <name val="Calibri"/>
      <family val="2"/>
      <scheme val="minor"/>
    </font>
    <font>
      <b/>
      <sz val="16"/>
      <color theme="1"/>
      <name val="Calibri"/>
      <family val="2"/>
      <scheme val="minor"/>
    </font>
  </fonts>
  <fills count="6">
    <fill>
      <patternFill patternType="none"/>
    </fill>
    <fill>
      <patternFill patternType="gray125"/>
    </fill>
    <fill>
      <patternFill patternType="solid">
        <fgColor rgb="FFFFEB9C"/>
      </patternFill>
    </fill>
    <fill>
      <patternFill patternType="solid">
        <fgColor rgb="FFFFCC99"/>
      </patternFill>
    </fill>
    <fill>
      <patternFill patternType="solid">
        <fgColor rgb="FF002060"/>
        <bgColor indexed="64"/>
      </patternFill>
    </fill>
    <fill>
      <patternFill patternType="solid">
        <fgColor theme="4" tint="0.59999389629810485"/>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
      <left/>
      <right style="thin">
        <color indexed="64"/>
      </right>
      <top/>
      <bottom/>
      <diagonal/>
    </border>
    <border>
      <left/>
      <right style="thin">
        <color rgb="FF7F7F7F"/>
      </right>
      <top style="thin">
        <color rgb="FF7F7F7F"/>
      </top>
      <bottom style="thin">
        <color rgb="FF7F7F7F"/>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8">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3" borderId="1" applyNumberFormat="0" applyAlignment="0" applyProtection="0"/>
    <xf numFmtId="0" fontId="8" fillId="0" borderId="0"/>
    <xf numFmtId="9" fontId="8" fillId="0" borderId="0" applyFont="0" applyFill="0" applyBorder="0" applyAlignment="0" applyProtection="0"/>
    <xf numFmtId="0" fontId="1" fillId="0" borderId="0"/>
    <xf numFmtId="9" fontId="1" fillId="0" borderId="0" applyFont="0" applyFill="0" applyBorder="0" applyAlignment="0" applyProtection="0"/>
  </cellStyleXfs>
  <cellXfs count="169">
    <xf numFmtId="0" fontId="0" fillId="0" borderId="0" xfId="0"/>
    <xf numFmtId="0" fontId="9" fillId="0" borderId="2" xfId="4" applyFont="1" applyBorder="1"/>
    <xf numFmtId="0" fontId="10" fillId="0" borderId="2" xfId="4" applyFont="1" applyBorder="1"/>
    <xf numFmtId="0" fontId="11" fillId="0" borderId="2" xfId="4" applyFont="1" applyBorder="1"/>
    <xf numFmtId="0" fontId="12" fillId="0" borderId="2" xfId="4" applyFont="1" applyBorder="1"/>
    <xf numFmtId="0" fontId="9" fillId="0" borderId="0" xfId="4" applyFont="1"/>
    <xf numFmtId="0" fontId="3" fillId="3" borderId="1" xfId="3" applyAlignment="1" applyProtection="1">
      <alignment horizontal="center"/>
    </xf>
    <xf numFmtId="44" fontId="3" fillId="3" borderId="1" xfId="1" applyFont="1" applyFill="1" applyBorder="1" applyProtection="1"/>
    <xf numFmtId="44" fontId="3" fillId="3" borderId="1" xfId="3" applyNumberFormat="1" applyProtection="1"/>
    <xf numFmtId="14" fontId="3" fillId="3" borderId="1" xfId="3" applyNumberFormat="1" applyAlignment="1" applyProtection="1">
      <alignment horizontal="center"/>
    </xf>
    <xf numFmtId="164" fontId="3" fillId="3" borderId="1" xfId="3" applyNumberFormat="1" applyProtection="1"/>
    <xf numFmtId="10" fontId="3" fillId="3" borderId="1" xfId="5" applyNumberFormat="1" applyFont="1" applyFill="1" applyBorder="1" applyAlignment="1" applyProtection="1">
      <alignment horizontal="center"/>
    </xf>
    <xf numFmtId="0" fontId="4" fillId="4" borderId="0" xfId="4" applyFont="1" applyFill="1"/>
    <xf numFmtId="0" fontId="13" fillId="4" borderId="0" xfId="4" applyFont="1" applyFill="1"/>
    <xf numFmtId="0" fontId="14" fillId="4" borderId="0" xfId="4" applyFont="1" applyFill="1"/>
    <xf numFmtId="0" fontId="9" fillId="4" borderId="0" xfId="4" applyFont="1" applyFill="1"/>
    <xf numFmtId="0" fontId="15" fillId="0" borderId="0" xfId="4" applyFont="1"/>
    <xf numFmtId="0" fontId="8" fillId="0" borderId="0" xfId="4"/>
    <xf numFmtId="0" fontId="3" fillId="3" borderId="1" xfId="3" applyAlignment="1" applyProtection="1">
      <alignment horizontal="center"/>
      <protection locked="0"/>
    </xf>
    <xf numFmtId="9" fontId="3" fillId="3" borderId="1" xfId="5" applyFont="1" applyFill="1" applyBorder="1" applyAlignment="1" applyProtection="1">
      <alignment horizontal="center"/>
    </xf>
    <xf numFmtId="0" fontId="8" fillId="0" borderId="0" xfId="4" applyAlignment="1">
      <alignment horizontal="center"/>
    </xf>
    <xf numFmtId="37" fontId="3" fillId="3" borderId="1" xfId="5" applyNumberFormat="1" applyFont="1" applyFill="1" applyBorder="1" applyAlignment="1" applyProtection="1">
      <alignment horizontal="center"/>
      <protection locked="0"/>
    </xf>
    <xf numFmtId="0" fontId="9" fillId="0" borderId="0" xfId="4" applyFont="1" applyAlignment="1">
      <alignment horizontal="center"/>
    </xf>
    <xf numFmtId="165" fontId="3" fillId="3" borderId="1" xfId="5" applyNumberFormat="1" applyFont="1" applyFill="1" applyBorder="1" applyAlignment="1" applyProtection="1">
      <alignment horizontal="center"/>
      <protection locked="0"/>
    </xf>
    <xf numFmtId="0" fontId="3" fillId="3" borderId="1" xfId="5" applyNumberFormat="1" applyFont="1" applyFill="1" applyBorder="1" applyAlignment="1" applyProtection="1">
      <alignment horizontal="center"/>
      <protection locked="0"/>
    </xf>
    <xf numFmtId="9" fontId="3" fillId="3" borderId="1" xfId="5" applyFont="1" applyFill="1" applyBorder="1" applyAlignment="1" applyProtection="1">
      <alignment horizontal="center"/>
      <protection locked="0"/>
    </xf>
    <xf numFmtId="165" fontId="3" fillId="3" borderId="1" xfId="5" applyNumberFormat="1" applyFont="1" applyFill="1" applyBorder="1" applyAlignment="1" applyProtection="1">
      <alignment horizontal="center"/>
    </xf>
    <xf numFmtId="165" fontId="16" fillId="3" borderId="1" xfId="3" applyNumberFormat="1" applyFont="1" applyAlignment="1" applyProtection="1">
      <alignment horizontal="center"/>
    </xf>
    <xf numFmtId="165" fontId="3" fillId="3" borderId="1" xfId="3" applyNumberFormat="1" applyAlignment="1" applyProtection="1">
      <alignment horizontal="center"/>
    </xf>
    <xf numFmtId="166" fontId="3" fillId="3" borderId="1" xfId="3" applyNumberFormat="1" applyAlignment="1" applyProtection="1">
      <alignment horizontal="center"/>
    </xf>
    <xf numFmtId="166" fontId="9" fillId="0" borderId="0" xfId="4" applyNumberFormat="1" applyFont="1"/>
    <xf numFmtId="165" fontId="3" fillId="3" borderId="1" xfId="3" applyNumberFormat="1" applyAlignment="1" applyProtection="1">
      <alignment horizontal="center"/>
      <protection locked="0"/>
    </xf>
    <xf numFmtId="166" fontId="3" fillId="3" borderId="1" xfId="3" applyNumberFormat="1" applyAlignment="1" applyProtection="1">
      <alignment horizontal="center"/>
      <protection locked="0"/>
    </xf>
    <xf numFmtId="167" fontId="4" fillId="4" borderId="0" xfId="4" applyNumberFormat="1" applyFont="1" applyFill="1"/>
    <xf numFmtId="168" fontId="4" fillId="4" borderId="0" xfId="4" applyNumberFormat="1" applyFont="1" applyFill="1"/>
    <xf numFmtId="17" fontId="4" fillId="4" borderId="0" xfId="4" applyNumberFormat="1" applyFont="1" applyFill="1"/>
    <xf numFmtId="37" fontId="16" fillId="0" borderId="0" xfId="4" applyNumberFormat="1" applyFont="1"/>
    <xf numFmtId="37" fontId="16" fillId="0" borderId="3" xfId="4" applyNumberFormat="1" applyFont="1" applyBorder="1"/>
    <xf numFmtId="37" fontId="9" fillId="0" borderId="0" xfId="4" applyNumberFormat="1" applyFont="1"/>
    <xf numFmtId="0" fontId="17" fillId="0" borderId="0" xfId="4" applyFont="1"/>
    <xf numFmtId="9" fontId="17" fillId="0" borderId="0" xfId="5" applyFont="1" applyProtection="1"/>
    <xf numFmtId="9" fontId="17" fillId="0" borderId="3" xfId="5" applyFont="1" applyBorder="1" applyProtection="1"/>
    <xf numFmtId="2" fontId="9" fillId="0" borderId="3" xfId="4" applyNumberFormat="1" applyFont="1" applyBorder="1"/>
    <xf numFmtId="9" fontId="18" fillId="3" borderId="4" xfId="3" applyNumberFormat="1" applyFont="1" applyBorder="1" applyProtection="1"/>
    <xf numFmtId="9" fontId="18" fillId="3" borderId="1" xfId="3" applyNumberFormat="1" applyFont="1" applyProtection="1"/>
    <xf numFmtId="9" fontId="3" fillId="3" borderId="1" xfId="3" applyNumberFormat="1" applyProtection="1"/>
    <xf numFmtId="0" fontId="9" fillId="0" borderId="3" xfId="4" applyFont="1" applyBorder="1"/>
    <xf numFmtId="9" fontId="16" fillId="3" borderId="4" xfId="3" applyNumberFormat="1" applyFont="1" applyBorder="1" applyProtection="1"/>
    <xf numFmtId="9" fontId="16" fillId="3" borderId="1" xfId="3" applyNumberFormat="1" applyFont="1" applyProtection="1"/>
    <xf numFmtId="9" fontId="3" fillId="3" borderId="4" xfId="3" applyNumberFormat="1" applyBorder="1" applyProtection="1">
      <protection locked="0"/>
    </xf>
    <xf numFmtId="9" fontId="3" fillId="3" borderId="1" xfId="3" applyNumberFormat="1" applyProtection="1">
      <protection locked="0"/>
    </xf>
    <xf numFmtId="37" fontId="1" fillId="0" borderId="0" xfId="4" applyNumberFormat="1" applyFont="1"/>
    <xf numFmtId="0" fontId="0" fillId="0" borderId="3" xfId="0" applyBorder="1"/>
    <xf numFmtId="0" fontId="15" fillId="0" borderId="5" xfId="4" applyFont="1" applyBorder="1"/>
    <xf numFmtId="0" fontId="9" fillId="0" borderId="5" xfId="4" applyFont="1" applyBorder="1"/>
    <xf numFmtId="37" fontId="9" fillId="0" borderId="5" xfId="4" applyNumberFormat="1" applyFont="1" applyBorder="1"/>
    <xf numFmtId="37" fontId="9" fillId="0" borderId="6" xfId="4" applyNumberFormat="1" applyFont="1" applyBorder="1"/>
    <xf numFmtId="37" fontId="18" fillId="0" borderId="0" xfId="4" applyNumberFormat="1" applyFont="1"/>
    <xf numFmtId="37" fontId="18" fillId="0" borderId="3" xfId="4" applyNumberFormat="1" applyFont="1" applyBorder="1"/>
    <xf numFmtId="0" fontId="19" fillId="0" borderId="0" xfId="4" applyFont="1"/>
    <xf numFmtId="9" fontId="19" fillId="0" borderId="0" xfId="4" applyNumberFormat="1" applyFont="1"/>
    <xf numFmtId="9" fontId="19" fillId="0" borderId="3" xfId="4" applyNumberFormat="1" applyFont="1" applyBorder="1"/>
    <xf numFmtId="0" fontId="1" fillId="0" borderId="0" xfId="4" applyFont="1"/>
    <xf numFmtId="0" fontId="1" fillId="0" borderId="3" xfId="4" applyFont="1" applyBorder="1"/>
    <xf numFmtId="9" fontId="19" fillId="0" borderId="0" xfId="5" applyFont="1" applyProtection="1"/>
    <xf numFmtId="9" fontId="19" fillId="0" borderId="3" xfId="5" applyFont="1" applyBorder="1" applyProtection="1"/>
    <xf numFmtId="9" fontId="20" fillId="0" borderId="0" xfId="5" applyFont="1" applyProtection="1"/>
    <xf numFmtId="9" fontId="20" fillId="0" borderId="0" xfId="4" applyNumberFormat="1" applyFont="1"/>
    <xf numFmtId="9" fontId="21" fillId="0" borderId="0" xfId="4" applyNumberFormat="1" applyFont="1"/>
    <xf numFmtId="0" fontId="9" fillId="0" borderId="7" xfId="4" applyFont="1" applyBorder="1"/>
    <xf numFmtId="37" fontId="1" fillId="0" borderId="7" xfId="4" applyNumberFormat="1" applyFont="1" applyBorder="1"/>
    <xf numFmtId="37" fontId="1" fillId="0" borderId="8" xfId="4" applyNumberFormat="1" applyFont="1" applyBorder="1"/>
    <xf numFmtId="0" fontId="1" fillId="0" borderId="6" xfId="4" applyFont="1" applyBorder="1"/>
    <xf numFmtId="9" fontId="22" fillId="0" borderId="0" xfId="5" applyFont="1" applyProtection="1"/>
    <xf numFmtId="37" fontId="1" fillId="0" borderId="3" xfId="4" applyNumberFormat="1" applyFont="1" applyBorder="1"/>
    <xf numFmtId="37" fontId="19" fillId="0" borderId="0" xfId="4" applyNumberFormat="1" applyFont="1"/>
    <xf numFmtId="9" fontId="1" fillId="0" borderId="0" xfId="5" applyFont="1" applyProtection="1"/>
    <xf numFmtId="9" fontId="1" fillId="0" borderId="3" xfId="5" applyFont="1" applyBorder="1" applyProtection="1"/>
    <xf numFmtId="37" fontId="1" fillId="0" borderId="5" xfId="5" applyNumberFormat="1" applyFont="1" applyBorder="1" applyProtection="1"/>
    <xf numFmtId="37" fontId="1" fillId="0" borderId="6" xfId="5" applyNumberFormat="1" applyFont="1" applyBorder="1" applyProtection="1"/>
    <xf numFmtId="9" fontId="19" fillId="0" borderId="0" xfId="5" applyFont="1" applyBorder="1" applyProtection="1"/>
    <xf numFmtId="9" fontId="9" fillId="0" borderId="0" xfId="5" applyFont="1" applyBorder="1" applyProtection="1"/>
    <xf numFmtId="9" fontId="9" fillId="0" borderId="3" xfId="5" applyFont="1" applyBorder="1" applyProtection="1"/>
    <xf numFmtId="37" fontId="9" fillId="0" borderId="0" xfId="5" applyNumberFormat="1" applyFont="1" applyBorder="1" applyProtection="1"/>
    <xf numFmtId="9" fontId="2" fillId="2" borderId="0" xfId="5" applyFont="1" applyFill="1" applyProtection="1"/>
    <xf numFmtId="37" fontId="4" fillId="4" borderId="0" xfId="4" applyNumberFormat="1" applyFont="1" applyFill="1"/>
    <xf numFmtId="0" fontId="6" fillId="0" borderId="0" xfId="4" applyFont="1"/>
    <xf numFmtId="9" fontId="9" fillId="0" borderId="0" xfId="5" applyFont="1" applyProtection="1"/>
    <xf numFmtId="37" fontId="9" fillId="0" borderId="0" xfId="5" applyNumberFormat="1" applyFont="1" applyProtection="1"/>
    <xf numFmtId="0" fontId="17" fillId="0" borderId="3" xfId="4" applyFont="1" applyBorder="1"/>
    <xf numFmtId="37" fontId="9" fillId="0" borderId="9" xfId="4" applyNumberFormat="1" applyFont="1" applyBorder="1"/>
    <xf numFmtId="0" fontId="9" fillId="0" borderId="9" xfId="4" applyFont="1" applyBorder="1"/>
    <xf numFmtId="0" fontId="9" fillId="0" borderId="10" xfId="4" applyFont="1" applyBorder="1"/>
    <xf numFmtId="165" fontId="18" fillId="0" borderId="0" xfId="5" applyNumberFormat="1" applyFont="1" applyProtection="1"/>
    <xf numFmtId="165" fontId="1" fillId="0" borderId="0" xfId="5" applyNumberFormat="1" applyFont="1" applyProtection="1"/>
    <xf numFmtId="2" fontId="9" fillId="0" borderId="0" xfId="4" applyNumberFormat="1" applyFont="1"/>
    <xf numFmtId="0" fontId="9" fillId="0" borderId="8" xfId="4" applyFont="1" applyBorder="1"/>
    <xf numFmtId="37" fontId="9" fillId="0" borderId="7" xfId="4" applyNumberFormat="1" applyFont="1" applyBorder="1"/>
    <xf numFmtId="0" fontId="13" fillId="0" borderId="5" xfId="4" applyFont="1" applyBorder="1"/>
    <xf numFmtId="3" fontId="18" fillId="0" borderId="0" xfId="4" applyNumberFormat="1" applyFont="1"/>
    <xf numFmtId="3" fontId="1" fillId="0" borderId="5" xfId="4" applyNumberFormat="1" applyFont="1" applyBorder="1"/>
    <xf numFmtId="3" fontId="18" fillId="0" borderId="9" xfId="4" applyNumberFormat="1" applyFont="1" applyBorder="1"/>
    <xf numFmtId="0" fontId="13" fillId="0" borderId="0" xfId="4" applyFont="1"/>
    <xf numFmtId="4" fontId="9" fillId="0" borderId="0" xfId="4" applyNumberFormat="1" applyFont="1"/>
    <xf numFmtId="0" fontId="7" fillId="4" borderId="0" xfId="4" applyFont="1" applyFill="1"/>
    <xf numFmtId="37" fontId="7" fillId="4" borderId="0" xfId="4" applyNumberFormat="1" applyFont="1" applyFill="1"/>
    <xf numFmtId="165" fontId="18" fillId="3" borderId="1" xfId="3" applyNumberFormat="1" applyFont="1" applyAlignment="1" applyProtection="1">
      <alignment horizontal="center"/>
    </xf>
    <xf numFmtId="166" fontId="18" fillId="3" borderId="1" xfId="3" applyNumberFormat="1" applyFont="1" applyAlignment="1" applyProtection="1">
      <alignment horizontal="center"/>
    </xf>
    <xf numFmtId="166" fontId="3" fillId="3" borderId="1" xfId="5" applyNumberFormat="1" applyFont="1" applyFill="1" applyBorder="1" applyAlignment="1" applyProtection="1">
      <alignment horizontal="center"/>
      <protection locked="0"/>
    </xf>
    <xf numFmtId="165" fontId="9" fillId="5" borderId="0" xfId="4" applyNumberFormat="1" applyFont="1" applyFill="1"/>
    <xf numFmtId="165" fontId="9" fillId="5" borderId="0" xfId="5" applyNumberFormat="1" applyFont="1" applyFill="1" applyProtection="1"/>
    <xf numFmtId="166" fontId="9" fillId="5" borderId="0" xfId="4" applyNumberFormat="1" applyFont="1" applyFill="1"/>
    <xf numFmtId="165" fontId="9" fillId="5" borderId="0" xfId="5" applyNumberFormat="1" applyFont="1" applyFill="1" applyAlignment="1" applyProtection="1"/>
    <xf numFmtId="2" fontId="9" fillId="5" borderId="0" xfId="4" applyNumberFormat="1" applyFont="1" applyFill="1"/>
    <xf numFmtId="2" fontId="7" fillId="4" borderId="0" xfId="4" applyNumberFormat="1" applyFont="1" applyFill="1"/>
    <xf numFmtId="37" fontId="9" fillId="0" borderId="3" xfId="4" applyNumberFormat="1" applyFont="1" applyBorder="1"/>
    <xf numFmtId="9" fontId="17" fillId="0" borderId="0" xfId="4" applyNumberFormat="1" applyFont="1"/>
    <xf numFmtId="9" fontId="17" fillId="0" borderId="3" xfId="4" applyNumberFormat="1" applyFont="1" applyBorder="1"/>
    <xf numFmtId="37" fontId="9" fillId="0" borderId="10" xfId="4" applyNumberFormat="1" applyFont="1" applyBorder="1"/>
    <xf numFmtId="0" fontId="0" fillId="0" borderId="0" xfId="0" applyAlignment="1">
      <alignment horizontal="right"/>
    </xf>
    <xf numFmtId="14" fontId="0" fillId="0" borderId="0" xfId="0" applyNumberFormat="1" applyAlignment="1">
      <alignment horizontal="right"/>
    </xf>
    <xf numFmtId="0" fontId="1" fillId="0" borderId="0" xfId="4" applyFont="1" applyAlignment="1">
      <alignment horizontal="left"/>
    </xf>
    <xf numFmtId="0" fontId="1" fillId="0" borderId="0" xfId="4" applyFont="1" applyAlignment="1">
      <alignment horizontal="right"/>
    </xf>
    <xf numFmtId="167" fontId="0" fillId="0" borderId="0" xfId="0" applyNumberFormat="1"/>
    <xf numFmtId="167" fontId="0" fillId="0" borderId="0" xfId="0" applyNumberFormat="1" applyAlignment="1">
      <alignment horizontal="right"/>
    </xf>
    <xf numFmtId="168" fontId="0" fillId="0" borderId="0" xfId="0" applyNumberFormat="1"/>
    <xf numFmtId="37" fontId="0" fillId="0" borderId="0" xfId="0" applyNumberFormat="1"/>
    <xf numFmtId="37" fontId="6" fillId="0" borderId="0" xfId="0" applyNumberFormat="1" applyFont="1"/>
    <xf numFmtId="0" fontId="6" fillId="0" borderId="0" xfId="0" applyFont="1"/>
    <xf numFmtId="165" fontId="1" fillId="0" borderId="0" xfId="2" applyNumberFormat="1" applyFont="1"/>
    <xf numFmtId="165" fontId="1" fillId="0" borderId="0" xfId="2" applyNumberFormat="1" applyFont="1" applyBorder="1"/>
    <xf numFmtId="9" fontId="6" fillId="0" borderId="0" xfId="2" applyFont="1"/>
    <xf numFmtId="9" fontId="1" fillId="0" borderId="0" xfId="2" applyFont="1"/>
    <xf numFmtId="9" fontId="5" fillId="0" borderId="0" xfId="2" applyFont="1"/>
    <xf numFmtId="9" fontId="0" fillId="0" borderId="0" xfId="2" applyFont="1"/>
    <xf numFmtId="9" fontId="5" fillId="0" borderId="0" xfId="0" applyNumberFormat="1" applyFont="1"/>
    <xf numFmtId="4" fontId="0" fillId="0" borderId="0" xfId="0" applyNumberFormat="1"/>
    <xf numFmtId="2" fontId="0" fillId="0" borderId="0" xfId="0" applyNumberFormat="1"/>
    <xf numFmtId="1" fontId="0" fillId="0" borderId="0" xfId="0" applyNumberFormat="1"/>
    <xf numFmtId="37" fontId="0" fillId="0" borderId="0" xfId="2" applyNumberFormat="1" applyFont="1"/>
    <xf numFmtId="9" fontId="19" fillId="0" borderId="0" xfId="2" applyFont="1"/>
    <xf numFmtId="0" fontId="19" fillId="0" borderId="0" xfId="0" applyFont="1"/>
    <xf numFmtId="0" fontId="1" fillId="0" borderId="2" xfId="6" applyBorder="1"/>
    <xf numFmtId="0" fontId="24" fillId="0" borderId="2" xfId="6" applyFont="1" applyBorder="1"/>
    <xf numFmtId="0" fontId="1" fillId="0" borderId="0" xfId="6"/>
    <xf numFmtId="3" fontId="1" fillId="0" borderId="0" xfId="6" applyNumberFormat="1"/>
    <xf numFmtId="38" fontId="1" fillId="0" borderId="0" xfId="6" applyNumberFormat="1"/>
    <xf numFmtId="10" fontId="1" fillId="0" borderId="0" xfId="7" applyNumberFormat="1" applyFont="1"/>
    <xf numFmtId="0" fontId="1" fillId="0" borderId="9" xfId="6" applyBorder="1"/>
    <xf numFmtId="10" fontId="1" fillId="0" borderId="9" xfId="7" applyNumberFormat="1" applyFont="1" applyBorder="1"/>
    <xf numFmtId="0" fontId="6" fillId="0" borderId="7" xfId="6" applyFont="1" applyBorder="1"/>
    <xf numFmtId="0" fontId="1" fillId="0" borderId="7" xfId="6" applyBorder="1"/>
    <xf numFmtId="10" fontId="1" fillId="0" borderId="7" xfId="6" applyNumberFormat="1" applyBorder="1"/>
    <xf numFmtId="10" fontId="1" fillId="0" borderId="0" xfId="6" applyNumberFormat="1"/>
    <xf numFmtId="0" fontId="6" fillId="0" borderId="0" xfId="6" applyFont="1"/>
    <xf numFmtId="0" fontId="6" fillId="0" borderId="7" xfId="6" applyFont="1" applyBorder="1" applyAlignment="1">
      <alignment vertical="center"/>
    </xf>
    <xf numFmtId="0" fontId="1" fillId="0" borderId="7" xfId="6" applyBorder="1" applyAlignment="1">
      <alignment vertical="center"/>
    </xf>
    <xf numFmtId="10" fontId="6" fillId="0" borderId="7" xfId="6" applyNumberFormat="1" applyFont="1" applyBorder="1" applyAlignment="1">
      <alignment vertical="center"/>
    </xf>
    <xf numFmtId="37" fontId="0" fillId="0" borderId="0" xfId="0" applyNumberFormat="1" applyAlignment="1">
      <alignment horizontal="right"/>
    </xf>
    <xf numFmtId="39" fontId="0" fillId="0" borderId="0" xfId="0" applyNumberFormat="1"/>
    <xf numFmtId="3" fontId="0" fillId="0" borderId="0" xfId="0" applyNumberFormat="1"/>
    <xf numFmtId="37" fontId="5" fillId="0" borderId="0" xfId="0" applyNumberFormat="1" applyFont="1" applyAlignment="1">
      <alignment horizontal="right"/>
    </xf>
    <xf numFmtId="37" fontId="16" fillId="0" borderId="0" xfId="4" applyNumberFormat="1" applyFont="1" applyAlignment="1">
      <alignment horizontal="right"/>
    </xf>
    <xf numFmtId="37" fontId="16" fillId="0" borderId="3" xfId="4" applyNumberFormat="1" applyFont="1" applyBorder="1" applyAlignment="1">
      <alignment horizontal="right"/>
    </xf>
    <xf numFmtId="37" fontId="1" fillId="0" borderId="0" xfId="2" applyNumberFormat="1" applyFont="1"/>
    <xf numFmtId="0" fontId="23" fillId="4" borderId="0" xfId="4" applyFont="1" applyFill="1" applyAlignment="1">
      <alignment horizontal="center" vertical="center"/>
    </xf>
    <xf numFmtId="0" fontId="4" fillId="4" borderId="0" xfId="6" applyFont="1" applyFill="1" applyAlignment="1">
      <alignment horizontal="center" vertical="center"/>
    </xf>
    <xf numFmtId="0" fontId="7" fillId="4" borderId="0" xfId="6" applyFont="1" applyFill="1" applyAlignment="1">
      <alignment horizontal="center" vertical="center"/>
    </xf>
    <xf numFmtId="9" fontId="17" fillId="0" borderId="0" xfId="5" applyNumberFormat="1" applyFont="1" applyProtection="1"/>
  </cellXfs>
  <cellStyles count="8">
    <cellStyle name="Currency" xfId="1" builtinId="4"/>
    <cellStyle name="Input" xfId="3" builtinId="20"/>
    <cellStyle name="Normal" xfId="0" builtinId="0"/>
    <cellStyle name="Normal 2" xfId="4" xr:uid="{1B521A16-D693-F243-AA7D-C94DB716C744}"/>
    <cellStyle name="Normal 2 2" xfId="6" xr:uid="{47528585-65D7-BC4A-BC09-5BF92B34D7FC}"/>
    <cellStyle name="Percent" xfId="2" builtinId="5"/>
    <cellStyle name="Percent 2" xfId="5" xr:uid="{4E6E822A-072A-3249-9006-C7E544990EA6}"/>
    <cellStyle name="Percent 2 2" xfId="7" xr:uid="{04819452-167F-F14C-BE2D-8C3C271F7E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13</xdr:col>
      <xdr:colOff>7055</xdr:colOff>
      <xdr:row>1</xdr:row>
      <xdr:rowOff>21166</xdr:rowOff>
    </xdr:from>
    <xdr:to>
      <xdr:col>13</xdr:col>
      <xdr:colOff>25400</xdr:colOff>
      <xdr:row>55</xdr:row>
      <xdr:rowOff>129822</xdr:rowOff>
    </xdr:to>
    <xdr:cxnSp macro="">
      <xdr:nvCxnSpPr>
        <xdr:cNvPr id="2" name="Straight Connector 1">
          <a:extLst>
            <a:ext uri="{FF2B5EF4-FFF2-40B4-BE49-F238E27FC236}">
              <a16:creationId xmlns:a16="http://schemas.microsoft.com/office/drawing/2014/main" id="{4C8D9EA3-A6F2-304B-AB9E-D53D4F295B4A}"/>
            </a:ext>
          </a:extLst>
        </xdr:cNvPr>
        <xdr:cNvCxnSpPr/>
      </xdr:nvCxnSpPr>
      <xdr:spPr>
        <a:xfrm>
          <a:off x="8655755" y="224366"/>
          <a:ext cx="18345" cy="10878256"/>
        </a:xfrm>
        <a:prstGeom prst="line">
          <a:avLst/>
        </a:prstGeom>
        <a:ln w="28575" cmpd="sng">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811645</xdr:colOff>
      <xdr:row>1</xdr:row>
      <xdr:rowOff>5773</xdr:rowOff>
    </xdr:from>
    <xdr:to>
      <xdr:col>25</xdr:col>
      <xdr:colOff>823191</xdr:colOff>
      <xdr:row>54</xdr:row>
      <xdr:rowOff>132773</xdr:rowOff>
    </xdr:to>
    <xdr:cxnSp macro="">
      <xdr:nvCxnSpPr>
        <xdr:cNvPr id="3" name="Straight Connector 2">
          <a:extLst>
            <a:ext uri="{FF2B5EF4-FFF2-40B4-BE49-F238E27FC236}">
              <a16:creationId xmlns:a16="http://schemas.microsoft.com/office/drawing/2014/main" id="{C29170E5-A1FA-EF44-858C-7D44255D66F5}"/>
            </a:ext>
          </a:extLst>
        </xdr:cNvPr>
        <xdr:cNvCxnSpPr/>
      </xdr:nvCxnSpPr>
      <xdr:spPr>
        <a:xfrm>
          <a:off x="19366345" y="208973"/>
          <a:ext cx="11546" cy="10693400"/>
        </a:xfrm>
        <a:prstGeom prst="line">
          <a:avLst/>
        </a:prstGeom>
        <a:ln w="28575" cmpd="sng">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8473" id="{82E18729-7D47-8346-ADFE-4E6D5E308D2A}" userId="S::c8473@c.of365.online::3950204f-c74f-44a5-9096-655dc20c1ab8"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https://www.bing.com/financeapi/forcetrigger?t=a23d9c&amp;q=XNYS%3aSPGI&amp;form=skydnc</v>
    <v>Learn more on Bing</v>
  </rv>
  <rv s="1">
    <v>0</v>
    <v>S&amp;P Global Inc. (XNYS:SPGI)</v>
    <v>2</v>
    <v>3</v>
    <v>Finance</v>
    <v>4</v>
    <v>en-US</v>
    <v>a23d9c</v>
    <v>268435456</v>
    <v>1</v>
    <v>Powered by Refinitiv</v>
    <v>423.54500000000002</v>
    <v>279.32</v>
    <v>1.0679000000000001</v>
    <v>-0.77</v>
    <v>-2.0939999999999999E-3</v>
    <v>USD</v>
    <v>S&amp;P Global Inc. is a provider of credit ratings, benchmarks, analytics and workflow solutions in the global capital, commodity and automotive markets. The Company comprises six operating divisions: S&amp;P Global Market Intelligence (Market Intelligence), S&amp;P Global Ratings (Ratings), S&amp;P Global Commodity Insights (Commodity Insights), S&amp;P Global Mobility (Mobility), S&amp;P Dow Jones Indices (Indices), and S&amp;P Global Engineering Solutions (Engineering Solutions). Its Ratings provides credit ratings, research and analytics to investors and other market participants. Its Market Intelligence consists of three business line: desktop, data management solutions and credit risk solutions. Its Indices is an index provider that maintains a range of indices to meet various investor needs. Its Mobility provides insights, forecasts and advisory services to automotive value chain. Its Commodity Insights is an independent provider of information and benchmark prices for the commodity and energy markets.</v>
    <v>22850</v>
    <v>New York Stock Exchange</v>
    <v>XNYS</v>
    <v>XNYS</v>
    <v>55 Water St, NEW YORK, NY, 10041-0004 US</v>
    <v>368.63810000000001</v>
    <v>Professional &amp; Commercial Services</v>
    <v>Stock</v>
    <v>44951.819879988281</v>
    <v>0</v>
    <v>360.41</v>
    <v>119552310000</v>
    <v>S&amp;P Global Inc.</v>
    <v>S&amp;P Global Inc.</v>
    <v>363</v>
    <v>30.745799999999999</v>
    <v>367.72</v>
    <v>366.95</v>
    <v>325800000</v>
    <v>SPGI</v>
    <v>S&amp;P Global Inc. (XNYS:SPGI)</v>
    <v>499341</v>
    <v>1444152</v>
    <v>1925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3-01-25T06:36:41.66" personId="{82E18729-7D47-8346-ADFE-4E6D5E308D2A}" id="{2268A04D-DF45-4B4C-94C1-00F566A3B854}">
    <text>S&amp;P acquired IHS Markit for $44B</text>
  </threadedComment>
  <threadedComment ref="N2" dT="2023-01-25T07:19:01.80" personId="{82E18729-7D47-8346-ADFE-4E6D5E308D2A}" id="{37637FB6-BA8D-0547-AEBB-62060655220A}">
    <text>S&amp;P investor day medium-term outlook: 2025/2026 target 6-9% organic revenue growth, 58-60% adjusted operating profit margin.
2022 guidence:
Revenue: over 30% increase
Operating margin: 45.7% - 46.7%
Tax rate: 26% - 27%
CapEx: 115 million</text>
  </threadedComment>
  <threadedComment ref="M8" dT="2023-01-25T06:35:53.01" personId="{82E18729-7D47-8346-ADFE-4E6D5E308D2A}" id="{3DD7DB3B-6406-C34D-A497-0941FBA60325}">
    <text>S&amp;P’s Engeineering Solutions is sold to KKR for 975m, no longer relevent</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25E2-22C8-3449-A036-F4E7B3C13005}">
  <dimension ref="A2:AA164"/>
  <sheetViews>
    <sheetView showGridLines="0" tabSelected="1" topLeftCell="D1" zoomScaleNormal="100" workbookViewId="0">
      <selection activeCell="H134" sqref="H134"/>
    </sheetView>
  </sheetViews>
  <sheetFormatPr baseColWidth="10" defaultColWidth="11.83203125" defaultRowHeight="16" customHeight="1" x14ac:dyDescent="0.2"/>
  <cols>
    <col min="1" max="1" width="4.83203125" style="5" customWidth="1"/>
    <col min="2" max="16384" width="11.83203125" style="5"/>
  </cols>
  <sheetData>
    <row r="2" spans="1:27" s="1" customFormat="1" ht="31" customHeight="1" thickBot="1" x14ac:dyDescent="0.35">
      <c r="B2" s="2" t="s">
        <v>114</v>
      </c>
      <c r="E2" s="3" t="s">
        <v>155</v>
      </c>
      <c r="F2" s="4"/>
      <c r="G2" s="4"/>
      <c r="H2" s="3" t="s">
        <v>156</v>
      </c>
      <c r="K2" s="3" t="s">
        <v>157</v>
      </c>
      <c r="N2" s="3" t="s">
        <v>158</v>
      </c>
    </row>
    <row r="4" spans="1:27" ht="16" customHeight="1" x14ac:dyDescent="0.2">
      <c r="B4" s="5" t="s">
        <v>0</v>
      </c>
      <c r="C4" s="6" t="s">
        <v>115</v>
      </c>
      <c r="E4" s="5" t="s">
        <v>1</v>
      </c>
      <c r="G4" s="7">
        <f ca="1">D130</f>
        <v>432.65643331401907</v>
      </c>
      <c r="I4" s="5" t="s">
        <v>2</v>
      </c>
      <c r="K4" s="7">
        <v>432.65643331401907</v>
      </c>
      <c r="M4" s="5" t="s">
        <v>3</v>
      </c>
      <c r="O4" s="8">
        <v>379.64866550169347</v>
      </c>
      <c r="Q4" s="5" t="s">
        <v>4</v>
      </c>
      <c r="S4" s="8">
        <f ca="1">G4*(1+((1/T116)^(1/10)-1))^10</f>
        <v>939.76971478508483</v>
      </c>
    </row>
    <row r="5" spans="1:27" ht="16" customHeight="1" x14ac:dyDescent="0.2">
      <c r="B5" s="5" t="s">
        <v>5</v>
      </c>
      <c r="C5" s="9">
        <v>44951</v>
      </c>
      <c r="E5" s="5" t="s">
        <v>6</v>
      </c>
      <c r="G5" s="10" cm="1">
        <f t="array" ref="G5">_FV('Financials + KPIs'!B1,"Price")</f>
        <v>366.95</v>
      </c>
      <c r="I5" s="5" t="s">
        <v>7</v>
      </c>
      <c r="K5" s="7">
        <v>488.80929140330755</v>
      </c>
      <c r="M5" s="5" t="s">
        <v>8</v>
      </c>
      <c r="O5" s="11">
        <f ca="1">G4/G5-1</f>
        <v>0.17906099826684585</v>
      </c>
      <c r="Q5" s="5" t="s">
        <v>9</v>
      </c>
      <c r="S5" s="11">
        <f ca="1">(S4/G5)^(1/10)-1</f>
        <v>9.8604706711786561E-2</v>
      </c>
    </row>
    <row r="7" spans="1:27" ht="16" customHeight="1" x14ac:dyDescent="0.2">
      <c r="A7" s="5" t="s">
        <v>10</v>
      </c>
      <c r="B7" s="12" t="s">
        <v>11</v>
      </c>
      <c r="C7" s="13"/>
      <c r="D7" s="13"/>
      <c r="E7" s="14" t="s">
        <v>12</v>
      </c>
      <c r="F7" s="13"/>
      <c r="G7" s="13"/>
      <c r="H7" s="13"/>
      <c r="I7" s="13"/>
      <c r="J7" s="15"/>
      <c r="K7" s="15"/>
      <c r="L7" s="15"/>
      <c r="M7" s="15"/>
      <c r="N7" s="15"/>
      <c r="O7" s="15"/>
      <c r="P7" s="15"/>
      <c r="Q7" s="15"/>
      <c r="R7" s="15"/>
      <c r="S7" s="15"/>
      <c r="T7" s="15"/>
      <c r="U7" s="15"/>
      <c r="V7"/>
      <c r="W7"/>
      <c r="X7"/>
      <c r="Y7"/>
      <c r="Z7"/>
      <c r="AA7"/>
    </row>
    <row r="8" spans="1:27" ht="16" customHeight="1" x14ac:dyDescent="0.2">
      <c r="B8" s="16" t="s">
        <v>13</v>
      </c>
      <c r="F8" s="16" t="s">
        <v>3</v>
      </c>
      <c r="J8" s="16" t="s">
        <v>14</v>
      </c>
      <c r="N8" s="16" t="s">
        <v>7</v>
      </c>
      <c r="R8" s="16" t="s">
        <v>15</v>
      </c>
      <c r="S8" s="17"/>
      <c r="T8" s="17"/>
    </row>
    <row r="9" spans="1:27" ht="16" customHeight="1" x14ac:dyDescent="0.2">
      <c r="B9" s="5" t="s">
        <v>116</v>
      </c>
      <c r="D9" s="18">
        <v>2</v>
      </c>
      <c r="F9" s="5" t="s">
        <v>141</v>
      </c>
      <c r="H9" s="19">
        <v>0.9</v>
      </c>
      <c r="J9" s="5" t="s">
        <v>141</v>
      </c>
      <c r="L9" s="20"/>
      <c r="N9" s="5" t="s">
        <v>141</v>
      </c>
      <c r="P9" s="19">
        <v>1.1000000000000001</v>
      </c>
      <c r="R9" s="5" t="s">
        <v>16</v>
      </c>
      <c r="S9" s="17"/>
      <c r="T9" s="21">
        <v>1387</v>
      </c>
    </row>
    <row r="10" spans="1:27" ht="16" customHeight="1" x14ac:dyDescent="0.2">
      <c r="F10" s="5" t="s">
        <v>142</v>
      </c>
      <c r="H10" s="19">
        <v>0.09</v>
      </c>
      <c r="J10" s="5" t="s">
        <v>142</v>
      </c>
      <c r="L10" s="19">
        <v>0.1</v>
      </c>
      <c r="N10" s="5" t="s">
        <v>142</v>
      </c>
      <c r="P10" s="19">
        <v>0.11</v>
      </c>
      <c r="R10" s="5" t="s">
        <v>17</v>
      </c>
      <c r="S10" s="17"/>
      <c r="T10" s="21">
        <v>1889</v>
      </c>
    </row>
    <row r="11" spans="1:27" ht="16" customHeight="1" x14ac:dyDescent="0.2">
      <c r="B11" s="17"/>
      <c r="C11" s="17"/>
      <c r="D11" s="17"/>
      <c r="F11" s="5" t="s">
        <v>150</v>
      </c>
      <c r="H11" s="19">
        <v>0.02</v>
      </c>
      <c r="J11" s="5" t="s">
        <v>150</v>
      </c>
      <c r="L11" s="19">
        <v>0.03</v>
      </c>
      <c r="N11" s="5" t="s">
        <v>150</v>
      </c>
      <c r="P11" s="19">
        <v>0.04</v>
      </c>
      <c r="R11" s="5" t="s">
        <v>18</v>
      </c>
      <c r="S11" s="17"/>
      <c r="T11" s="21">
        <v>10786</v>
      </c>
    </row>
    <row r="12" spans="1:27" ht="16" customHeight="1" x14ac:dyDescent="0.2">
      <c r="B12" s="5" t="s">
        <v>117</v>
      </c>
      <c r="D12" s="18">
        <v>2</v>
      </c>
      <c r="F12" s="5" t="s">
        <v>143</v>
      </c>
      <c r="H12" s="19">
        <v>0.8</v>
      </c>
      <c r="J12" s="5" t="s">
        <v>143</v>
      </c>
      <c r="L12" s="22"/>
      <c r="N12" s="5" t="s">
        <v>143</v>
      </c>
      <c r="P12" s="19">
        <v>1.2</v>
      </c>
      <c r="R12" s="5" t="s">
        <v>19</v>
      </c>
      <c r="S12" s="17"/>
      <c r="T12" s="21">
        <v>0</v>
      </c>
    </row>
    <row r="13" spans="1:27" ht="16" customHeight="1" x14ac:dyDescent="0.2">
      <c r="F13" s="5" t="s">
        <v>144</v>
      </c>
      <c r="H13" s="19">
        <v>7.0000000000000007E-2</v>
      </c>
      <c r="J13" s="5" t="s">
        <v>144</v>
      </c>
      <c r="L13" s="19">
        <v>0.09</v>
      </c>
      <c r="N13" s="5" t="s">
        <v>144</v>
      </c>
      <c r="P13" s="19">
        <v>0.11</v>
      </c>
      <c r="R13" s="5" t="s">
        <v>20</v>
      </c>
      <c r="S13" s="17"/>
      <c r="T13" s="21">
        <v>8063</v>
      </c>
    </row>
    <row r="14" spans="1:27" ht="16" customHeight="1" x14ac:dyDescent="0.2">
      <c r="F14" s="5" t="s">
        <v>151</v>
      </c>
      <c r="H14" s="19">
        <v>0.03</v>
      </c>
      <c r="J14" s="5" t="s">
        <v>151</v>
      </c>
      <c r="L14" s="19">
        <v>0.04</v>
      </c>
      <c r="N14" s="5" t="s">
        <v>151</v>
      </c>
      <c r="P14" s="19">
        <v>0.05</v>
      </c>
      <c r="R14" s="5" t="s">
        <v>21</v>
      </c>
      <c r="T14" s="21">
        <v>466</v>
      </c>
    </row>
    <row r="15" spans="1:27" ht="16" customHeight="1" x14ac:dyDescent="0.2">
      <c r="B15" s="5" t="s">
        <v>118</v>
      </c>
      <c r="D15" s="18">
        <v>2</v>
      </c>
      <c r="F15" s="5" t="s">
        <v>145</v>
      </c>
      <c r="H15" s="19">
        <v>0.8</v>
      </c>
      <c r="J15" s="5" t="s">
        <v>145</v>
      </c>
      <c r="L15"/>
      <c r="N15" s="5" t="s">
        <v>145</v>
      </c>
      <c r="P15" s="19">
        <v>1.2</v>
      </c>
      <c r="R15" s="5" t="s">
        <v>22</v>
      </c>
      <c r="S15" s="17"/>
      <c r="T15" s="23">
        <v>4.8500000000000001E-2</v>
      </c>
    </row>
    <row r="16" spans="1:27" ht="16" customHeight="1" x14ac:dyDescent="0.2">
      <c r="F16" s="5" t="s">
        <v>146</v>
      </c>
      <c r="H16" s="19">
        <v>0.06</v>
      </c>
      <c r="J16" s="5" t="s">
        <v>146</v>
      </c>
      <c r="L16" s="19">
        <v>0.08</v>
      </c>
      <c r="N16" s="5" t="s">
        <v>146</v>
      </c>
      <c r="P16" s="19">
        <v>0.09</v>
      </c>
      <c r="R16" s="5" t="s">
        <v>23</v>
      </c>
      <c r="T16" s="21">
        <v>297.3</v>
      </c>
    </row>
    <row r="17" spans="2:24" ht="16" customHeight="1" x14ac:dyDescent="0.2">
      <c r="F17" s="5" t="s">
        <v>152</v>
      </c>
      <c r="H17" s="19">
        <v>0.03</v>
      </c>
      <c r="J17" s="5" t="s">
        <v>152</v>
      </c>
      <c r="L17" s="19">
        <v>0.04</v>
      </c>
      <c r="N17" s="5" t="s">
        <v>152</v>
      </c>
      <c r="P17" s="19">
        <v>0.05</v>
      </c>
      <c r="R17"/>
      <c r="S17"/>
      <c r="T17"/>
    </row>
    <row r="18" spans="2:24" ht="16" customHeight="1" x14ac:dyDescent="0.2">
      <c r="B18" s="5" t="s">
        <v>119</v>
      </c>
      <c r="D18" s="18">
        <v>2</v>
      </c>
      <c r="F18" s="5" t="s">
        <v>147</v>
      </c>
      <c r="H18" s="19">
        <v>0.9</v>
      </c>
      <c r="J18" s="5" t="s">
        <v>147</v>
      </c>
      <c r="N18" s="5" t="s">
        <v>147</v>
      </c>
      <c r="P18" s="19">
        <v>1.1000000000000001</v>
      </c>
      <c r="R18" s="16" t="s">
        <v>24</v>
      </c>
      <c r="S18" s="17"/>
      <c r="T18" s="17"/>
    </row>
    <row r="19" spans="2:24" ht="16" customHeight="1" x14ac:dyDescent="0.2">
      <c r="F19" s="5" t="s">
        <v>148</v>
      </c>
      <c r="H19" s="19">
        <v>0.09</v>
      </c>
      <c r="J19" s="5" t="s">
        <v>148</v>
      </c>
      <c r="L19" s="19">
        <v>0.11</v>
      </c>
      <c r="N19" s="5" t="s">
        <v>148</v>
      </c>
      <c r="P19" s="19">
        <v>0.13</v>
      </c>
      <c r="R19" s="5" t="s">
        <v>25</v>
      </c>
      <c r="S19" s="17"/>
      <c r="T19" s="23">
        <v>3.5200000000000002E-2</v>
      </c>
    </row>
    <row r="20" spans="2:24" ht="16" customHeight="1" x14ac:dyDescent="0.2">
      <c r="F20" s="5" t="s">
        <v>153</v>
      </c>
      <c r="H20" s="19">
        <v>0.02</v>
      </c>
      <c r="J20" s="5" t="s">
        <v>153</v>
      </c>
      <c r="L20" s="19">
        <v>0.03</v>
      </c>
      <c r="N20" s="5" t="s">
        <v>153</v>
      </c>
      <c r="P20" s="19">
        <v>0.04</v>
      </c>
      <c r="R20" s="5" t="s">
        <v>26</v>
      </c>
      <c r="S20" s="17"/>
      <c r="T20" s="23">
        <v>5.11E-2</v>
      </c>
    </row>
    <row r="21" spans="2:24" ht="16" customHeight="1" x14ac:dyDescent="0.2">
      <c r="B21" s="5" t="s">
        <v>120</v>
      </c>
      <c r="D21" s="18">
        <v>2</v>
      </c>
      <c r="F21" s="5" t="s">
        <v>149</v>
      </c>
      <c r="H21" s="19">
        <v>1.1000000000000001</v>
      </c>
      <c r="J21" s="5" t="s">
        <v>149</v>
      </c>
      <c r="N21" s="5" t="s">
        <v>149</v>
      </c>
      <c r="P21" s="19">
        <v>0.9</v>
      </c>
      <c r="R21" s="5" t="s">
        <v>27</v>
      </c>
      <c r="T21" s="24">
        <v>1.0900000000000001</v>
      </c>
    </row>
    <row r="22" spans="2:24" ht="16" customHeight="1" x14ac:dyDescent="0.2">
      <c r="F22" s="5" t="s">
        <v>154</v>
      </c>
      <c r="H22" s="19">
        <v>0.03</v>
      </c>
      <c r="J22" s="5" t="s">
        <v>154</v>
      </c>
      <c r="L22" s="19">
        <v>0.04</v>
      </c>
      <c r="N22" s="5" t="s">
        <v>154</v>
      </c>
      <c r="P22" s="19">
        <v>0.05</v>
      </c>
      <c r="R22" s="5" t="s">
        <v>30</v>
      </c>
      <c r="S22" s="17"/>
      <c r="T22" s="23">
        <f>K115-1%</f>
        <v>7.5661605451078459E-2</v>
      </c>
    </row>
    <row r="23" spans="2:24" ht="16" customHeight="1" x14ac:dyDescent="0.2">
      <c r="B23" s="5" t="s">
        <v>28</v>
      </c>
      <c r="D23" s="18">
        <v>2</v>
      </c>
      <c r="F23" s="5" t="s">
        <v>29</v>
      </c>
      <c r="H23" s="19">
        <v>0.97</v>
      </c>
      <c r="J23" s="5" t="s">
        <v>29</v>
      </c>
      <c r="N23" s="5" t="s">
        <v>29</v>
      </c>
      <c r="P23" s="19">
        <v>1.03</v>
      </c>
    </row>
    <row r="24" spans="2:24" ht="16" customHeight="1" x14ac:dyDescent="0.2">
      <c r="F24" s="5" t="s">
        <v>31</v>
      </c>
      <c r="H24" s="19">
        <v>0.4</v>
      </c>
      <c r="J24" s="5" t="s">
        <v>31</v>
      </c>
      <c r="L24" s="19">
        <v>0.43</v>
      </c>
      <c r="N24" s="5" t="s">
        <v>31</v>
      </c>
      <c r="P24" s="19">
        <v>0.46</v>
      </c>
    </row>
    <row r="25" spans="2:24" ht="16" customHeight="1" x14ac:dyDescent="0.2">
      <c r="B25" s="5" t="s">
        <v>32</v>
      </c>
      <c r="F25" s="5" t="s">
        <v>32</v>
      </c>
      <c r="J25" s="5" t="s">
        <v>33</v>
      </c>
      <c r="L25" s="25">
        <v>0.21</v>
      </c>
      <c r="N25" s="5" t="s">
        <v>32</v>
      </c>
    </row>
    <row r="27" spans="2:24" ht="16" customHeight="1" x14ac:dyDescent="0.2">
      <c r="B27" s="5" t="s">
        <v>34</v>
      </c>
      <c r="D27" s="18">
        <v>2</v>
      </c>
      <c r="F27" s="5" t="s">
        <v>34</v>
      </c>
      <c r="H27" s="26">
        <f>L27-0.5%</f>
        <v>8.066160545107845E-2</v>
      </c>
      <c r="J27" s="5" t="s">
        <v>34</v>
      </c>
      <c r="L27" s="27">
        <f>WACC!F22</f>
        <v>8.5661605451078454E-2</v>
      </c>
      <c r="N27" s="5" t="s">
        <v>34</v>
      </c>
      <c r="P27" s="26">
        <f>L27+0.5%</f>
        <v>9.0661605451078459E-2</v>
      </c>
    </row>
    <row r="28" spans="2:24" ht="16" customHeight="1" x14ac:dyDescent="0.2">
      <c r="B28" s="5" t="s">
        <v>35</v>
      </c>
      <c r="D28" s="18">
        <v>2</v>
      </c>
      <c r="F28" s="5" t="s">
        <v>35</v>
      </c>
      <c r="H28" s="28">
        <f>L28-0.5%</f>
        <v>3.0000000000000002E-2</v>
      </c>
      <c r="J28" s="5" t="s">
        <v>35</v>
      </c>
      <c r="L28" s="28">
        <v>3.5000000000000003E-2</v>
      </c>
      <c r="N28" s="5" t="s">
        <v>35</v>
      </c>
      <c r="P28" s="28">
        <f>L28+0.5%</f>
        <v>0.04</v>
      </c>
    </row>
    <row r="29" spans="2:24" ht="16" customHeight="1" x14ac:dyDescent="0.2">
      <c r="B29" s="5" t="s">
        <v>36</v>
      </c>
      <c r="D29" s="18">
        <v>2</v>
      </c>
      <c r="F29" s="5" t="s">
        <v>36</v>
      </c>
      <c r="H29" s="29">
        <f>L29-1</f>
        <v>20</v>
      </c>
      <c r="I29" s="30"/>
      <c r="J29" s="30" t="s">
        <v>36</v>
      </c>
      <c r="K29" s="30"/>
      <c r="L29" s="29">
        <v>21</v>
      </c>
      <c r="M29" s="30"/>
      <c r="N29" s="30" t="s">
        <v>36</v>
      </c>
      <c r="O29" s="30"/>
      <c r="P29" s="29">
        <f>L29+1</f>
        <v>22</v>
      </c>
    </row>
    <row r="30" spans="2:24" ht="16" customHeight="1" x14ac:dyDescent="0.2">
      <c r="B30" s="17"/>
      <c r="C30" s="17"/>
      <c r="D30" s="17"/>
      <c r="E30" s="17"/>
      <c r="F30" s="17"/>
      <c r="G30" s="17"/>
      <c r="H30" s="17"/>
      <c r="I30" s="17"/>
      <c r="J30" s="17"/>
      <c r="K30" s="17"/>
      <c r="L30" s="17"/>
      <c r="M30" s="17"/>
      <c r="N30" s="17"/>
      <c r="O30" s="17"/>
      <c r="P30" s="17"/>
    </row>
    <row r="31" spans="2:24" s="17" customFormat="1" ht="16" customHeight="1" x14ac:dyDescent="0.2">
      <c r="B31" s="16" t="s">
        <v>37</v>
      </c>
      <c r="F31" s="16" t="s">
        <v>38</v>
      </c>
      <c r="V31" s="5"/>
      <c r="W31" s="5"/>
      <c r="X31" s="5"/>
    </row>
    <row r="32" spans="2:24" s="17" customFormat="1" ht="16" customHeight="1" x14ac:dyDescent="0.2">
      <c r="B32" s="5" t="s">
        <v>34</v>
      </c>
      <c r="D32" s="26">
        <f>CHOOSE(D27,H27,L27,P27,H32)</f>
        <v>8.5661605451078454E-2</v>
      </c>
      <c r="F32" s="5" t="s">
        <v>34</v>
      </c>
      <c r="G32" s="5"/>
      <c r="H32" s="23"/>
      <c r="V32" s="5"/>
      <c r="W32" s="5"/>
      <c r="X32" s="5"/>
    </row>
    <row r="33" spans="1:24" s="17" customFormat="1" ht="16" customHeight="1" x14ac:dyDescent="0.2">
      <c r="B33" s="5" t="s">
        <v>35</v>
      </c>
      <c r="D33" s="26">
        <f>CHOOSE(D28,H28,L28,P28,H33)</f>
        <v>3.5000000000000003E-2</v>
      </c>
      <c r="F33" s="5" t="s">
        <v>35</v>
      </c>
      <c r="G33" s="5"/>
      <c r="H33" s="31"/>
      <c r="V33" s="5"/>
      <c r="W33" s="5"/>
      <c r="X33" s="5"/>
    </row>
    <row r="34" spans="1:24" s="17" customFormat="1" ht="16" customHeight="1" x14ac:dyDescent="0.2">
      <c r="B34" s="5" t="s">
        <v>36</v>
      </c>
      <c r="D34" s="29">
        <f>CHOOSE(D29,H29,L29,P29,H34)</f>
        <v>21</v>
      </c>
      <c r="F34" s="30" t="s">
        <v>36</v>
      </c>
      <c r="G34" s="30"/>
      <c r="H34" s="32"/>
      <c r="V34" s="5"/>
    </row>
    <row r="36" spans="1:24" ht="16" customHeight="1" x14ac:dyDescent="0.2">
      <c r="A36" s="5" t="s">
        <v>10</v>
      </c>
      <c r="B36" s="12" t="s">
        <v>39</v>
      </c>
      <c r="C36" s="12"/>
      <c r="D36" s="12"/>
      <c r="E36" s="33">
        <v>2016</v>
      </c>
      <c r="F36" s="33">
        <f>E36+1</f>
        <v>2017</v>
      </c>
      <c r="G36" s="33">
        <f t="shared" ref="G36:J36" si="0">F36+1</f>
        <v>2018</v>
      </c>
      <c r="H36" s="33">
        <f t="shared" si="0"/>
        <v>2019</v>
      </c>
      <c r="I36" s="33">
        <f t="shared" si="0"/>
        <v>2020</v>
      </c>
      <c r="J36" s="33">
        <f t="shared" si="0"/>
        <v>2021</v>
      </c>
      <c r="K36" s="34">
        <v>2022</v>
      </c>
      <c r="L36" s="34">
        <f>K36+1</f>
        <v>2023</v>
      </c>
      <c r="M36" s="34">
        <f t="shared" ref="M36:U36" si="1">L36+1</f>
        <v>2024</v>
      </c>
      <c r="N36" s="34">
        <f t="shared" si="1"/>
        <v>2025</v>
      </c>
      <c r="O36" s="34">
        <f t="shared" si="1"/>
        <v>2026</v>
      </c>
      <c r="P36" s="34">
        <f t="shared" si="1"/>
        <v>2027</v>
      </c>
      <c r="Q36" s="34">
        <f t="shared" si="1"/>
        <v>2028</v>
      </c>
      <c r="R36" s="34">
        <f t="shared" si="1"/>
        <v>2029</v>
      </c>
      <c r="S36" s="34">
        <f t="shared" si="1"/>
        <v>2030</v>
      </c>
      <c r="T36" s="34">
        <f t="shared" si="1"/>
        <v>2031</v>
      </c>
      <c r="U36" s="34">
        <f t="shared" si="1"/>
        <v>2032</v>
      </c>
    </row>
    <row r="37" spans="1:24" ht="16" customHeight="1" x14ac:dyDescent="0.2">
      <c r="B37" s="12" t="s">
        <v>40</v>
      </c>
      <c r="C37" s="12"/>
      <c r="D37" s="12"/>
      <c r="E37" s="35">
        <f>EDATE(F37,-12)</f>
        <v>42735</v>
      </c>
      <c r="F37" s="35">
        <f t="shared" ref="F37:I37" si="2">EDATE(G37,-12)</f>
        <v>43100</v>
      </c>
      <c r="G37" s="35">
        <f t="shared" si="2"/>
        <v>43465</v>
      </c>
      <c r="H37" s="35">
        <f t="shared" si="2"/>
        <v>43830</v>
      </c>
      <c r="I37" s="35">
        <f t="shared" si="2"/>
        <v>44196</v>
      </c>
      <c r="J37" s="35">
        <f>EDATE(K37,-12)</f>
        <v>44561</v>
      </c>
      <c r="K37" s="35">
        <v>44926</v>
      </c>
      <c r="L37" s="35">
        <f>EDATE(K37,12)</f>
        <v>45291</v>
      </c>
      <c r="M37" s="35">
        <f t="shared" ref="M37:U37" si="3">EDATE(L37,12)</f>
        <v>45657</v>
      </c>
      <c r="N37" s="35">
        <f t="shared" si="3"/>
        <v>46022</v>
      </c>
      <c r="O37" s="35">
        <f t="shared" si="3"/>
        <v>46387</v>
      </c>
      <c r="P37" s="35">
        <f t="shared" si="3"/>
        <v>46752</v>
      </c>
      <c r="Q37" s="35">
        <f t="shared" si="3"/>
        <v>47118</v>
      </c>
      <c r="R37" s="35">
        <f t="shared" si="3"/>
        <v>47483</v>
      </c>
      <c r="S37" s="35">
        <f t="shared" si="3"/>
        <v>47848</v>
      </c>
      <c r="T37" s="35">
        <f t="shared" si="3"/>
        <v>48213</v>
      </c>
      <c r="U37" s="35">
        <f t="shared" si="3"/>
        <v>48579</v>
      </c>
    </row>
    <row r="38" spans="1:24" ht="16" customHeight="1" x14ac:dyDescent="0.2">
      <c r="B38" s="16" t="s">
        <v>116</v>
      </c>
      <c r="E38" s="36">
        <f>'Financials + KPIs'!U3</f>
        <v>1661</v>
      </c>
      <c r="F38" s="36">
        <f>'Financials + KPIs'!V3</f>
        <v>1683</v>
      </c>
      <c r="G38" s="36">
        <f>'Financials + KPIs'!W3</f>
        <v>1833</v>
      </c>
      <c r="H38" s="36">
        <f>'Financials + KPIs'!X3</f>
        <v>1959</v>
      </c>
      <c r="I38" s="36">
        <f>'Financials + KPIs'!Y3</f>
        <v>2106</v>
      </c>
      <c r="J38" s="37">
        <f>'Financials + KPIs'!Z3</f>
        <v>2247</v>
      </c>
      <c r="K38" s="38">
        <f ca="1">J38*(1+K39)</f>
        <v>3894.4</v>
      </c>
      <c r="L38" s="38">
        <f t="shared" ref="L38:U38" ca="1" si="4">K38*(1+L39)</f>
        <v>4706.3580000000002</v>
      </c>
      <c r="M38" s="38">
        <f t="shared" ca="1" si="4"/>
        <v>5176.9938000000002</v>
      </c>
      <c r="N38" s="38">
        <f t="shared" ca="1" si="4"/>
        <v>5649.3944842500005</v>
      </c>
      <c r="O38" s="38">
        <f t="shared" ca="1" si="4"/>
        <v>6115.4695292006254</v>
      </c>
      <c r="P38" s="38">
        <f t="shared" ca="1" si="4"/>
        <v>6566.4854069791718</v>
      </c>
      <c r="Q38" s="38">
        <f t="shared" ca="1" si="4"/>
        <v>6993.3069584328177</v>
      </c>
      <c r="R38" s="38">
        <f t="shared" ca="1" si="4"/>
        <v>7386.680474844663</v>
      </c>
      <c r="S38" s="38">
        <f t="shared" ca="1" si="4"/>
        <v>7737.5477973997831</v>
      </c>
      <c r="T38" s="38">
        <f t="shared" ca="1" si="4"/>
        <v>8037.3777745490252</v>
      </c>
      <c r="U38" s="38">
        <f t="shared" ca="1" si="4"/>
        <v>8278.4991077854957</v>
      </c>
    </row>
    <row r="39" spans="1:24" s="39" customFormat="1" ht="16" customHeight="1" x14ac:dyDescent="0.2">
      <c r="B39" s="39" t="s">
        <v>41</v>
      </c>
      <c r="F39" s="40">
        <f t="shared" ref="F39:H39" si="5">F38/E38-1</f>
        <v>1.3245033112582849E-2</v>
      </c>
      <c r="G39" s="40">
        <f t="shared" si="5"/>
        <v>8.9126559714794995E-2</v>
      </c>
      <c r="H39" s="40">
        <f t="shared" si="5"/>
        <v>6.8739770867430439E-2</v>
      </c>
      <c r="I39" s="40">
        <f>I38/H38-1</f>
        <v>7.5038284839203717E-2</v>
      </c>
      <c r="J39" s="41">
        <f>J38/I38-1</f>
        <v>6.695156695156701E-2</v>
      </c>
      <c r="K39" s="40">
        <f ca="1">OFFSET(K39,$D$9,0)</f>
        <v>0.73315531820204716</v>
      </c>
      <c r="L39" s="40">
        <f t="shared" ref="L39:U39" ca="1" si="6">OFFSET(L39,$D$9,0)</f>
        <v>0.20849373459326204</v>
      </c>
      <c r="M39" s="40">
        <f t="shared" ca="1" si="6"/>
        <v>0.1</v>
      </c>
      <c r="N39" s="40">
        <f t="shared" ca="1" si="6"/>
        <v>9.1249999999999998E-2</v>
      </c>
      <c r="O39" s="40">
        <f t="shared" ca="1" si="6"/>
        <v>8.249999999999999E-2</v>
      </c>
      <c r="P39" s="40">
        <f t="shared" ca="1" si="6"/>
        <v>7.3749999999999982E-2</v>
      </c>
      <c r="Q39" s="40">
        <f t="shared" ca="1" si="6"/>
        <v>6.4999999999999974E-2</v>
      </c>
      <c r="R39" s="40">
        <f t="shared" ca="1" si="6"/>
        <v>5.6249999999999974E-2</v>
      </c>
      <c r="S39" s="40">
        <f t="shared" ca="1" si="6"/>
        <v>4.7499999999999973E-2</v>
      </c>
      <c r="T39" s="40">
        <f t="shared" ca="1" si="6"/>
        <v>3.8749999999999972E-2</v>
      </c>
      <c r="U39" s="40">
        <f t="shared" ca="1" si="6"/>
        <v>0.03</v>
      </c>
    </row>
    <row r="40" spans="1:24" ht="16" customHeight="1" x14ac:dyDescent="0.2">
      <c r="B40" s="5" t="s">
        <v>3</v>
      </c>
      <c r="J40" s="42"/>
      <c r="K40" s="43">
        <f>K41</f>
        <v>0.73315531820204716</v>
      </c>
      <c r="L40" s="44">
        <f>L41*H9</f>
        <v>0.18764436113393584</v>
      </c>
      <c r="M40" s="44">
        <f>H10</f>
        <v>0.09</v>
      </c>
      <c r="N40" s="45">
        <f>M40-($M$40-$U$40)/($U$36-$M$36)</f>
        <v>8.1250000000000003E-2</v>
      </c>
      <c r="O40" s="45">
        <f t="shared" ref="O40:T40" si="7">N40-($M$40-$U$40)/($U$36-$M$36)</f>
        <v>7.2500000000000009E-2</v>
      </c>
      <c r="P40" s="45">
        <f t="shared" si="7"/>
        <v>6.3750000000000015E-2</v>
      </c>
      <c r="Q40" s="45">
        <f t="shared" si="7"/>
        <v>5.5000000000000014E-2</v>
      </c>
      <c r="R40" s="45">
        <f t="shared" si="7"/>
        <v>4.6250000000000013E-2</v>
      </c>
      <c r="S40" s="45">
        <f t="shared" si="7"/>
        <v>3.7500000000000012E-2</v>
      </c>
      <c r="T40" s="45">
        <f t="shared" si="7"/>
        <v>2.8750000000000012E-2</v>
      </c>
      <c r="U40" s="44">
        <f>H11</f>
        <v>0.02</v>
      </c>
    </row>
    <row r="41" spans="1:24" ht="16" customHeight="1" x14ac:dyDescent="0.2">
      <c r="B41" s="5" t="s">
        <v>14</v>
      </c>
      <c r="J41" s="46"/>
      <c r="K41" s="47">
        <f>'Financials + KPIs'!AA19</f>
        <v>0.73315531820204716</v>
      </c>
      <c r="L41" s="48">
        <f>'Financials + KPIs'!AB19</f>
        <v>0.20849373459326204</v>
      </c>
      <c r="M41" s="44">
        <f>L10</f>
        <v>0.1</v>
      </c>
      <c r="N41" s="45">
        <f>M41-($M$41-$U$41)/($U$36-$M$36)</f>
        <v>9.1249999999999998E-2</v>
      </c>
      <c r="O41" s="45">
        <f t="shared" ref="O41:T41" si="8">N41-($M$41-$U$41)/($U$36-$M$36)</f>
        <v>8.249999999999999E-2</v>
      </c>
      <c r="P41" s="45">
        <f t="shared" si="8"/>
        <v>7.3749999999999982E-2</v>
      </c>
      <c r="Q41" s="45">
        <f t="shared" si="8"/>
        <v>6.4999999999999974E-2</v>
      </c>
      <c r="R41" s="45">
        <f t="shared" si="8"/>
        <v>5.6249999999999974E-2</v>
      </c>
      <c r="S41" s="45">
        <f t="shared" si="8"/>
        <v>4.7499999999999973E-2</v>
      </c>
      <c r="T41" s="45">
        <f t="shared" si="8"/>
        <v>3.8749999999999972E-2</v>
      </c>
      <c r="U41" s="44">
        <f>L11</f>
        <v>0.03</v>
      </c>
    </row>
    <row r="42" spans="1:24" ht="16" customHeight="1" x14ac:dyDescent="0.2">
      <c r="B42" s="5" t="s">
        <v>42</v>
      </c>
      <c r="J42" s="46"/>
      <c r="K42" s="43">
        <f>K41</f>
        <v>0.73315531820204716</v>
      </c>
      <c r="L42" s="44">
        <f>L41*P9</f>
        <v>0.22934310805258826</v>
      </c>
      <c r="M42" s="44">
        <f>P10</f>
        <v>0.11</v>
      </c>
      <c r="N42" s="45">
        <f>M42-($M$42-$U$42)/($U$36-$M$36)</f>
        <v>0.10125000000000001</v>
      </c>
      <c r="O42" s="45">
        <f t="shared" ref="O42:T42" si="9">N42-($M$42-$U$42)/($U$36-$M$36)</f>
        <v>9.2499999999999999E-2</v>
      </c>
      <c r="P42" s="45">
        <f t="shared" si="9"/>
        <v>8.3749999999999991E-2</v>
      </c>
      <c r="Q42" s="45">
        <f t="shared" si="9"/>
        <v>7.4999999999999983E-2</v>
      </c>
      <c r="R42" s="45">
        <f t="shared" si="9"/>
        <v>6.6249999999999976E-2</v>
      </c>
      <c r="S42" s="45">
        <f t="shared" si="9"/>
        <v>5.7499999999999975E-2</v>
      </c>
      <c r="T42" s="45">
        <f t="shared" si="9"/>
        <v>4.8749999999999974E-2</v>
      </c>
      <c r="U42" s="44">
        <f>P11</f>
        <v>0.04</v>
      </c>
    </row>
    <row r="43" spans="1:24" ht="16" customHeight="1" x14ac:dyDescent="0.2">
      <c r="B43" s="5" t="s">
        <v>38</v>
      </c>
      <c r="J43" s="46"/>
      <c r="K43" s="49"/>
      <c r="L43" s="50"/>
      <c r="M43" s="50"/>
      <c r="N43" s="50"/>
      <c r="O43" s="50"/>
      <c r="P43" s="50"/>
      <c r="Q43" s="50"/>
      <c r="R43" s="50"/>
      <c r="S43" s="50"/>
      <c r="T43" s="50"/>
      <c r="U43" s="50"/>
    </row>
    <row r="44" spans="1:24" ht="16" customHeight="1" x14ac:dyDescent="0.2">
      <c r="J44" s="46"/>
    </row>
    <row r="45" spans="1:24" ht="16" customHeight="1" x14ac:dyDescent="0.2">
      <c r="B45" s="16" t="s">
        <v>117</v>
      </c>
      <c r="E45" s="36">
        <f>'Financials + KPIs'!U4</f>
        <v>2535</v>
      </c>
      <c r="F45" s="36">
        <f>'Financials + KPIs'!V4</f>
        <v>2988</v>
      </c>
      <c r="G45" s="36">
        <f>'Financials + KPIs'!W4</f>
        <v>2883</v>
      </c>
      <c r="H45" s="36">
        <f>'Financials + KPIs'!X4</f>
        <v>3106</v>
      </c>
      <c r="I45" s="36">
        <f>'Financials + KPIs'!Y4</f>
        <v>3606</v>
      </c>
      <c r="J45" s="37">
        <f>'Financials + KPIs'!Z4</f>
        <v>4097</v>
      </c>
      <c r="K45" s="51">
        <f ca="1">J45*(1+K46)</f>
        <v>3146.9</v>
      </c>
      <c r="L45" s="38">
        <f t="shared" ref="L45:U45" ca="1" si="10">K45*(1+L46)</f>
        <v>2987.6860000000001</v>
      </c>
      <c r="M45" s="38">
        <f t="shared" ca="1" si="10"/>
        <v>3256.5777400000002</v>
      </c>
      <c r="N45" s="38">
        <f t="shared" ca="1" si="10"/>
        <v>3529.3161257250003</v>
      </c>
      <c r="O45" s="38">
        <f t="shared" ca="1" si="10"/>
        <v>3802.8381254686874</v>
      </c>
      <c r="P45" s="38">
        <f t="shared" ca="1" si="10"/>
        <v>4073.7903419083314</v>
      </c>
      <c r="Q45" s="38">
        <f t="shared" ca="1" si="10"/>
        <v>4338.5867141323724</v>
      </c>
      <c r="R45" s="38">
        <f t="shared" ca="1" si="10"/>
        <v>4593.4786835876494</v>
      </c>
      <c r="S45" s="38">
        <f t="shared" ca="1" si="10"/>
        <v>4834.6363144760007</v>
      </c>
      <c r="T45" s="38">
        <f t="shared" ca="1" si="10"/>
        <v>5058.2382440205156</v>
      </c>
      <c r="U45" s="38">
        <f t="shared" ca="1" si="10"/>
        <v>5260.5677737813367</v>
      </c>
    </row>
    <row r="46" spans="1:24" s="39" customFormat="1" ht="16" customHeight="1" x14ac:dyDescent="0.2">
      <c r="B46" s="39" t="s">
        <v>41</v>
      </c>
      <c r="F46" s="40">
        <f>F45/E45-1</f>
        <v>0.17869822485207099</v>
      </c>
      <c r="G46" s="40">
        <f t="shared" ref="G46:H46" si="11">G45/F45-1</f>
        <v>-3.5140562248995977E-2</v>
      </c>
      <c r="H46" s="40">
        <f t="shared" si="11"/>
        <v>7.7349982656954586E-2</v>
      </c>
      <c r="I46" s="40">
        <f>I45/H45-1</f>
        <v>0.16097875080489366</v>
      </c>
      <c r="J46" s="41">
        <f>J45/I45-1</f>
        <v>0.13616195230171946</v>
      </c>
      <c r="K46" s="40">
        <f ca="1">OFFSET(K46,$D$12,0)</f>
        <v>-0.2319013912618989</v>
      </c>
      <c r="L46" s="40">
        <f ca="1">OFFSET(L46,$D$12,0)</f>
        <v>-5.0593917823890111E-2</v>
      </c>
      <c r="M46" s="40">
        <f t="shared" ref="M46:U46" ca="1" si="12">OFFSET(M46,$D$12,0)</f>
        <v>0.09</v>
      </c>
      <c r="N46" s="40">
        <f t="shared" ca="1" si="12"/>
        <v>8.3749999999999991E-2</v>
      </c>
      <c r="O46" s="40">
        <f t="shared" ca="1" si="12"/>
        <v>7.7499999999999986E-2</v>
      </c>
      <c r="P46" s="40">
        <f t="shared" ca="1" si="12"/>
        <v>7.124999999999998E-2</v>
      </c>
      <c r="Q46" s="40">
        <f t="shared" ca="1" si="12"/>
        <v>6.4999999999999974E-2</v>
      </c>
      <c r="R46" s="40">
        <f t="shared" ca="1" si="12"/>
        <v>5.8749999999999976E-2</v>
      </c>
      <c r="S46" s="40">
        <f t="shared" ca="1" si="12"/>
        <v>5.2499999999999977E-2</v>
      </c>
      <c r="T46" s="40">
        <f t="shared" ca="1" si="12"/>
        <v>4.6249999999999979E-2</v>
      </c>
      <c r="U46" s="40">
        <f t="shared" ca="1" si="12"/>
        <v>0.04</v>
      </c>
    </row>
    <row r="47" spans="1:24" ht="16" customHeight="1" x14ac:dyDescent="0.2">
      <c r="B47" s="5" t="s">
        <v>3</v>
      </c>
      <c r="J47" s="42"/>
      <c r="K47" s="43">
        <f>K48</f>
        <v>-0.2319013912618989</v>
      </c>
      <c r="L47" s="44">
        <f>L48*H12</f>
        <v>-4.0475134259112089E-2</v>
      </c>
      <c r="M47" s="44">
        <f>H13</f>
        <v>7.0000000000000007E-2</v>
      </c>
      <c r="N47" s="45">
        <f>M47-($M$47-$U$47)/($U$36-$M$36)</f>
        <v>6.5000000000000002E-2</v>
      </c>
      <c r="O47" s="45">
        <f t="shared" ref="O47:T47" si="13">N47-($M$47-$U$47)/($U$36-$M$36)</f>
        <v>0.06</v>
      </c>
      <c r="P47" s="45">
        <f t="shared" si="13"/>
        <v>5.4999999999999993E-2</v>
      </c>
      <c r="Q47" s="45">
        <f t="shared" si="13"/>
        <v>4.9999999999999989E-2</v>
      </c>
      <c r="R47" s="45">
        <f t="shared" si="13"/>
        <v>4.4999999999999984E-2</v>
      </c>
      <c r="S47" s="45">
        <f t="shared" si="13"/>
        <v>3.999999999999998E-2</v>
      </c>
      <c r="T47" s="45">
        <f t="shared" si="13"/>
        <v>3.4999999999999976E-2</v>
      </c>
      <c r="U47" s="44">
        <f>H14</f>
        <v>0.03</v>
      </c>
    </row>
    <row r="48" spans="1:24" ht="16" customHeight="1" x14ac:dyDescent="0.2">
      <c r="B48" s="5" t="s">
        <v>14</v>
      </c>
      <c r="J48" s="46"/>
      <c r="K48" s="47">
        <f>'Financials + KPIs'!AA20</f>
        <v>-0.2319013912618989</v>
      </c>
      <c r="L48" s="48">
        <f>'Financials + KPIs'!AB20</f>
        <v>-5.0593917823890111E-2</v>
      </c>
      <c r="M48" s="44">
        <f>L13</f>
        <v>0.09</v>
      </c>
      <c r="N48" s="45">
        <f>M48-($M$48-$U$48)/($U$36-$M$36)</f>
        <v>8.3749999999999991E-2</v>
      </c>
      <c r="O48" s="45">
        <f t="shared" ref="O48:T48" si="14">N48-($M$48-$U$48)/($U$36-$M$36)</f>
        <v>7.7499999999999986E-2</v>
      </c>
      <c r="P48" s="45">
        <f t="shared" si="14"/>
        <v>7.124999999999998E-2</v>
      </c>
      <c r="Q48" s="45">
        <f t="shared" si="14"/>
        <v>6.4999999999999974E-2</v>
      </c>
      <c r="R48" s="45">
        <f t="shared" si="14"/>
        <v>5.8749999999999976E-2</v>
      </c>
      <c r="S48" s="45">
        <f t="shared" si="14"/>
        <v>5.2499999999999977E-2</v>
      </c>
      <c r="T48" s="45">
        <f t="shared" si="14"/>
        <v>4.6249999999999979E-2</v>
      </c>
      <c r="U48" s="44">
        <f>L14</f>
        <v>0.04</v>
      </c>
    </row>
    <row r="49" spans="2:21" ht="16" customHeight="1" x14ac:dyDescent="0.2">
      <c r="B49" s="5" t="s">
        <v>42</v>
      </c>
      <c r="J49" s="46"/>
      <c r="K49" s="43">
        <f>K48</f>
        <v>-0.2319013912618989</v>
      </c>
      <c r="L49" s="44">
        <f>L48*P12</f>
        <v>-6.0712701388668133E-2</v>
      </c>
      <c r="M49" s="44">
        <f>P13</f>
        <v>0.11</v>
      </c>
      <c r="N49" s="45">
        <f>M49-($M$49-$U$49)/($U$36-$M$36)</f>
        <v>0.10250000000000001</v>
      </c>
      <c r="O49" s="45">
        <f t="shared" ref="O49:T49" si="15">N49-($M$49-$U$49)/($U$36-$M$36)</f>
        <v>9.5000000000000001E-2</v>
      </c>
      <c r="P49" s="45">
        <f t="shared" si="15"/>
        <v>8.7499999999999994E-2</v>
      </c>
      <c r="Q49" s="45">
        <f t="shared" si="15"/>
        <v>7.9999999999999988E-2</v>
      </c>
      <c r="R49" s="45">
        <f t="shared" si="15"/>
        <v>7.2499999999999981E-2</v>
      </c>
      <c r="S49" s="45">
        <f t="shared" si="15"/>
        <v>6.4999999999999974E-2</v>
      </c>
      <c r="T49" s="45">
        <f t="shared" si="15"/>
        <v>5.7499999999999975E-2</v>
      </c>
      <c r="U49" s="44">
        <f>P14</f>
        <v>0.05</v>
      </c>
    </row>
    <row r="50" spans="2:21" ht="16" customHeight="1" x14ac:dyDescent="0.2">
      <c r="B50" s="5" t="s">
        <v>38</v>
      </c>
      <c r="J50" s="46"/>
      <c r="K50" s="49"/>
      <c r="L50" s="50"/>
      <c r="M50" s="50"/>
      <c r="N50" s="50"/>
      <c r="O50" s="50"/>
      <c r="P50" s="50"/>
      <c r="Q50" s="50"/>
      <c r="R50" s="50"/>
      <c r="S50" s="50"/>
      <c r="T50" s="50"/>
      <c r="U50" s="50"/>
    </row>
    <row r="51" spans="2:21" ht="16" customHeight="1" x14ac:dyDescent="0.2">
      <c r="J51" s="46"/>
    </row>
    <row r="52" spans="2:21" ht="16" customHeight="1" x14ac:dyDescent="0.2">
      <c r="B52" s="16" t="s">
        <v>118</v>
      </c>
      <c r="E52" s="36">
        <f>'Financials + KPIs'!U5</f>
        <v>925</v>
      </c>
      <c r="F52" s="36">
        <f>'Financials + KPIs'!V5</f>
        <v>774</v>
      </c>
      <c r="G52" s="36">
        <f>'Financials + KPIs'!W5</f>
        <v>815</v>
      </c>
      <c r="H52" s="36">
        <f>'Financials + KPIs'!X5</f>
        <v>844</v>
      </c>
      <c r="I52" s="36">
        <f>'Financials + KPIs'!Y5</f>
        <v>878</v>
      </c>
      <c r="J52" s="37">
        <f>'Financials + KPIs'!Z5</f>
        <v>950</v>
      </c>
      <c r="K52" s="51">
        <f ca="1">J52*(1+K53)</f>
        <v>1567.95</v>
      </c>
      <c r="L52" s="38">
        <f t="shared" ref="L52:U52" ca="1" si="16">K52*(1+L53)</f>
        <v>1874.5694999999996</v>
      </c>
      <c r="M52" s="38">
        <f t="shared" ca="1" si="16"/>
        <v>2024.5350599999997</v>
      </c>
      <c r="N52" s="38">
        <f t="shared" ca="1" si="16"/>
        <v>2176.3751894999996</v>
      </c>
      <c r="O52" s="38">
        <f t="shared" ca="1" si="16"/>
        <v>2328.7214527649999</v>
      </c>
      <c r="P52" s="38">
        <f t="shared" ca="1" si="16"/>
        <v>2480.0883471947245</v>
      </c>
      <c r="Q52" s="38">
        <f t="shared" ca="1" si="16"/>
        <v>2628.8936480264083</v>
      </c>
      <c r="R52" s="38">
        <f t="shared" ca="1" si="16"/>
        <v>2773.4827986678606</v>
      </c>
      <c r="S52" s="38">
        <f t="shared" ca="1" si="16"/>
        <v>2912.1569386012538</v>
      </c>
      <c r="T52" s="38">
        <f t="shared" ca="1" si="16"/>
        <v>3043.2040008383101</v>
      </c>
      <c r="U52" s="38">
        <f t="shared" ca="1" si="16"/>
        <v>3164.9321608718428</v>
      </c>
    </row>
    <row r="53" spans="2:21" s="39" customFormat="1" ht="16" customHeight="1" x14ac:dyDescent="0.2">
      <c r="B53" s="39" t="s">
        <v>41</v>
      </c>
      <c r="F53" s="40">
        <f t="shared" ref="F53:H53" si="17">F52/E52-1</f>
        <v>-0.16324324324324324</v>
      </c>
      <c r="G53" s="40">
        <f t="shared" si="17"/>
        <v>5.2971576227390127E-2</v>
      </c>
      <c r="H53" s="40">
        <f t="shared" si="17"/>
        <v>3.5582822085889587E-2</v>
      </c>
      <c r="I53" s="40">
        <f>I52/H52-1</f>
        <v>4.0284360189573487E-2</v>
      </c>
      <c r="J53" s="41">
        <f>J52/I52-1</f>
        <v>8.2004555808655955E-2</v>
      </c>
      <c r="K53" s="40">
        <f ca="1">OFFSET(K53,$D$15,0)</f>
        <v>0.65047368421052632</v>
      </c>
      <c r="L53" s="40">
        <f t="shared" ref="L53:U53" ca="1" si="18">OFFSET(L53,$D$15,0)</f>
        <v>0.1955543863005833</v>
      </c>
      <c r="M53" s="40">
        <f t="shared" ca="1" si="18"/>
        <v>0.08</v>
      </c>
      <c r="N53" s="40">
        <f t="shared" ca="1" si="18"/>
        <v>7.4999999999999997E-2</v>
      </c>
      <c r="O53" s="40">
        <f t="shared" ca="1" si="18"/>
        <v>6.9999999999999993E-2</v>
      </c>
      <c r="P53" s="40">
        <f t="shared" ca="1" si="18"/>
        <v>6.4999999999999988E-2</v>
      </c>
      <c r="Q53" s="40">
        <f t="shared" ca="1" si="18"/>
        <v>5.9999999999999991E-2</v>
      </c>
      <c r="R53" s="40">
        <f t="shared" ca="1" si="18"/>
        <v>5.4999999999999993E-2</v>
      </c>
      <c r="S53" s="40">
        <f t="shared" ca="1" si="18"/>
        <v>4.9999999999999996E-2</v>
      </c>
      <c r="T53" s="40">
        <f t="shared" ca="1" si="18"/>
        <v>4.4999999999999998E-2</v>
      </c>
      <c r="U53" s="40">
        <f t="shared" ca="1" si="18"/>
        <v>0.04</v>
      </c>
    </row>
    <row r="54" spans="2:21" ht="16" customHeight="1" x14ac:dyDescent="0.2">
      <c r="B54" s="5" t="s">
        <v>3</v>
      </c>
      <c r="J54" s="42"/>
      <c r="K54" s="43">
        <f>K55</f>
        <v>0.65047368421052632</v>
      </c>
      <c r="L54" s="44">
        <f>L55*H15</f>
        <v>0.15644350904046667</v>
      </c>
      <c r="M54" s="44">
        <f>H16</f>
        <v>0.06</v>
      </c>
      <c r="N54" s="45">
        <f>M54-($M$54-$U$54)/($U$36-$M$36)</f>
        <v>5.6249999999999994E-2</v>
      </c>
      <c r="O54" s="45">
        <f t="shared" ref="O54:T54" si="19">N54-($M$54-$U$54)/($U$36-$M$36)</f>
        <v>5.2499999999999991E-2</v>
      </c>
      <c r="P54" s="45">
        <f t="shared" si="19"/>
        <v>4.8749999999999988E-2</v>
      </c>
      <c r="Q54" s="45">
        <f t="shared" si="19"/>
        <v>4.4999999999999984E-2</v>
      </c>
      <c r="R54" s="45">
        <f t="shared" si="19"/>
        <v>4.1249999999999981E-2</v>
      </c>
      <c r="S54" s="45">
        <f t="shared" si="19"/>
        <v>3.7499999999999978E-2</v>
      </c>
      <c r="T54" s="45">
        <f t="shared" si="19"/>
        <v>3.3749999999999974E-2</v>
      </c>
      <c r="U54" s="44">
        <f>H17</f>
        <v>0.03</v>
      </c>
    </row>
    <row r="55" spans="2:21" ht="16" customHeight="1" x14ac:dyDescent="0.2">
      <c r="B55" s="5" t="s">
        <v>14</v>
      </c>
      <c r="J55" s="46"/>
      <c r="K55" s="47">
        <f>'Financials + KPIs'!AA21</f>
        <v>0.65047368421052632</v>
      </c>
      <c r="L55" s="48">
        <f>'Financials + KPIs'!AB21</f>
        <v>0.1955543863005833</v>
      </c>
      <c r="M55" s="44">
        <f>L16</f>
        <v>0.08</v>
      </c>
      <c r="N55" s="45">
        <f>M55-($M$55-$U$55)/($U$36-$M$36)</f>
        <v>7.4999999999999997E-2</v>
      </c>
      <c r="O55" s="45">
        <f t="shared" ref="O55:T55" si="20">N55-($M$55-$U$55)/($U$36-$M$36)</f>
        <v>6.9999999999999993E-2</v>
      </c>
      <c r="P55" s="45">
        <f t="shared" si="20"/>
        <v>6.4999999999999988E-2</v>
      </c>
      <c r="Q55" s="45">
        <f t="shared" si="20"/>
        <v>5.9999999999999991E-2</v>
      </c>
      <c r="R55" s="45">
        <f t="shared" si="20"/>
        <v>5.4999999999999993E-2</v>
      </c>
      <c r="S55" s="45">
        <f t="shared" si="20"/>
        <v>4.9999999999999996E-2</v>
      </c>
      <c r="T55" s="45">
        <f t="shared" si="20"/>
        <v>4.4999999999999998E-2</v>
      </c>
      <c r="U55" s="44">
        <f>L17</f>
        <v>0.04</v>
      </c>
    </row>
    <row r="56" spans="2:21" ht="16" customHeight="1" x14ac:dyDescent="0.2">
      <c r="B56" s="5" t="s">
        <v>42</v>
      </c>
      <c r="J56" s="46"/>
      <c r="K56" s="43">
        <f>K55</f>
        <v>0.65047368421052632</v>
      </c>
      <c r="L56" s="44">
        <f>L55*P15</f>
        <v>0.23466526356069994</v>
      </c>
      <c r="M56" s="44">
        <f>P16</f>
        <v>0.09</v>
      </c>
      <c r="N56" s="45">
        <f>M56-($M$56-$U$56)/($U$36-$M$36)</f>
        <v>8.4999999999999992E-2</v>
      </c>
      <c r="O56" s="45">
        <f t="shared" ref="O56:T56" si="21">N56-($M$56-$U$56)/($U$36-$M$36)</f>
        <v>7.9999999999999988E-2</v>
      </c>
      <c r="P56" s="45">
        <f t="shared" si="21"/>
        <v>7.4999999999999983E-2</v>
      </c>
      <c r="Q56" s="45">
        <f t="shared" si="21"/>
        <v>6.9999999999999979E-2</v>
      </c>
      <c r="R56" s="45">
        <f t="shared" si="21"/>
        <v>6.4999999999999974E-2</v>
      </c>
      <c r="S56" s="45">
        <f t="shared" si="21"/>
        <v>5.9999999999999977E-2</v>
      </c>
      <c r="T56" s="45">
        <f t="shared" si="21"/>
        <v>5.4999999999999979E-2</v>
      </c>
      <c r="U56" s="44">
        <f>P17</f>
        <v>0.05</v>
      </c>
    </row>
    <row r="57" spans="2:21" ht="16" customHeight="1" x14ac:dyDescent="0.2">
      <c r="B57" s="5" t="s">
        <v>38</v>
      </c>
      <c r="J57" s="46"/>
      <c r="K57" s="49"/>
      <c r="L57" s="50"/>
      <c r="M57" s="50"/>
      <c r="N57" s="50"/>
      <c r="O57" s="50"/>
      <c r="P57" s="50"/>
      <c r="Q57" s="50"/>
      <c r="R57" s="50"/>
      <c r="S57" s="50"/>
      <c r="T57" s="50"/>
      <c r="U57" s="50"/>
    </row>
    <row r="58" spans="2:21" customFormat="1" ht="16" customHeight="1" x14ac:dyDescent="0.2">
      <c r="J58" s="52"/>
    </row>
    <row r="59" spans="2:21" ht="16" customHeight="1" x14ac:dyDescent="0.2">
      <c r="B59" s="16" t="s">
        <v>119</v>
      </c>
      <c r="E59" s="162"/>
      <c r="F59" s="162"/>
      <c r="G59" s="162"/>
      <c r="H59" s="162"/>
      <c r="I59" s="162"/>
      <c r="J59" s="163"/>
      <c r="K59" s="36">
        <f>'Financials + KPIs'!AA6</f>
        <v>1153</v>
      </c>
      <c r="L59" s="38">
        <f t="shared" ref="L59:U59" ca="1" si="22">K59*(1+L60)</f>
        <v>1520</v>
      </c>
      <c r="M59" s="38">
        <f t="shared" ca="1" si="22"/>
        <v>1687.2</v>
      </c>
      <c r="N59" s="38">
        <f t="shared" ca="1" si="22"/>
        <v>1857.7946666666667</v>
      </c>
      <c r="O59" s="38">
        <f t="shared" ca="1" si="22"/>
        <v>2029.1246192592591</v>
      </c>
      <c r="P59" s="38">
        <f t="shared" ca="1" si="22"/>
        <v>2198.2183375308641</v>
      </c>
      <c r="Q59" s="38">
        <f t="shared" ca="1" si="22"/>
        <v>2361.8634804359399</v>
      </c>
      <c r="R59" s="38">
        <f t="shared" ca="1" si="22"/>
        <v>2516.6967530422962</v>
      </c>
      <c r="S59" s="38">
        <f t="shared" ca="1" si="22"/>
        <v>2659.3095690480263</v>
      </c>
      <c r="T59" s="38">
        <f t="shared" ca="1" si="22"/>
        <v>2786.3654706803209</v>
      </c>
      <c r="U59" s="38">
        <f t="shared" ca="1" si="22"/>
        <v>2869.9564348007307</v>
      </c>
    </row>
    <row r="60" spans="2:21" s="39" customFormat="1" ht="16" customHeight="1" x14ac:dyDescent="0.2">
      <c r="B60" s="39" t="s">
        <v>41</v>
      </c>
      <c r="F60" s="40"/>
      <c r="G60" s="40"/>
      <c r="H60" s="40"/>
      <c r="I60" s="40"/>
      <c r="J60" s="41"/>
      <c r="K60" s="40">
        <f ca="1">OFFSET(K60,$D$18,0)</f>
        <v>0</v>
      </c>
      <c r="L60" s="40">
        <f t="shared" ref="L60:U60" ca="1" si="23">OFFSET(L60,$D$18,0)</f>
        <v>0.31830008673026877</v>
      </c>
      <c r="M60" s="40">
        <f t="shared" ca="1" si="23"/>
        <v>0.11</v>
      </c>
      <c r="N60" s="40">
        <f t="shared" ca="1" si="23"/>
        <v>0.10111111111111111</v>
      </c>
      <c r="O60" s="40">
        <f t="shared" ca="1" si="23"/>
        <v>9.2222222222222219E-2</v>
      </c>
      <c r="P60" s="40">
        <f t="shared" ca="1" si="23"/>
        <v>8.3333333333333329E-2</v>
      </c>
      <c r="Q60" s="40">
        <f t="shared" ca="1" si="23"/>
        <v>7.4444444444444438E-2</v>
      </c>
      <c r="R60" s="40">
        <f t="shared" ca="1" si="23"/>
        <v>6.5555555555555547E-2</v>
      </c>
      <c r="S60" s="40">
        <f t="shared" ca="1" si="23"/>
        <v>5.6666666666666657E-2</v>
      </c>
      <c r="T60" s="40">
        <f t="shared" ca="1" si="23"/>
        <v>4.7777777777777766E-2</v>
      </c>
      <c r="U60" s="40">
        <f t="shared" ca="1" si="23"/>
        <v>0.03</v>
      </c>
    </row>
    <row r="61" spans="2:21" ht="16" customHeight="1" x14ac:dyDescent="0.2">
      <c r="B61" s="5" t="s">
        <v>3</v>
      </c>
      <c r="J61" s="42"/>
      <c r="K61" s="43"/>
      <c r="L61" s="44">
        <f>L62*H18</f>
        <v>0.28647007805724189</v>
      </c>
      <c r="M61" s="44">
        <f>H19</f>
        <v>0.09</v>
      </c>
      <c r="N61" s="45">
        <f>M61-($M$61-$U$61)/($U$36-$L$36)</f>
        <v>8.2222222222222224E-2</v>
      </c>
      <c r="O61" s="45">
        <f t="shared" ref="O61:T61" si="24">N61-($M$61-$U$61)/($U$36-$L$36)</f>
        <v>7.4444444444444452E-2</v>
      </c>
      <c r="P61" s="45">
        <f t="shared" si="24"/>
        <v>6.666666666666668E-2</v>
      </c>
      <c r="Q61" s="45">
        <f t="shared" si="24"/>
        <v>5.88888888888889E-2</v>
      </c>
      <c r="R61" s="45">
        <f t="shared" si="24"/>
        <v>5.1111111111111121E-2</v>
      </c>
      <c r="S61" s="45">
        <f t="shared" si="24"/>
        <v>4.3333333333333342E-2</v>
      </c>
      <c r="T61" s="45">
        <f t="shared" si="24"/>
        <v>3.5555555555555562E-2</v>
      </c>
      <c r="U61" s="44">
        <f>H20</f>
        <v>0.02</v>
      </c>
    </row>
    <row r="62" spans="2:21" ht="16" customHeight="1" x14ac:dyDescent="0.2">
      <c r="B62" s="5" t="s">
        <v>14</v>
      </c>
      <c r="J62" s="46"/>
      <c r="K62" s="47"/>
      <c r="L62" s="48">
        <f>'Financials + KPIs'!AB22</f>
        <v>0.31830008673026877</v>
      </c>
      <c r="M62" s="44">
        <f>L19</f>
        <v>0.11</v>
      </c>
      <c r="N62" s="45">
        <f>M62-($M$62-$U$62)/($U$36-$L$36)</f>
        <v>0.10111111111111111</v>
      </c>
      <c r="O62" s="45">
        <f t="shared" ref="O62:T62" si="25">N62-($M$62-$U$62)/($U$36-$L$36)</f>
        <v>9.2222222222222219E-2</v>
      </c>
      <c r="P62" s="45">
        <f t="shared" si="25"/>
        <v>8.3333333333333329E-2</v>
      </c>
      <c r="Q62" s="45">
        <f t="shared" si="25"/>
        <v>7.4444444444444438E-2</v>
      </c>
      <c r="R62" s="45">
        <f t="shared" si="25"/>
        <v>6.5555555555555547E-2</v>
      </c>
      <c r="S62" s="45">
        <f t="shared" si="25"/>
        <v>5.6666666666666657E-2</v>
      </c>
      <c r="T62" s="45">
        <f t="shared" si="25"/>
        <v>4.7777777777777766E-2</v>
      </c>
      <c r="U62" s="44">
        <f>L20</f>
        <v>0.03</v>
      </c>
    </row>
    <row r="63" spans="2:21" ht="16" customHeight="1" x14ac:dyDescent="0.2">
      <c r="B63" s="5" t="s">
        <v>42</v>
      </c>
      <c r="J63" s="46"/>
      <c r="K63" s="43"/>
      <c r="L63" s="44">
        <f>L62*P18</f>
        <v>0.3501300954032957</v>
      </c>
      <c r="M63" s="44">
        <f>P19</f>
        <v>0.13</v>
      </c>
      <c r="N63" s="45">
        <f>M63-($M$63-$U$63)/($U$36-$L$36)</f>
        <v>0.12000000000000001</v>
      </c>
      <c r="O63" s="45">
        <f t="shared" ref="O63:T63" si="26">N63-($M$63-$U$63)/($U$36-$L$36)</f>
        <v>0.11000000000000001</v>
      </c>
      <c r="P63" s="45">
        <f t="shared" si="26"/>
        <v>0.10000000000000002</v>
      </c>
      <c r="Q63" s="45">
        <f t="shared" si="26"/>
        <v>9.0000000000000024E-2</v>
      </c>
      <c r="R63" s="45">
        <f t="shared" si="26"/>
        <v>8.0000000000000029E-2</v>
      </c>
      <c r="S63" s="45">
        <f t="shared" si="26"/>
        <v>7.0000000000000034E-2</v>
      </c>
      <c r="T63" s="45">
        <f t="shared" si="26"/>
        <v>6.0000000000000032E-2</v>
      </c>
      <c r="U63" s="44">
        <f>P20</f>
        <v>0.04</v>
      </c>
    </row>
    <row r="64" spans="2:21" ht="16" customHeight="1" x14ac:dyDescent="0.2">
      <c r="B64" s="5" t="s">
        <v>38</v>
      </c>
      <c r="J64" s="46"/>
      <c r="K64" s="49"/>
      <c r="L64" s="50"/>
      <c r="M64" s="50"/>
      <c r="N64" s="50"/>
      <c r="O64" s="50"/>
      <c r="P64" s="50"/>
      <c r="Q64" s="50"/>
      <c r="R64" s="50"/>
      <c r="S64" s="50"/>
      <c r="T64" s="50"/>
      <c r="U64" s="50"/>
    </row>
    <row r="65" spans="1:21" ht="16" customHeight="1" x14ac:dyDescent="0.2">
      <c r="J65" s="46"/>
    </row>
    <row r="66" spans="1:21" ht="16" customHeight="1" x14ac:dyDescent="0.2">
      <c r="B66" s="16" t="s">
        <v>120</v>
      </c>
      <c r="E66" s="36">
        <f>'Financials + KPIs'!U7</f>
        <v>638</v>
      </c>
      <c r="F66" s="36">
        <f>'Financials + KPIs'!V7</f>
        <v>728</v>
      </c>
      <c r="G66" s="36">
        <f>'Financials + KPIs'!W7</f>
        <v>837</v>
      </c>
      <c r="H66" s="36">
        <f>'Financials + KPIs'!X7</f>
        <v>918</v>
      </c>
      <c r="I66" s="36">
        <f>'Financials + KPIs'!Y7</f>
        <v>989</v>
      </c>
      <c r="J66" s="37">
        <f>'Financials + KPIs'!Z7</f>
        <v>1149</v>
      </c>
      <c r="K66" s="51">
        <f ca="1">J66*(1+K67)</f>
        <v>1258.78</v>
      </c>
      <c r="L66" s="38">
        <f t="shared" ref="L66:U66" ca="1" si="27">K66*(1+L67)</f>
        <v>1422.8004000000001</v>
      </c>
      <c r="M66" s="38">
        <f t="shared" ca="1" si="27"/>
        <v>1593.9172338766955</v>
      </c>
      <c r="N66" s="38">
        <f t="shared" ca="1" si="27"/>
        <v>1769.621388933725</v>
      </c>
      <c r="O66" s="38">
        <f t="shared" ca="1" si="27"/>
        <v>1946.9387323406772</v>
      </c>
      <c r="P66" s="38">
        <f t="shared" ca="1" si="27"/>
        <v>2122.4888818036829</v>
      </c>
      <c r="Q66" s="38">
        <f t="shared" ca="1" si="27"/>
        <v>2292.5720145444971</v>
      </c>
      <c r="R66" s="38">
        <f t="shared" ca="1" si="27"/>
        <v>2453.2821420467508</v>
      </c>
      <c r="S66" s="38">
        <f t="shared" ca="1" si="27"/>
        <v>2600.6432143228258</v>
      </c>
      <c r="T66" s="38">
        <f t="shared" ca="1" si="27"/>
        <v>2730.7623767194505</v>
      </c>
      <c r="U66" s="38">
        <f t="shared" ca="1" si="27"/>
        <v>2839.9928717882285</v>
      </c>
    </row>
    <row r="67" spans="1:21" s="39" customFormat="1" ht="16" customHeight="1" x14ac:dyDescent="0.2">
      <c r="B67" s="39" t="s">
        <v>41</v>
      </c>
      <c r="F67" s="40">
        <f t="shared" ref="F67:H67" si="28">F66/E66-1</f>
        <v>0.14106583072100309</v>
      </c>
      <c r="G67" s="40">
        <f t="shared" si="28"/>
        <v>0.14972527472527464</v>
      </c>
      <c r="H67" s="40">
        <f t="shared" si="28"/>
        <v>9.6774193548387011E-2</v>
      </c>
      <c r="I67" s="40">
        <f>I66/H66-1</f>
        <v>7.734204793028332E-2</v>
      </c>
      <c r="J67" s="41">
        <f>J66/I66-1</f>
        <v>0.16177957532861487</v>
      </c>
      <c r="K67" s="40">
        <f ca="1">OFFSET(K67,$D$21,0)</f>
        <v>9.5543951261966908E-2</v>
      </c>
      <c r="L67" s="40">
        <f t="shared" ref="L67:U67" ca="1" si="29">OFFSET(L67,$D$21,0)</f>
        <v>0.13030108517771177</v>
      </c>
      <c r="M67" s="40">
        <f ca="1">OFFSET(M67,$D$21,0)</f>
        <v>0.12026763126907714</v>
      </c>
      <c r="N67" s="40">
        <f t="shared" ca="1" si="29"/>
        <v>0.1102341773604425</v>
      </c>
      <c r="O67" s="40">
        <f t="shared" ca="1" si="29"/>
        <v>0.10020072345180786</v>
      </c>
      <c r="P67" s="40">
        <f t="shared" ca="1" si="29"/>
        <v>9.0167269543173223E-2</v>
      </c>
      <c r="Q67" s="40">
        <f t="shared" ca="1" si="29"/>
        <v>8.0133815634538585E-2</v>
      </c>
      <c r="R67" s="40">
        <f t="shared" ca="1" si="29"/>
        <v>7.0100361725903948E-2</v>
      </c>
      <c r="S67" s="40">
        <f t="shared" ca="1" si="29"/>
        <v>6.006690781726931E-2</v>
      </c>
      <c r="T67" s="40">
        <f t="shared" ca="1" si="29"/>
        <v>5.0033453908634673E-2</v>
      </c>
      <c r="U67" s="40">
        <f t="shared" ca="1" si="29"/>
        <v>0.04</v>
      </c>
    </row>
    <row r="68" spans="1:21" ht="16" customHeight="1" x14ac:dyDescent="0.2">
      <c r="B68" s="5" t="s">
        <v>3</v>
      </c>
      <c r="J68" s="42"/>
      <c r="K68" s="43">
        <f>K69</f>
        <v>9.5543951261966908E-2</v>
      </c>
      <c r="L68" s="44">
        <f>L69*H21</f>
        <v>0.14333119369548297</v>
      </c>
      <c r="M68" s="50">
        <f>L68-($L$68-$U$68)/($U$36-$L$36)</f>
        <v>0.13073883884042931</v>
      </c>
      <c r="N68" s="50">
        <f t="shared" ref="N68:T68" si="30">M68-($L$68-$U$68)/($U$36-$L$36)</f>
        <v>0.11814648398537564</v>
      </c>
      <c r="O68" s="50">
        <f t="shared" si="30"/>
        <v>0.10555412913032197</v>
      </c>
      <c r="P68" s="50">
        <f t="shared" si="30"/>
        <v>9.2961774275268305E-2</v>
      </c>
      <c r="Q68" s="50">
        <f t="shared" si="30"/>
        <v>8.0369419420214638E-2</v>
      </c>
      <c r="R68" s="50">
        <f t="shared" si="30"/>
        <v>6.7777064565160972E-2</v>
      </c>
      <c r="S68" s="50">
        <f t="shared" si="30"/>
        <v>5.5184709710107305E-2</v>
      </c>
      <c r="T68" s="50">
        <f t="shared" si="30"/>
        <v>4.2592354855053638E-2</v>
      </c>
      <c r="U68" s="44">
        <f>H22</f>
        <v>0.03</v>
      </c>
    </row>
    <row r="69" spans="1:21" ht="16" customHeight="1" x14ac:dyDescent="0.2">
      <c r="B69" s="5" t="s">
        <v>14</v>
      </c>
      <c r="J69" s="46"/>
      <c r="K69" s="47">
        <f>'Financials + KPIs'!AA23</f>
        <v>9.5543951261966908E-2</v>
      </c>
      <c r="L69" s="48">
        <f>'Financials + KPIs'!AB23</f>
        <v>0.13030108517771177</v>
      </c>
      <c r="M69" s="50">
        <f>L69-($L$69-$U$69)/($U$36-$L$36)</f>
        <v>0.12026763126907714</v>
      </c>
      <c r="N69" s="50">
        <f t="shared" ref="N69:T69" si="31">M69-($L$69-$U$69)/($U$36-$L$36)</f>
        <v>0.1102341773604425</v>
      </c>
      <c r="O69" s="50">
        <f t="shared" si="31"/>
        <v>0.10020072345180786</v>
      </c>
      <c r="P69" s="50">
        <f t="shared" si="31"/>
        <v>9.0167269543173223E-2</v>
      </c>
      <c r="Q69" s="50">
        <f t="shared" si="31"/>
        <v>8.0133815634538585E-2</v>
      </c>
      <c r="R69" s="50">
        <f t="shared" si="31"/>
        <v>7.0100361725903948E-2</v>
      </c>
      <c r="S69" s="50">
        <f t="shared" si="31"/>
        <v>6.006690781726931E-2</v>
      </c>
      <c r="T69" s="50">
        <f t="shared" si="31"/>
        <v>5.0033453908634673E-2</v>
      </c>
      <c r="U69" s="44">
        <f>L22</f>
        <v>0.04</v>
      </c>
    </row>
    <row r="70" spans="1:21" ht="16" customHeight="1" x14ac:dyDescent="0.2">
      <c r="B70" s="5" t="s">
        <v>42</v>
      </c>
      <c r="J70" s="46"/>
      <c r="K70" s="43">
        <f>K69</f>
        <v>9.5543951261966908E-2</v>
      </c>
      <c r="L70" s="44">
        <f>L69*P21</f>
        <v>0.1172709766599406</v>
      </c>
      <c r="M70" s="50">
        <f>L70-($L$70-$U$70)/($U$36-$L$36)</f>
        <v>0.10979642369772498</v>
      </c>
      <c r="N70" s="50">
        <f t="shared" ref="N70:T70" si="32">M70-($L$70-$U$70)/($U$36-$L$36)</f>
        <v>0.10232187073550936</v>
      </c>
      <c r="O70" s="50">
        <f t="shared" si="32"/>
        <v>9.4847317773293735E-2</v>
      </c>
      <c r="P70" s="50">
        <f t="shared" si="32"/>
        <v>8.7372764811078113E-2</v>
      </c>
      <c r="Q70" s="50">
        <f t="shared" si="32"/>
        <v>7.9898211848862491E-2</v>
      </c>
      <c r="R70" s="50">
        <f t="shared" si="32"/>
        <v>7.2423658886646869E-2</v>
      </c>
      <c r="S70" s="50">
        <f t="shared" si="32"/>
        <v>6.4949105924431247E-2</v>
      </c>
      <c r="T70" s="50">
        <f t="shared" si="32"/>
        <v>5.7474552962215625E-2</v>
      </c>
      <c r="U70" s="44">
        <f>P22</f>
        <v>0.05</v>
      </c>
    </row>
    <row r="71" spans="1:21" ht="16" customHeight="1" x14ac:dyDescent="0.2">
      <c r="B71" s="5" t="s">
        <v>38</v>
      </c>
      <c r="J71" s="46"/>
      <c r="K71" s="49"/>
      <c r="L71" s="50"/>
      <c r="M71" s="50"/>
      <c r="N71" s="50"/>
      <c r="O71" s="50"/>
      <c r="P71" s="50"/>
      <c r="Q71" s="50"/>
      <c r="R71" s="50"/>
      <c r="S71" s="50"/>
      <c r="T71" s="50"/>
      <c r="U71" s="50"/>
    </row>
    <row r="72" spans="1:21" customFormat="1" ht="16" customHeight="1" x14ac:dyDescent="0.2">
      <c r="J72" s="52"/>
    </row>
    <row r="73" spans="1:21" ht="16" customHeight="1" x14ac:dyDescent="0.2">
      <c r="B73" s="53" t="s">
        <v>43</v>
      </c>
      <c r="C73" s="54"/>
      <c r="D73" s="54"/>
      <c r="E73" s="55">
        <f>E45+E38+E66+E52+E59</f>
        <v>5759</v>
      </c>
      <c r="F73" s="55">
        <f t="shared" ref="F73:U73" si="33">F45+F38+F66+F52+F59</f>
        <v>6173</v>
      </c>
      <c r="G73" s="55">
        <f t="shared" si="33"/>
        <v>6368</v>
      </c>
      <c r="H73" s="55">
        <f t="shared" si="33"/>
        <v>6827</v>
      </c>
      <c r="I73" s="55">
        <f t="shared" si="33"/>
        <v>7579</v>
      </c>
      <c r="J73" s="56">
        <f t="shared" si="33"/>
        <v>8443</v>
      </c>
      <c r="K73" s="55">
        <f ca="1">K45+K38+K66+K52+K59</f>
        <v>11021.03</v>
      </c>
      <c r="L73" s="55">
        <f t="shared" ca="1" si="33"/>
        <v>12511.4139</v>
      </c>
      <c r="M73" s="55">
        <f t="shared" ca="1" si="33"/>
        <v>13739.223833876697</v>
      </c>
      <c r="N73" s="55">
        <f t="shared" ca="1" si="33"/>
        <v>14982.501855075394</v>
      </c>
      <c r="O73" s="55">
        <f t="shared" ca="1" si="33"/>
        <v>16223.092459034247</v>
      </c>
      <c r="P73" s="55">
        <f t="shared" ca="1" si="33"/>
        <v>17441.071315416775</v>
      </c>
      <c r="Q73" s="55">
        <f t="shared" ca="1" si="33"/>
        <v>18615.222815572037</v>
      </c>
      <c r="R73" s="55">
        <f t="shared" ca="1" si="33"/>
        <v>19723.620852189219</v>
      </c>
      <c r="S73" s="55">
        <f t="shared" ca="1" si="33"/>
        <v>20744.293833847889</v>
      </c>
      <c r="T73" s="55">
        <f t="shared" ca="1" si="33"/>
        <v>21655.947866807623</v>
      </c>
      <c r="U73" s="55">
        <f t="shared" ca="1" si="33"/>
        <v>22413.948349027633</v>
      </c>
    </row>
    <row r="74" spans="1:21" s="39" customFormat="1" ht="16" customHeight="1" x14ac:dyDescent="0.2">
      <c r="B74" s="39" t="s">
        <v>41</v>
      </c>
      <c r="F74" s="40">
        <f>F73/E73-1</f>
        <v>7.1887480465358644E-2</v>
      </c>
      <c r="G74" s="40">
        <f t="shared" ref="G74:U74" si="34">G73/F73-1</f>
        <v>3.1589178681354246E-2</v>
      </c>
      <c r="H74" s="40">
        <f t="shared" si="34"/>
        <v>7.2079145728643157E-2</v>
      </c>
      <c r="I74" s="40">
        <f t="shared" si="34"/>
        <v>0.11015087153947567</v>
      </c>
      <c r="J74" s="41">
        <f t="shared" si="34"/>
        <v>0.11399920833883104</v>
      </c>
      <c r="K74" s="40">
        <f t="shared" ca="1" si="34"/>
        <v>0.3053452564254413</v>
      </c>
      <c r="L74" s="40">
        <f t="shared" ca="1" si="34"/>
        <v>0.13523090854484554</v>
      </c>
      <c r="M74" s="40">
        <f t="shared" ca="1" si="34"/>
        <v>9.8135186293908605E-2</v>
      </c>
      <c r="N74" s="40">
        <f t="shared" ca="1" si="34"/>
        <v>9.0491139545536559E-2</v>
      </c>
      <c r="O74" s="40">
        <f t="shared" ca="1" si="34"/>
        <v>8.280263309552649E-2</v>
      </c>
      <c r="P74" s="40">
        <f t="shared" ca="1" si="34"/>
        <v>7.5076860928833922E-2</v>
      </c>
      <c r="Q74" s="40">
        <f t="shared" ca="1" si="34"/>
        <v>6.7321065255744328E-2</v>
      </c>
      <c r="R74" s="40">
        <f t="shared" ca="1" si="34"/>
        <v>5.9542560816945089E-2</v>
      </c>
      <c r="S74" s="40">
        <f t="shared" ca="1" si="34"/>
        <v>5.1748763034317857E-2</v>
      </c>
      <c r="T74" s="40">
        <f t="shared" ca="1" si="34"/>
        <v>4.3947219426298867E-2</v>
      </c>
      <c r="U74" s="40">
        <f t="shared" ca="1" si="34"/>
        <v>3.5001953591780044E-2</v>
      </c>
    </row>
    <row r="75" spans="1:21" ht="16" customHeight="1" x14ac:dyDescent="0.2">
      <c r="J75" s="46"/>
    </row>
    <row r="76" spans="1:21" ht="16" customHeight="1" x14ac:dyDescent="0.2">
      <c r="A76" s="5" t="s">
        <v>10</v>
      </c>
      <c r="B76" s="12" t="s">
        <v>44</v>
      </c>
      <c r="C76" s="12"/>
      <c r="D76" s="12"/>
      <c r="E76" s="33">
        <v>2016</v>
      </c>
      <c r="F76" s="33">
        <f>E76+1</f>
        <v>2017</v>
      </c>
      <c r="G76" s="33">
        <f t="shared" ref="G76:J76" si="35">F76+1</f>
        <v>2018</v>
      </c>
      <c r="H76" s="33">
        <f t="shared" si="35"/>
        <v>2019</v>
      </c>
      <c r="I76" s="33">
        <f t="shared" si="35"/>
        <v>2020</v>
      </c>
      <c r="J76" s="33">
        <f t="shared" si="35"/>
        <v>2021</v>
      </c>
      <c r="K76" s="34">
        <v>2022</v>
      </c>
      <c r="L76" s="34">
        <f>K76+1</f>
        <v>2023</v>
      </c>
      <c r="M76" s="34">
        <f t="shared" ref="M76:U76" si="36">L76+1</f>
        <v>2024</v>
      </c>
      <c r="N76" s="34">
        <f t="shared" si="36"/>
        <v>2025</v>
      </c>
      <c r="O76" s="34">
        <f t="shared" si="36"/>
        <v>2026</v>
      </c>
      <c r="P76" s="34">
        <f t="shared" si="36"/>
        <v>2027</v>
      </c>
      <c r="Q76" s="34">
        <f t="shared" si="36"/>
        <v>2028</v>
      </c>
      <c r="R76" s="34">
        <f t="shared" si="36"/>
        <v>2029</v>
      </c>
      <c r="S76" s="34">
        <f t="shared" si="36"/>
        <v>2030</v>
      </c>
      <c r="T76" s="34">
        <f t="shared" si="36"/>
        <v>2031</v>
      </c>
      <c r="U76" s="34">
        <f t="shared" si="36"/>
        <v>2032</v>
      </c>
    </row>
    <row r="77" spans="1:21" ht="16" customHeight="1" x14ac:dyDescent="0.2">
      <c r="B77" s="12" t="s">
        <v>40</v>
      </c>
      <c r="C77" s="12"/>
      <c r="D77" s="12"/>
      <c r="E77" s="35">
        <f>EDATE(F77,-12)</f>
        <v>42735</v>
      </c>
      <c r="F77" s="35">
        <f t="shared" ref="F77:I77" si="37">EDATE(G77,-12)</f>
        <v>43100</v>
      </c>
      <c r="G77" s="35">
        <f t="shared" si="37"/>
        <v>43465</v>
      </c>
      <c r="H77" s="35">
        <f t="shared" si="37"/>
        <v>43830</v>
      </c>
      <c r="I77" s="35">
        <f t="shared" si="37"/>
        <v>44196</v>
      </c>
      <c r="J77" s="35">
        <f>EDATE(K77,-12)</f>
        <v>44561</v>
      </c>
      <c r="K77" s="35">
        <v>44926</v>
      </c>
      <c r="L77" s="35">
        <f>EDATE(K77,12)</f>
        <v>45291</v>
      </c>
      <c r="M77" s="35">
        <f t="shared" ref="M77:U77" si="38">EDATE(L77,12)</f>
        <v>45657</v>
      </c>
      <c r="N77" s="35">
        <f t="shared" si="38"/>
        <v>46022</v>
      </c>
      <c r="O77" s="35">
        <f t="shared" si="38"/>
        <v>46387</v>
      </c>
      <c r="P77" s="35">
        <f t="shared" si="38"/>
        <v>46752</v>
      </c>
      <c r="Q77" s="35">
        <f t="shared" si="38"/>
        <v>47118</v>
      </c>
      <c r="R77" s="35">
        <f t="shared" si="38"/>
        <v>47483</v>
      </c>
      <c r="S77" s="35">
        <f t="shared" si="38"/>
        <v>47848</v>
      </c>
      <c r="T77" s="35">
        <f t="shared" si="38"/>
        <v>48213</v>
      </c>
      <c r="U77" s="35">
        <f t="shared" si="38"/>
        <v>48579</v>
      </c>
    </row>
    <row r="78" spans="1:21" ht="16" customHeight="1" x14ac:dyDescent="0.2">
      <c r="B78" s="5" t="s">
        <v>45</v>
      </c>
      <c r="E78" s="57">
        <f>E73</f>
        <v>5759</v>
      </c>
      <c r="F78" s="57">
        <f t="shared" ref="F78:U79" si="39">F73</f>
        <v>6173</v>
      </c>
      <c r="G78" s="57">
        <f t="shared" si="39"/>
        <v>6368</v>
      </c>
      <c r="H78" s="57">
        <f t="shared" si="39"/>
        <v>6827</v>
      </c>
      <c r="I78" s="57">
        <f t="shared" si="39"/>
        <v>7579</v>
      </c>
      <c r="J78" s="58">
        <f t="shared" si="39"/>
        <v>8443</v>
      </c>
      <c r="K78" s="57">
        <f t="shared" ca="1" si="39"/>
        <v>11021.03</v>
      </c>
      <c r="L78" s="57">
        <f t="shared" ca="1" si="39"/>
        <v>12511.4139</v>
      </c>
      <c r="M78" s="57">
        <f t="shared" ca="1" si="39"/>
        <v>13739.223833876697</v>
      </c>
      <c r="N78" s="57">
        <f t="shared" ca="1" si="39"/>
        <v>14982.501855075394</v>
      </c>
      <c r="O78" s="57">
        <f t="shared" ca="1" si="39"/>
        <v>16223.092459034247</v>
      </c>
      <c r="P78" s="57">
        <f t="shared" ca="1" si="39"/>
        <v>17441.071315416775</v>
      </c>
      <c r="Q78" s="57">
        <f t="shared" ca="1" si="39"/>
        <v>18615.222815572037</v>
      </c>
      <c r="R78" s="57">
        <f t="shared" ca="1" si="39"/>
        <v>19723.620852189219</v>
      </c>
      <c r="S78" s="57">
        <f t="shared" ca="1" si="39"/>
        <v>20744.293833847889</v>
      </c>
      <c r="T78" s="57">
        <f t="shared" ca="1" si="39"/>
        <v>21655.947866807623</v>
      </c>
      <c r="U78" s="57">
        <f t="shared" ca="1" si="39"/>
        <v>22413.948349027633</v>
      </c>
    </row>
    <row r="79" spans="1:21" s="39" customFormat="1" ht="16" customHeight="1" x14ac:dyDescent="0.2">
      <c r="B79" s="39" t="s">
        <v>41</v>
      </c>
      <c r="E79" s="59"/>
      <c r="F79" s="60">
        <f>F74</f>
        <v>7.1887480465358644E-2</v>
      </c>
      <c r="G79" s="60">
        <f t="shared" si="39"/>
        <v>3.1589178681354246E-2</v>
      </c>
      <c r="H79" s="60">
        <f t="shared" si="39"/>
        <v>7.2079145728643157E-2</v>
      </c>
      <c r="I79" s="60">
        <f t="shared" si="39"/>
        <v>0.11015087153947567</v>
      </c>
      <c r="J79" s="61">
        <f t="shared" si="39"/>
        <v>0.11399920833883104</v>
      </c>
      <c r="K79" s="60">
        <f t="shared" ca="1" si="39"/>
        <v>0.3053452564254413</v>
      </c>
      <c r="L79" s="60">
        <f t="shared" ca="1" si="39"/>
        <v>0.13523090854484554</v>
      </c>
      <c r="M79" s="60">
        <f t="shared" ca="1" si="39"/>
        <v>9.8135186293908605E-2</v>
      </c>
      <c r="N79" s="60">
        <f t="shared" ca="1" si="39"/>
        <v>9.0491139545536559E-2</v>
      </c>
      <c r="O79" s="60">
        <f t="shared" ca="1" si="39"/>
        <v>8.280263309552649E-2</v>
      </c>
      <c r="P79" s="60">
        <f t="shared" ca="1" si="39"/>
        <v>7.5076860928833922E-2</v>
      </c>
      <c r="Q79" s="60">
        <f t="shared" ca="1" si="39"/>
        <v>6.7321065255744328E-2</v>
      </c>
      <c r="R79" s="60">
        <f t="shared" ca="1" si="39"/>
        <v>5.9542560816945089E-2</v>
      </c>
      <c r="S79" s="60">
        <f t="shared" ca="1" si="39"/>
        <v>5.1748763034317857E-2</v>
      </c>
      <c r="T79" s="60">
        <f t="shared" ca="1" si="39"/>
        <v>4.3947219426298867E-2</v>
      </c>
      <c r="U79" s="60">
        <f t="shared" ca="1" si="39"/>
        <v>3.5001953591780044E-2</v>
      </c>
    </row>
    <row r="80" spans="1:21" ht="16" customHeight="1" x14ac:dyDescent="0.2">
      <c r="E80" s="62"/>
      <c r="F80" s="62"/>
      <c r="G80" s="62"/>
      <c r="H80" s="62"/>
      <c r="I80" s="62"/>
      <c r="J80" s="63"/>
      <c r="K80" s="62"/>
      <c r="L80" s="62"/>
      <c r="M80" s="62"/>
      <c r="N80" s="62"/>
      <c r="O80" s="62"/>
      <c r="P80" s="62"/>
      <c r="Q80" s="62"/>
      <c r="R80" s="62"/>
      <c r="S80" s="62"/>
      <c r="T80" s="62"/>
      <c r="U80" s="62"/>
    </row>
    <row r="81" spans="2:21" s="38" customFormat="1" ht="16" customHeight="1" x14ac:dyDescent="0.2">
      <c r="B81" s="38" t="s">
        <v>46</v>
      </c>
      <c r="E81" s="36">
        <f>'Financials + KPIs'!U15</f>
        <v>2644</v>
      </c>
      <c r="F81" s="36">
        <f>'Financials + KPIs'!V15</f>
        <v>2783</v>
      </c>
      <c r="G81" s="36">
        <f>'Financials + KPIs'!W15</f>
        <v>2900</v>
      </c>
      <c r="H81" s="36">
        <f>'Financials + KPIs'!X15</f>
        <v>3305</v>
      </c>
      <c r="I81" s="36">
        <f>'Financials + KPIs'!Y15</f>
        <v>3738</v>
      </c>
      <c r="J81" s="37">
        <f>'Financials + KPIs'!Z15</f>
        <v>4356</v>
      </c>
      <c r="K81" s="51">
        <f ca="1">K78*K82</f>
        <v>3260.6081594872585</v>
      </c>
      <c r="L81" s="51">
        <f t="shared" ref="L81:U81" ca="1" si="40">L78*L82</f>
        <v>4638.4350599999998</v>
      </c>
      <c r="M81" s="51">
        <f t="shared" ca="1" si="40"/>
        <v>5184.0995820410399</v>
      </c>
      <c r="N81" s="51">
        <f t="shared" ca="1" si="40"/>
        <v>5751.8723028555914</v>
      </c>
      <c r="O81" s="51">
        <f t="shared" ca="1" si="40"/>
        <v>6334.9692294217584</v>
      </c>
      <c r="P81" s="51">
        <f t="shared" ca="1" si="40"/>
        <v>6925.4258053111171</v>
      </c>
      <c r="Q81" s="51">
        <f t="shared" ca="1" si="40"/>
        <v>7514.2314404386207</v>
      </c>
      <c r="R81" s="51">
        <f t="shared" ca="1" si="40"/>
        <v>8091.5252588404956</v>
      </c>
      <c r="S81" s="51">
        <f t="shared" ca="1" si="40"/>
        <v>8646.8499042158182</v>
      </c>
      <c r="T81" s="51">
        <f t="shared" ca="1" si="40"/>
        <v>9169.4562485149709</v>
      </c>
      <c r="U81" s="51">
        <f t="shared" ca="1" si="40"/>
        <v>9637.9977900818812</v>
      </c>
    </row>
    <row r="82" spans="2:21" s="39" customFormat="1" ht="16" customHeight="1" x14ac:dyDescent="0.2">
      <c r="B82" s="39" t="s">
        <v>47</v>
      </c>
      <c r="E82" s="64">
        <f>E81/E78</f>
        <v>0.45910748393818374</v>
      </c>
      <c r="F82" s="64">
        <f t="shared" ref="F82:J82" si="41">F81/F78</f>
        <v>0.45083427830876399</v>
      </c>
      <c r="G82" s="64">
        <f t="shared" si="41"/>
        <v>0.45540201005025127</v>
      </c>
      <c r="H82" s="64">
        <f t="shared" si="41"/>
        <v>0.48410722132708361</v>
      </c>
      <c r="I82" s="64">
        <f t="shared" si="41"/>
        <v>0.4932049082992479</v>
      </c>
      <c r="J82" s="65">
        <f t="shared" si="41"/>
        <v>0.51593035650835006</v>
      </c>
      <c r="K82" s="64">
        <f ca="1">OFFSET(K82,$D$23,0)</f>
        <v>0.29585330586045572</v>
      </c>
      <c r="L82" s="64">
        <f t="shared" ref="L82:U82" ca="1" si="42">OFFSET(L82,$D$23,0)</f>
        <v>0.37073628105293521</v>
      </c>
      <c r="M82" s="64">
        <f t="shared" ca="1" si="42"/>
        <v>0.37732113871372019</v>
      </c>
      <c r="N82" s="64">
        <f t="shared" ca="1" si="42"/>
        <v>0.38390599637450518</v>
      </c>
      <c r="O82" s="64">
        <f t="shared" ca="1" si="42"/>
        <v>0.39049085403529016</v>
      </c>
      <c r="P82" s="64">
        <f t="shared" ca="1" si="42"/>
        <v>0.39707571169607514</v>
      </c>
      <c r="Q82" s="64">
        <f t="shared" ca="1" si="42"/>
        <v>0.40366056935686012</v>
      </c>
      <c r="R82" s="64">
        <f t="shared" ca="1" si="42"/>
        <v>0.4102454270176451</v>
      </c>
      <c r="S82" s="64">
        <f t="shared" ca="1" si="42"/>
        <v>0.41683028467843009</v>
      </c>
      <c r="T82" s="64">
        <f t="shared" ca="1" si="42"/>
        <v>0.42341514233921507</v>
      </c>
      <c r="U82" s="64">
        <f t="shared" ca="1" si="42"/>
        <v>0.43</v>
      </c>
    </row>
    <row r="83" spans="2:21" ht="16" customHeight="1" x14ac:dyDescent="0.2">
      <c r="B83" s="5" t="s">
        <v>3</v>
      </c>
      <c r="J83" s="46"/>
      <c r="K83" s="43">
        <f>K84</f>
        <v>0.29585330586045572</v>
      </c>
      <c r="L83" s="44">
        <f>L84*H23</f>
        <v>0.35961419262134714</v>
      </c>
      <c r="M83" s="45">
        <f>L83-($L$83-$U$83)/($U$76-$L$76)</f>
        <v>0.36410150455230855</v>
      </c>
      <c r="N83" s="45">
        <f t="shared" ref="N83:T83" si="43">M83-($L$83-$U$83)/($U$76-$L$76)</f>
        <v>0.36858881648326997</v>
      </c>
      <c r="O83" s="45">
        <f t="shared" si="43"/>
        <v>0.37307612841423138</v>
      </c>
      <c r="P83" s="45">
        <f t="shared" si="43"/>
        <v>0.37756344034519279</v>
      </c>
      <c r="Q83" s="45">
        <f t="shared" si="43"/>
        <v>0.3820507522761542</v>
      </c>
      <c r="R83" s="45">
        <f t="shared" si="43"/>
        <v>0.38653806420711562</v>
      </c>
      <c r="S83" s="45">
        <f t="shared" si="43"/>
        <v>0.39102537613807703</v>
      </c>
      <c r="T83" s="45">
        <f t="shared" si="43"/>
        <v>0.39551268806903844</v>
      </c>
      <c r="U83" s="44">
        <f>H24</f>
        <v>0.4</v>
      </c>
    </row>
    <row r="84" spans="2:21" ht="16" customHeight="1" x14ac:dyDescent="0.2">
      <c r="B84" s="5" t="s">
        <v>14</v>
      </c>
      <c r="J84" s="46"/>
      <c r="K84" s="47">
        <f>'Financials + KPIs'!AA30</f>
        <v>0.29585330586045572</v>
      </c>
      <c r="L84" s="48">
        <f>'Financials + KPIs'!AB30</f>
        <v>0.37073628105293521</v>
      </c>
      <c r="M84" s="45">
        <f>L84-($L$84-$U$84)/($U$76-$L$76)</f>
        <v>0.37732113871372019</v>
      </c>
      <c r="N84" s="45">
        <f t="shared" ref="N84:T84" si="44">M84-($L$84-$U$84)/($U$76-$L$76)</f>
        <v>0.38390599637450518</v>
      </c>
      <c r="O84" s="45">
        <f t="shared" si="44"/>
        <v>0.39049085403529016</v>
      </c>
      <c r="P84" s="45">
        <f t="shared" si="44"/>
        <v>0.39707571169607514</v>
      </c>
      <c r="Q84" s="45">
        <f t="shared" si="44"/>
        <v>0.40366056935686012</v>
      </c>
      <c r="R84" s="45">
        <f t="shared" si="44"/>
        <v>0.4102454270176451</v>
      </c>
      <c r="S84" s="45">
        <f t="shared" si="44"/>
        <v>0.41683028467843009</v>
      </c>
      <c r="T84" s="45">
        <f t="shared" si="44"/>
        <v>0.42341514233921507</v>
      </c>
      <c r="U84" s="44">
        <f>L24</f>
        <v>0.43</v>
      </c>
    </row>
    <row r="85" spans="2:21" ht="16" customHeight="1" x14ac:dyDescent="0.2">
      <c r="B85" s="5" t="s">
        <v>42</v>
      </c>
      <c r="J85" s="46"/>
      <c r="K85" s="43">
        <f>K84</f>
        <v>0.29585330586045572</v>
      </c>
      <c r="L85" s="44">
        <f>L84*P23</f>
        <v>0.38185836948452329</v>
      </c>
      <c r="M85" s="45">
        <f>L85-($L$85-$U$85)/($U$76-$L$76)</f>
        <v>0.39054077287513184</v>
      </c>
      <c r="N85" s="45">
        <f t="shared" ref="N85:T85" si="45">M85-($L$85-$U$85)/($U$76-$L$76)</f>
        <v>0.39922317626574039</v>
      </c>
      <c r="O85" s="45">
        <f t="shared" si="45"/>
        <v>0.40790557965634894</v>
      </c>
      <c r="P85" s="45">
        <f t="shared" si="45"/>
        <v>0.41658798304695749</v>
      </c>
      <c r="Q85" s="45">
        <f t="shared" si="45"/>
        <v>0.42527038643756604</v>
      </c>
      <c r="R85" s="45">
        <f t="shared" si="45"/>
        <v>0.43395278982817459</v>
      </c>
      <c r="S85" s="45">
        <f t="shared" si="45"/>
        <v>0.44263519321878314</v>
      </c>
      <c r="T85" s="45">
        <f t="shared" si="45"/>
        <v>0.45131759660939169</v>
      </c>
      <c r="U85" s="44">
        <f>P24</f>
        <v>0.46</v>
      </c>
    </row>
    <row r="86" spans="2:21" ht="16" customHeight="1" x14ac:dyDescent="0.2">
      <c r="B86" s="5" t="s">
        <v>38</v>
      </c>
      <c r="J86" s="46"/>
      <c r="K86" s="49"/>
      <c r="L86" s="49"/>
      <c r="M86" s="49"/>
      <c r="N86" s="49"/>
      <c r="O86" s="49"/>
      <c r="P86" s="50"/>
      <c r="Q86" s="50"/>
      <c r="R86" s="50"/>
      <c r="S86" s="50"/>
      <c r="T86" s="50"/>
      <c r="U86" s="50"/>
    </row>
    <row r="87" spans="2:21" ht="16" customHeight="1" x14ac:dyDescent="0.2">
      <c r="J87" s="46"/>
    </row>
    <row r="88" spans="2:21" ht="16" customHeight="1" x14ac:dyDescent="0.2">
      <c r="B88" s="5" t="s">
        <v>32</v>
      </c>
      <c r="E88" s="36">
        <f>'Financials + KPIs'!U16</f>
        <v>960</v>
      </c>
      <c r="F88" s="36">
        <f>'Financials + KPIs'!V16</f>
        <v>823</v>
      </c>
      <c r="G88" s="36">
        <f>'Financials + KPIs'!W16</f>
        <v>560</v>
      </c>
      <c r="H88" s="36">
        <f>'Financials + KPIs'!X16</f>
        <v>627</v>
      </c>
      <c r="I88" s="36">
        <f>'Financials + KPIs'!Y16</f>
        <v>694</v>
      </c>
      <c r="J88" s="37">
        <f>'Financials + KPIs'!Z16</f>
        <v>901</v>
      </c>
      <c r="K88" s="51">
        <f t="shared" ref="K88:U88" ca="1" si="46">K81*K89</f>
        <v>887.52503964006326</v>
      </c>
      <c r="L88" s="51">
        <f t="shared" ca="1" si="46"/>
        <v>1159.6087650000002</v>
      </c>
      <c r="M88" s="51">
        <f t="shared" ca="1" si="46"/>
        <v>1272.9844529234113</v>
      </c>
      <c r="N88" s="51">
        <f t="shared" ca="1" si="46"/>
        <v>1386.8403219107374</v>
      </c>
      <c r="O88" s="51">
        <f t="shared" ca="1" si="46"/>
        <v>1499.2760509631498</v>
      </c>
      <c r="P88" s="51">
        <f t="shared" ca="1" si="46"/>
        <v>1608.2377703444708</v>
      </c>
      <c r="Q88" s="51">
        <f t="shared" ca="1" si="46"/>
        <v>1711.5749392110195</v>
      </c>
      <c r="R88" s="51">
        <f t="shared" ca="1" si="46"/>
        <v>1807.1073078077111</v>
      </c>
      <c r="S88" s="51">
        <f t="shared" ca="1" si="46"/>
        <v>1892.6993679227962</v>
      </c>
      <c r="T88" s="51">
        <f t="shared" ca="1" si="46"/>
        <v>1966.338951070433</v>
      </c>
      <c r="U88" s="51">
        <f t="shared" ca="1" si="46"/>
        <v>2023.9795359171949</v>
      </c>
    </row>
    <row r="89" spans="2:21" s="39" customFormat="1" ht="16" customHeight="1" x14ac:dyDescent="0.2">
      <c r="B89" s="39" t="s">
        <v>48</v>
      </c>
      <c r="E89" s="64">
        <f t="shared" ref="E89:J89" si="47">E88/E81</f>
        <v>0.36308623298033282</v>
      </c>
      <c r="F89" s="64">
        <f t="shared" si="47"/>
        <v>0.29572403880704273</v>
      </c>
      <c r="G89" s="64">
        <f t="shared" si="47"/>
        <v>0.19310344827586207</v>
      </c>
      <c r="H89" s="64">
        <f t="shared" si="47"/>
        <v>0.1897125567322239</v>
      </c>
      <c r="I89" s="64">
        <f t="shared" si="47"/>
        <v>0.18566078116639914</v>
      </c>
      <c r="J89" s="65">
        <f t="shared" si="47"/>
        <v>0.20684113865932047</v>
      </c>
      <c r="K89" s="66">
        <f>'Financials + KPIs'!AA31</f>
        <v>0.27219616593845164</v>
      </c>
      <c r="L89" s="67">
        <f>'Financials + KPIs'!AB31</f>
        <v>0.25000000000000006</v>
      </c>
      <c r="M89" s="60">
        <f>L89-($L$89-$U$89)/($U$76-$L$76)</f>
        <v>0.24555555555555561</v>
      </c>
      <c r="N89" s="60">
        <f t="shared" ref="N89:T89" si="48">M89-($L$89-$U$89)/($U$76-$L$76)</f>
        <v>0.24111111111111116</v>
      </c>
      <c r="O89" s="60">
        <f t="shared" si="48"/>
        <v>0.23666666666666672</v>
      </c>
      <c r="P89" s="60">
        <f t="shared" si="48"/>
        <v>0.23222222222222227</v>
      </c>
      <c r="Q89" s="60">
        <f t="shared" si="48"/>
        <v>0.22777777777777783</v>
      </c>
      <c r="R89" s="60">
        <f t="shared" si="48"/>
        <v>0.22333333333333338</v>
      </c>
      <c r="S89" s="60">
        <f t="shared" si="48"/>
        <v>0.21888888888888894</v>
      </c>
      <c r="T89" s="60">
        <f t="shared" si="48"/>
        <v>0.21444444444444449</v>
      </c>
      <c r="U89" s="68">
        <f>L25</f>
        <v>0.21</v>
      </c>
    </row>
    <row r="90" spans="2:21" ht="16" customHeight="1" x14ac:dyDescent="0.2">
      <c r="E90" s="62"/>
      <c r="F90" s="62"/>
      <c r="G90" s="62"/>
      <c r="H90" s="62"/>
      <c r="I90" s="62"/>
      <c r="J90" s="63"/>
      <c r="K90" s="62"/>
      <c r="L90" s="62"/>
      <c r="M90" s="62"/>
      <c r="N90" s="62"/>
      <c r="O90" s="62"/>
      <c r="P90" s="62"/>
      <c r="Q90" s="62"/>
      <c r="R90" s="62"/>
      <c r="S90" s="62"/>
      <c r="T90" s="62"/>
      <c r="U90" s="62"/>
    </row>
    <row r="91" spans="2:21" ht="16" customHeight="1" x14ac:dyDescent="0.2">
      <c r="B91" s="69" t="s">
        <v>49</v>
      </c>
      <c r="C91" s="69"/>
      <c r="D91" s="69"/>
      <c r="E91" s="70">
        <f>E81-E88</f>
        <v>1684</v>
      </c>
      <c r="F91" s="70">
        <f t="shared" ref="F91:I91" si="49">F81-F88</f>
        <v>1960</v>
      </c>
      <c r="G91" s="70">
        <f t="shared" si="49"/>
        <v>2340</v>
      </c>
      <c r="H91" s="70">
        <f t="shared" si="49"/>
        <v>2678</v>
      </c>
      <c r="I91" s="70">
        <f t="shared" si="49"/>
        <v>3044</v>
      </c>
      <c r="J91" s="71">
        <f>J81-J88</f>
        <v>3455</v>
      </c>
      <c r="K91" s="70">
        <f ca="1">K81-K88</f>
        <v>2373.0831198471951</v>
      </c>
      <c r="L91" s="70">
        <f t="shared" ref="L91:U91" ca="1" si="50">L81-L88</f>
        <v>3478.8262949999998</v>
      </c>
      <c r="M91" s="70">
        <f t="shared" ca="1" si="50"/>
        <v>3911.1151291176284</v>
      </c>
      <c r="N91" s="70">
        <f t="shared" ca="1" si="50"/>
        <v>4365.0319809448538</v>
      </c>
      <c r="O91" s="70">
        <f ca="1">O81-O88</f>
        <v>4835.6931784586086</v>
      </c>
      <c r="P91" s="70">
        <f t="shared" ca="1" si="50"/>
        <v>5317.1880349666462</v>
      </c>
      <c r="Q91" s="70">
        <f t="shared" ca="1" si="50"/>
        <v>5802.6565012276014</v>
      </c>
      <c r="R91" s="70">
        <f t="shared" ca="1" si="50"/>
        <v>6284.4179510327849</v>
      </c>
      <c r="S91" s="70">
        <f t="shared" ca="1" si="50"/>
        <v>6754.150536293022</v>
      </c>
      <c r="T91" s="70">
        <f t="shared" ca="1" si="50"/>
        <v>7203.1172974445381</v>
      </c>
      <c r="U91" s="70">
        <f t="shared" ca="1" si="50"/>
        <v>7614.0182541646864</v>
      </c>
    </row>
    <row r="92" spans="2:21" ht="16" customHeight="1" x14ac:dyDescent="0.2">
      <c r="E92" s="62"/>
      <c r="F92" s="62"/>
      <c r="G92" s="62"/>
      <c r="H92" s="62"/>
      <c r="I92" s="62"/>
      <c r="J92" s="72"/>
      <c r="K92" s="62"/>
      <c r="L92" s="62"/>
      <c r="M92" s="62"/>
      <c r="N92" s="62"/>
      <c r="O92" s="62"/>
      <c r="P92" s="62"/>
      <c r="Q92" s="62"/>
      <c r="R92" s="62"/>
      <c r="S92" s="62"/>
      <c r="T92" s="62"/>
      <c r="U92" s="62"/>
    </row>
    <row r="93" spans="2:21" ht="16" customHeight="1" x14ac:dyDescent="0.2">
      <c r="B93" s="5" t="s">
        <v>50</v>
      </c>
      <c r="E93" s="36">
        <f>'Financials + KPIs'!U13</f>
        <v>181</v>
      </c>
      <c r="F93" s="36">
        <f>'Financials + KPIs'!V13</f>
        <v>180</v>
      </c>
      <c r="G93" s="36">
        <f>'Financials + KPIs'!W13</f>
        <v>206</v>
      </c>
      <c r="H93" s="36">
        <f>'Financials + KPIs'!X13</f>
        <v>204</v>
      </c>
      <c r="I93" s="36">
        <f>'Financials + KPIs'!Y13</f>
        <v>206</v>
      </c>
      <c r="J93" s="37">
        <f>'Financials + KPIs'!Z13</f>
        <v>178</v>
      </c>
      <c r="K93" s="51">
        <f ca="1">K78*K94</f>
        <v>1004.2910071462682</v>
      </c>
      <c r="L93" s="51">
        <f t="shared" ref="L93:U93" ca="1" si="51">L78*L94</f>
        <v>870.05079500000022</v>
      </c>
      <c r="M93" s="51">
        <f ca="1">M78*M94</f>
        <v>412.17472527405141</v>
      </c>
      <c r="N93" s="51">
        <f t="shared" ca="1" si="51"/>
        <v>418.4695529608216</v>
      </c>
      <c r="O93" s="51">
        <f t="shared" ca="1" si="51"/>
        <v>654.1750750240875</v>
      </c>
      <c r="P93" s="51">
        <f t="shared" ca="1" si="51"/>
        <v>833.01977570765825</v>
      </c>
      <c r="Q93" s="51">
        <f t="shared" ca="1" si="51"/>
        <v>889.54074160316509</v>
      </c>
      <c r="R93" s="51">
        <f t="shared" ca="1" si="51"/>
        <v>945.4655505171603</v>
      </c>
      <c r="S93" s="51">
        <f t="shared" ca="1" si="51"/>
        <v>1074.2210123826271</v>
      </c>
      <c r="T93" s="51">
        <f t="shared" ca="1" si="51"/>
        <v>933.6166366406627</v>
      </c>
      <c r="U93" s="51">
        <f t="shared" ca="1" si="51"/>
        <v>868.77238621533741</v>
      </c>
    </row>
    <row r="94" spans="2:21" s="39" customFormat="1" ht="16" customHeight="1" x14ac:dyDescent="0.2">
      <c r="B94" s="39" t="s">
        <v>47</v>
      </c>
      <c r="E94" s="64">
        <f t="shared" ref="E94:J94" si="52">E93/E78</f>
        <v>3.1429067546449037E-2</v>
      </c>
      <c r="F94" s="64">
        <f t="shared" si="52"/>
        <v>2.9159241859711648E-2</v>
      </c>
      <c r="G94" s="64">
        <f t="shared" si="52"/>
        <v>3.234924623115578E-2</v>
      </c>
      <c r="H94" s="64">
        <f t="shared" si="52"/>
        <v>2.9881353449538597E-2</v>
      </c>
      <c r="I94" s="64">
        <f t="shared" si="52"/>
        <v>2.7180366803008314E-2</v>
      </c>
      <c r="J94" s="65">
        <f t="shared" si="52"/>
        <v>2.1082553594693829E-2</v>
      </c>
      <c r="K94" s="66">
        <f>'Financials + KPIs'!AA28</f>
        <v>9.1124968097017076E-2</v>
      </c>
      <c r="L94" s="66">
        <f>'Financials + KPIs'!AB28</f>
        <v>6.9540565275360303E-2</v>
      </c>
      <c r="M94" s="73">
        <f>AVERAGE(E94:I94)</f>
        <v>2.9999855177972674E-2</v>
      </c>
      <c r="N94" s="73">
        <f t="shared" ref="N94:U94" si="53">AVERAGE(F94:J94)</f>
        <v>2.7930552387621634E-2</v>
      </c>
      <c r="O94" s="73">
        <f t="shared" si="53"/>
        <v>4.0323697635082714E-2</v>
      </c>
      <c r="P94" s="73">
        <f t="shared" si="53"/>
        <v>4.7761961443923619E-2</v>
      </c>
      <c r="Q94" s="73">
        <f t="shared" si="53"/>
        <v>4.778566178961044E-2</v>
      </c>
      <c r="R94" s="73">
        <f t="shared" si="53"/>
        <v>4.7935698906533104E-2</v>
      </c>
      <c r="S94" s="73">
        <f t="shared" si="53"/>
        <v>5.1783927714610878E-2</v>
      </c>
      <c r="T94" s="73">
        <f t="shared" si="53"/>
        <v>4.3111326383992184E-2</v>
      </c>
      <c r="U94" s="73">
        <f t="shared" si="53"/>
        <v>3.8760345686842217E-2</v>
      </c>
    </row>
    <row r="95" spans="2:21" s="39" customFormat="1" ht="16" customHeight="1" x14ac:dyDescent="0.2">
      <c r="B95" s="39" t="s">
        <v>51</v>
      </c>
      <c r="E95" s="64">
        <f>E93/E97</f>
        <v>1.5739130434782609</v>
      </c>
      <c r="F95" s="64">
        <f t="shared" ref="F95:U95" si="54">F93/F97</f>
        <v>1.4634146341463414</v>
      </c>
      <c r="G95" s="64">
        <f t="shared" si="54"/>
        <v>1.8230088495575221</v>
      </c>
      <c r="H95" s="64">
        <f t="shared" si="54"/>
        <v>1.7739130434782608</v>
      </c>
      <c r="I95" s="64">
        <f t="shared" si="54"/>
        <v>2.7105263157894739</v>
      </c>
      <c r="J95" s="65">
        <f t="shared" si="54"/>
        <v>5.0857142857142854</v>
      </c>
      <c r="K95" s="64">
        <f t="shared" ca="1" si="54"/>
        <v>6.1670071475549193</v>
      </c>
      <c r="L95" s="64">
        <f t="shared" ca="1" si="54"/>
        <v>4.9990403614591479</v>
      </c>
      <c r="M95" s="64">
        <f t="shared" ca="1" si="54"/>
        <v>2.3240688773662574</v>
      </c>
      <c r="N95" s="64">
        <f t="shared" ca="1" si="54"/>
        <v>2.3078855174700963</v>
      </c>
      <c r="O95" s="64">
        <f t="shared" ca="1" si="54"/>
        <v>3.5647514751200831</v>
      </c>
      <c r="P95" s="64">
        <f t="shared" ca="1" si="54"/>
        <v>4.1439185825619074</v>
      </c>
      <c r="Q95" s="64">
        <f t="shared" ca="1" si="54"/>
        <v>3.7461748316247188</v>
      </c>
      <c r="R95" s="64">
        <f t="shared" ca="1" si="54"/>
        <v>3.859827617668425</v>
      </c>
      <c r="S95" s="64">
        <f t="shared" ca="1" si="54"/>
        <v>4.2548654729969639</v>
      </c>
      <c r="T95" s="64">
        <f t="shared" ca="1" si="54"/>
        <v>3.5784304630799579</v>
      </c>
      <c r="U95" s="64">
        <f t="shared" ca="1" si="54"/>
        <v>3.2197151422144765</v>
      </c>
    </row>
    <row r="96" spans="2:21" ht="16" customHeight="1" x14ac:dyDescent="0.2">
      <c r="E96" s="51"/>
      <c r="F96" s="51"/>
      <c r="G96" s="51"/>
      <c r="H96" s="51"/>
      <c r="I96" s="51"/>
      <c r="J96" s="74"/>
      <c r="K96" s="51"/>
      <c r="L96" s="51"/>
      <c r="M96" s="51"/>
      <c r="N96" s="51"/>
      <c r="O96" s="51"/>
      <c r="P96" s="51"/>
      <c r="Q96" s="51"/>
      <c r="R96" s="51"/>
      <c r="S96" s="51"/>
      <c r="T96" s="51"/>
      <c r="U96" s="51"/>
    </row>
    <row r="97" spans="1:21" ht="16" customHeight="1" x14ac:dyDescent="0.2">
      <c r="B97" s="5" t="s">
        <v>52</v>
      </c>
      <c r="E97" s="36">
        <f>-'Financials + KPIs'!U33</f>
        <v>115</v>
      </c>
      <c r="F97" s="36">
        <f>-'Financials + KPIs'!V33</f>
        <v>123</v>
      </c>
      <c r="G97" s="36">
        <f>-'Financials + KPIs'!W33</f>
        <v>113</v>
      </c>
      <c r="H97" s="36">
        <f>-'Financials + KPIs'!X33</f>
        <v>115</v>
      </c>
      <c r="I97" s="36">
        <f>-'Financials + KPIs'!Y33</f>
        <v>76</v>
      </c>
      <c r="J97" s="37">
        <f>-'Financials + KPIs'!Z33</f>
        <v>35</v>
      </c>
      <c r="K97" s="51">
        <f ca="1">K78*K98</f>
        <v>162.84900975742295</v>
      </c>
      <c r="L97" s="51">
        <f t="shared" ref="L97:U97" ca="1" si="55">L78*L98</f>
        <v>174.04356278212663</v>
      </c>
      <c r="M97" s="51">
        <f t="shared" ca="1" si="55"/>
        <v>177.35047755604683</v>
      </c>
      <c r="N97" s="51">
        <f ca="1">N78*N98</f>
        <v>181.32162526828793</v>
      </c>
      <c r="O97" s="51">
        <f t="shared" ca="1" si="55"/>
        <v>183.51211286112192</v>
      </c>
      <c r="P97" s="51">
        <f t="shared" ca="1" si="55"/>
        <v>201.0222351406957</v>
      </c>
      <c r="Q97" s="51">
        <f t="shared" ca="1" si="55"/>
        <v>237.45307722794416</v>
      </c>
      <c r="R97" s="51">
        <f t="shared" ca="1" si="55"/>
        <v>244.95020093365724</v>
      </c>
      <c r="S97" s="51">
        <f t="shared" ca="1" si="55"/>
        <v>252.46885458542761</v>
      </c>
      <c r="T97" s="51">
        <f t="shared" ca="1" si="55"/>
        <v>260.90115380839291</v>
      </c>
      <c r="U97" s="51">
        <f t="shared" ca="1" si="55"/>
        <v>269.82895934632512</v>
      </c>
    </row>
    <row r="98" spans="1:21" s="39" customFormat="1" ht="16" customHeight="1" x14ac:dyDescent="0.2">
      <c r="B98" s="39" t="s">
        <v>47</v>
      </c>
      <c r="E98" s="64">
        <f t="shared" ref="E98:J98" si="56">E97/E78</f>
        <v>1.9968744573710714E-2</v>
      </c>
      <c r="F98" s="64">
        <f t="shared" si="56"/>
        <v>1.9925481937469625E-2</v>
      </c>
      <c r="G98" s="64">
        <f t="shared" si="56"/>
        <v>1.774497487437186E-2</v>
      </c>
      <c r="H98" s="64">
        <f t="shared" si="56"/>
        <v>1.6844880621063426E-2</v>
      </c>
      <c r="I98" s="64">
        <f t="shared" si="56"/>
        <v>1.0027708140915689E-2</v>
      </c>
      <c r="J98" s="65">
        <f t="shared" si="56"/>
        <v>4.1454459315409219E-3</v>
      </c>
      <c r="K98" s="73">
        <f>AVERAGE(E98:J98)</f>
        <v>1.4776206013178708E-2</v>
      </c>
      <c r="L98" s="73">
        <f t="shared" ref="L98:U98" si="57">AVERAGE(F98:K98)</f>
        <v>1.3910782919756707E-2</v>
      </c>
      <c r="M98" s="73">
        <f t="shared" si="57"/>
        <v>1.2908333083471219E-2</v>
      </c>
      <c r="N98" s="73">
        <f t="shared" si="57"/>
        <v>1.2102226118321111E-2</v>
      </c>
      <c r="O98" s="73">
        <f t="shared" si="57"/>
        <v>1.1311783701197392E-2</v>
      </c>
      <c r="P98" s="73">
        <f t="shared" si="57"/>
        <v>1.1525796294577678E-2</v>
      </c>
      <c r="Q98" s="73">
        <f t="shared" si="57"/>
        <v>1.2755854688417135E-2</v>
      </c>
      <c r="R98" s="73">
        <f t="shared" si="57"/>
        <v>1.241912946762354E-2</v>
      </c>
      <c r="S98" s="73">
        <f t="shared" si="57"/>
        <v>1.2170520558934679E-2</v>
      </c>
      <c r="T98" s="73">
        <f t="shared" si="57"/>
        <v>1.2047551804845255E-2</v>
      </c>
      <c r="U98" s="73">
        <f t="shared" si="57"/>
        <v>1.2038439419265946E-2</v>
      </c>
    </row>
    <row r="99" spans="1:21" ht="16" customHeight="1" x14ac:dyDescent="0.2">
      <c r="B99" s="39"/>
      <c r="E99" s="51"/>
      <c r="F99" s="51"/>
      <c r="G99" s="51"/>
      <c r="H99" s="51"/>
      <c r="I99" s="51"/>
      <c r="J99" s="74"/>
      <c r="K99" s="51"/>
      <c r="L99" s="51"/>
      <c r="M99" s="51"/>
      <c r="N99" s="51"/>
      <c r="O99" s="51"/>
      <c r="P99" s="51"/>
      <c r="Q99" s="51"/>
      <c r="R99" s="51"/>
      <c r="S99" s="51"/>
      <c r="T99" s="51"/>
      <c r="U99" s="51"/>
    </row>
    <row r="100" spans="1:21" ht="16" customHeight="1" x14ac:dyDescent="0.2">
      <c r="B100" s="5" t="s">
        <v>53</v>
      </c>
      <c r="E100" s="36">
        <f>'Financials + KPIs'!U34</f>
        <v>-384</v>
      </c>
      <c r="F100" s="36">
        <f>'Financials + KPIs'!V34</f>
        <v>60</v>
      </c>
      <c r="G100" s="36">
        <f>'Financials + KPIs'!W34</f>
        <v>302</v>
      </c>
      <c r="H100" s="36">
        <f>'Financials + KPIs'!X34</f>
        <v>-185</v>
      </c>
      <c r="I100" s="36">
        <f>'Financials + KPIs'!Y34</f>
        <v>-453</v>
      </c>
      <c r="J100" s="37">
        <f>'Financials + KPIs'!Z34</f>
        <v>199</v>
      </c>
      <c r="K100" s="51">
        <f ca="1">K78*K101</f>
        <v>-133.78199754097631</v>
      </c>
      <c r="L100" s="51">
        <f t="shared" ref="L100:U100" ca="1" si="58">L78*L101</f>
        <v>-38.145852855301506</v>
      </c>
      <c r="M100" s="51">
        <f ca="1">M78*M101</f>
        <v>-71.127817700014063</v>
      </c>
      <c r="N100" s="51">
        <f t="shared" ca="1" si="58"/>
        <v>-208.91488144082095</v>
      </c>
      <c r="O100" s="51">
        <f t="shared" ca="1" si="58"/>
        <v>-190.64618054119666</v>
      </c>
      <c r="P100" s="51">
        <f t="shared" ca="1" si="58"/>
        <v>-65.375825637998958</v>
      </c>
      <c r="Q100" s="51">
        <f t="shared" ca="1" si="58"/>
        <v>-154.53274058854154</v>
      </c>
      <c r="R100" s="51">
        <f t="shared" ca="1" si="58"/>
        <v>-151.11952779494084</v>
      </c>
      <c r="S100" s="51">
        <f t="shared" ca="1" si="58"/>
        <v>-174.88858068942736</v>
      </c>
      <c r="T100" s="51">
        <f t="shared" ca="1" si="58"/>
        <v>-194.3180862746479</v>
      </c>
      <c r="U100" s="51">
        <f t="shared" ca="1" si="58"/>
        <v>-182.54979645995667</v>
      </c>
    </row>
    <row r="101" spans="1:21" s="39" customFormat="1" ht="16" customHeight="1" x14ac:dyDescent="0.2">
      <c r="B101" s="39" t="s">
        <v>47</v>
      </c>
      <c r="E101" s="64">
        <f t="shared" ref="E101:J101" si="59">E100/E78</f>
        <v>-6.6678242750477512E-2</v>
      </c>
      <c r="F101" s="64">
        <f t="shared" si="59"/>
        <v>9.7197472865705493E-3</v>
      </c>
      <c r="G101" s="64">
        <f t="shared" si="59"/>
        <v>4.7424623115577887E-2</v>
      </c>
      <c r="H101" s="64">
        <f t="shared" si="59"/>
        <v>-2.7098286216493336E-2</v>
      </c>
      <c r="I101" s="64">
        <f t="shared" si="59"/>
        <v>-5.9770418260984295E-2</v>
      </c>
      <c r="J101" s="65">
        <f t="shared" si="59"/>
        <v>2.3569821153618383E-2</v>
      </c>
      <c r="K101" s="73">
        <f>AVERAGE(E101:J101)</f>
        <v>-1.2138792612031388E-2</v>
      </c>
      <c r="L101" s="73">
        <f t="shared" ref="L101:U101" si="60">AVERAGE(F101:K101)</f>
        <v>-3.0488842556236997E-3</v>
      </c>
      <c r="M101" s="73">
        <f t="shared" si="60"/>
        <v>-5.1769895126560755E-3</v>
      </c>
      <c r="N101" s="73">
        <f t="shared" si="60"/>
        <v>-1.3943924950695069E-2</v>
      </c>
      <c r="O101" s="73">
        <f t="shared" si="60"/>
        <v>-1.1751531406395357E-2</v>
      </c>
      <c r="P101" s="73">
        <f t="shared" si="60"/>
        <v>-3.7483835972972009E-3</v>
      </c>
      <c r="Q101" s="73">
        <f t="shared" si="60"/>
        <v>-8.3014177224497981E-3</v>
      </c>
      <c r="R101" s="73">
        <f t="shared" si="60"/>
        <v>-7.6618552408528667E-3</v>
      </c>
      <c r="S101" s="73">
        <f t="shared" si="60"/>
        <v>-8.4306837383910614E-3</v>
      </c>
      <c r="T101" s="73">
        <f t="shared" si="60"/>
        <v>-8.9729661093468915E-3</v>
      </c>
      <c r="U101" s="73">
        <f t="shared" si="60"/>
        <v>-8.1444729691221972E-3</v>
      </c>
    </row>
    <row r="102" spans="1:21" s="39" customFormat="1" ht="16" customHeight="1" x14ac:dyDescent="0.2">
      <c r="B102" s="39" t="s">
        <v>54</v>
      </c>
      <c r="E102" s="75"/>
      <c r="F102" s="64">
        <f t="shared" ref="F102:U102" si="61">F100/(F78-E78)</f>
        <v>0.14492753623188406</v>
      </c>
      <c r="G102" s="64">
        <f t="shared" si="61"/>
        <v>1.5487179487179488</v>
      </c>
      <c r="H102" s="64">
        <f t="shared" si="61"/>
        <v>-0.40305010893246185</v>
      </c>
      <c r="I102" s="64">
        <f t="shared" si="61"/>
        <v>-0.60239361702127658</v>
      </c>
      <c r="J102" s="65">
        <f t="shared" si="61"/>
        <v>0.23032407407407407</v>
      </c>
      <c r="K102" s="64">
        <f t="shared" ca="1" si="61"/>
        <v>-5.1893111228719709E-2</v>
      </c>
      <c r="L102" s="64">
        <f t="shared" ca="1" si="61"/>
        <v>-2.5594649039956438E-2</v>
      </c>
      <c r="M102" s="64">
        <f t="shared" ca="1" si="61"/>
        <v>-5.7930641980908658E-2</v>
      </c>
      <c r="N102" s="64">
        <f t="shared" ca="1" si="61"/>
        <v>-0.16803553016999143</v>
      </c>
      <c r="O102" s="64">
        <f t="shared" ca="1" si="61"/>
        <v>-0.15367372599214027</v>
      </c>
      <c r="P102" s="64">
        <f t="shared" ca="1" si="61"/>
        <v>-5.3675665464480382E-2</v>
      </c>
      <c r="Q102" s="64">
        <f t="shared" ca="1" si="61"/>
        <v>-0.13161226687365915</v>
      </c>
      <c r="R102" s="64">
        <f t="shared" ca="1" si="61"/>
        <v>-0.13634048672276244</v>
      </c>
      <c r="S102" s="64">
        <f t="shared" ca="1" si="61"/>
        <v>-0.17134634092618017</v>
      </c>
      <c r="T102" s="64">
        <f t="shared" ca="1" si="61"/>
        <v>-0.21314893506672022</v>
      </c>
      <c r="U102" s="64">
        <f t="shared" ca="1" si="61"/>
        <v>-0.24083071283188384</v>
      </c>
    </row>
    <row r="103" spans="1:21" ht="16" customHeight="1" x14ac:dyDescent="0.2">
      <c r="B103" s="39"/>
      <c r="E103" s="51"/>
      <c r="F103" s="76"/>
      <c r="G103" s="76"/>
      <c r="H103" s="76"/>
      <c r="I103" s="76"/>
      <c r="J103" s="77"/>
      <c r="K103" s="76"/>
      <c r="L103" s="76"/>
      <c r="M103" s="76"/>
      <c r="N103" s="76"/>
      <c r="O103" s="76"/>
      <c r="P103" s="76"/>
      <c r="Q103" s="76"/>
      <c r="R103" s="76"/>
      <c r="S103" s="76"/>
      <c r="T103" s="76"/>
      <c r="U103" s="76"/>
    </row>
    <row r="104" spans="1:21" ht="16" customHeight="1" x14ac:dyDescent="0.2">
      <c r="B104" s="54" t="s">
        <v>55</v>
      </c>
      <c r="C104" s="54"/>
      <c r="D104" s="54"/>
      <c r="E104" s="78">
        <f>E91+E93-E97-E100</f>
        <v>2134</v>
      </c>
      <c r="F104" s="78">
        <f t="shared" ref="F104:U104" si="62">F91+F93-F97-F100</f>
        <v>1957</v>
      </c>
      <c r="G104" s="78">
        <f t="shared" si="62"/>
        <v>2131</v>
      </c>
      <c r="H104" s="78">
        <f t="shared" si="62"/>
        <v>2952</v>
      </c>
      <c r="I104" s="78">
        <f t="shared" si="62"/>
        <v>3627</v>
      </c>
      <c r="J104" s="79">
        <f t="shared" si="62"/>
        <v>3399</v>
      </c>
      <c r="K104" s="78">
        <f ca="1">K91+K93-K97-K100</f>
        <v>3348.3071147770165</v>
      </c>
      <c r="L104" s="78">
        <f t="shared" ca="1" si="62"/>
        <v>4212.979380073175</v>
      </c>
      <c r="M104" s="78">
        <f t="shared" ca="1" si="62"/>
        <v>4217.0671945356471</v>
      </c>
      <c r="N104" s="78">
        <f t="shared" ca="1" si="62"/>
        <v>4811.0947900782085</v>
      </c>
      <c r="O104" s="78">
        <f t="shared" ca="1" si="62"/>
        <v>5497.0023211627704</v>
      </c>
      <c r="P104" s="78">
        <f t="shared" ca="1" si="62"/>
        <v>6014.5614011716079</v>
      </c>
      <c r="Q104" s="78">
        <f t="shared" ca="1" si="62"/>
        <v>6609.2769061913641</v>
      </c>
      <c r="R104" s="78">
        <f t="shared" ca="1" si="62"/>
        <v>7136.0528284112288</v>
      </c>
      <c r="S104" s="78">
        <f t="shared" ca="1" si="62"/>
        <v>7750.791274779649</v>
      </c>
      <c r="T104" s="78">
        <f t="shared" ca="1" si="62"/>
        <v>8070.1508665514548</v>
      </c>
      <c r="U104" s="78">
        <f t="shared" ca="1" si="62"/>
        <v>8395.5114774936555</v>
      </c>
    </row>
    <row r="105" spans="1:21" s="39" customFormat="1" ht="16" customHeight="1" x14ac:dyDescent="0.2">
      <c r="B105" s="39" t="s">
        <v>47</v>
      </c>
      <c r="E105" s="80">
        <f t="shared" ref="E105:U105" si="63">E104/E78</f>
        <v>0.37055044278520577</v>
      </c>
      <c r="F105" s="80">
        <f t="shared" si="63"/>
        <v>0.31702575733030941</v>
      </c>
      <c r="G105" s="80">
        <f t="shared" si="63"/>
        <v>0.33464195979899497</v>
      </c>
      <c r="H105" s="80">
        <f t="shared" si="63"/>
        <v>0.4324007616815585</v>
      </c>
      <c r="I105" s="80">
        <f t="shared" si="63"/>
        <v>0.47855917667238423</v>
      </c>
      <c r="J105" s="65">
        <f t="shared" si="63"/>
        <v>0.40258202060878834</v>
      </c>
      <c r="K105" s="80">
        <f t="shared" ca="1" si="63"/>
        <v>0.30381072502089335</v>
      </c>
      <c r="L105" s="80">
        <f t="shared" ca="1" si="63"/>
        <v>0.33673087740092872</v>
      </c>
      <c r="M105" s="80">
        <f t="shared" ca="1" si="63"/>
        <v>0.30693634848117529</v>
      </c>
      <c r="N105" s="80">
        <f t="shared" ca="1" si="63"/>
        <v>0.32111424624642559</v>
      </c>
      <c r="O105" s="80">
        <f t="shared" ca="1" si="63"/>
        <v>0.33883813058721879</v>
      </c>
      <c r="P105" s="80">
        <f t="shared" ca="1" si="63"/>
        <v>0.34485045628218525</v>
      </c>
      <c r="Q105" s="80">
        <f t="shared" ca="1" si="63"/>
        <v>0.35504688671588508</v>
      </c>
      <c r="R105" s="80">
        <f t="shared" ca="1" si="63"/>
        <v>0.36180237299680013</v>
      </c>
      <c r="S105" s="80">
        <f t="shared" ca="1" si="63"/>
        <v>0.37363485770399657</v>
      </c>
      <c r="T105" s="80">
        <f t="shared" ca="1" si="63"/>
        <v>0.37265285805941051</v>
      </c>
      <c r="U105" s="80">
        <f t="shared" ca="1" si="63"/>
        <v>0.37456637923669844</v>
      </c>
    </row>
    <row r="106" spans="1:21" ht="16" customHeight="1" x14ac:dyDescent="0.2">
      <c r="E106" s="38"/>
      <c r="F106" s="81"/>
      <c r="G106" s="81"/>
      <c r="H106" s="81"/>
      <c r="I106" s="81"/>
      <c r="J106" s="82"/>
      <c r="K106" s="83"/>
      <c r="L106" s="83"/>
      <c r="M106" s="83"/>
      <c r="N106" s="83"/>
      <c r="O106" s="83"/>
      <c r="P106" s="83"/>
      <c r="Q106" s="83"/>
      <c r="R106" s="83"/>
      <c r="S106" s="83"/>
      <c r="T106" s="83"/>
      <c r="U106" s="83"/>
    </row>
    <row r="107" spans="1:21" ht="16" customHeight="1" x14ac:dyDescent="0.2">
      <c r="J107" s="46"/>
      <c r="K107" s="84">
        <v>0.25</v>
      </c>
      <c r="L107" s="84">
        <v>0.75</v>
      </c>
      <c r="U107" s="17"/>
    </row>
    <row r="108" spans="1:21" ht="16" customHeight="1" x14ac:dyDescent="0.2">
      <c r="A108" s="5" t="s">
        <v>10</v>
      </c>
      <c r="B108" s="12" t="s">
        <v>56</v>
      </c>
      <c r="C108" s="12"/>
      <c r="D108" s="12"/>
      <c r="E108" s="85"/>
      <c r="F108" s="85"/>
      <c r="G108" s="85"/>
      <c r="H108" s="85"/>
      <c r="I108" s="85"/>
      <c r="J108" s="85"/>
      <c r="K108" s="85">
        <v>1</v>
      </c>
      <c r="L108" s="85">
        <f>K108+1</f>
        <v>2</v>
      </c>
      <c r="M108" s="85">
        <f t="shared" ref="M108:T108" si="64">L108+1</f>
        <v>3</v>
      </c>
      <c r="N108" s="85">
        <f t="shared" si="64"/>
        <v>4</v>
      </c>
      <c r="O108" s="85">
        <f t="shared" si="64"/>
        <v>5</v>
      </c>
      <c r="P108" s="85">
        <f t="shared" si="64"/>
        <v>6</v>
      </c>
      <c r="Q108" s="85">
        <f t="shared" si="64"/>
        <v>7</v>
      </c>
      <c r="R108" s="85">
        <f t="shared" si="64"/>
        <v>8</v>
      </c>
      <c r="S108" s="85">
        <f t="shared" si="64"/>
        <v>9</v>
      </c>
      <c r="T108" s="85">
        <f t="shared" si="64"/>
        <v>10</v>
      </c>
      <c r="U108" s="85"/>
    </row>
    <row r="109" spans="1:21" s="86" customFormat="1" ht="16" customHeight="1" x14ac:dyDescent="0.2">
      <c r="B109" s="12" t="s">
        <v>40</v>
      </c>
      <c r="C109" s="12"/>
      <c r="D109" s="12"/>
      <c r="E109" s="85"/>
      <c r="F109" s="85"/>
      <c r="G109" s="85"/>
      <c r="H109" s="85"/>
      <c r="I109" s="85"/>
      <c r="J109" s="85"/>
      <c r="K109" s="35">
        <v>45192</v>
      </c>
      <c r="L109" s="35">
        <f>EDATE(K109,12)</f>
        <v>45558</v>
      </c>
      <c r="M109" s="35">
        <f t="shared" ref="M109:T109" si="65">EDATE(L109,12)</f>
        <v>45923</v>
      </c>
      <c r="N109" s="35">
        <f t="shared" si="65"/>
        <v>46288</v>
      </c>
      <c r="O109" s="35">
        <f t="shared" si="65"/>
        <v>46653</v>
      </c>
      <c r="P109" s="35">
        <f t="shared" si="65"/>
        <v>47019</v>
      </c>
      <c r="Q109" s="35">
        <f t="shared" si="65"/>
        <v>47384</v>
      </c>
      <c r="R109" s="35">
        <f t="shared" si="65"/>
        <v>47749</v>
      </c>
      <c r="S109" s="35">
        <f t="shared" si="65"/>
        <v>48114</v>
      </c>
      <c r="T109" s="35">
        <f t="shared" si="65"/>
        <v>48480</v>
      </c>
      <c r="U109" s="85"/>
    </row>
    <row r="110" spans="1:21" ht="16" customHeight="1" x14ac:dyDescent="0.2">
      <c r="B110" s="5" t="s">
        <v>57</v>
      </c>
      <c r="E110" s="87"/>
      <c r="F110" s="87"/>
      <c r="G110" s="87"/>
      <c r="H110" s="87"/>
      <c r="I110" s="87"/>
      <c r="J110" s="82"/>
      <c r="K110" s="88">
        <f t="shared" ref="K110:T110" ca="1" si="66">$K$107*K104+$L$107*L104</f>
        <v>3996.8113137491355</v>
      </c>
      <c r="L110" s="88">
        <f t="shared" ca="1" si="66"/>
        <v>4216.0452409200288</v>
      </c>
      <c r="M110" s="88">
        <f t="shared" ca="1" si="66"/>
        <v>4662.5878911925683</v>
      </c>
      <c r="N110" s="88">
        <f t="shared" ca="1" si="66"/>
        <v>5325.5254383916299</v>
      </c>
      <c r="O110" s="88">
        <f t="shared" ca="1" si="66"/>
        <v>5885.1716311693981</v>
      </c>
      <c r="P110" s="88">
        <f t="shared" ca="1" si="66"/>
        <v>6460.5980299364255</v>
      </c>
      <c r="Q110" s="88">
        <f t="shared" ca="1" si="66"/>
        <v>7004.3588478562624</v>
      </c>
      <c r="R110" s="88">
        <f t="shared" ca="1" si="66"/>
        <v>7597.1066631875437</v>
      </c>
      <c r="S110" s="88">
        <f t="shared" ca="1" si="66"/>
        <v>7990.3109686085027</v>
      </c>
      <c r="T110" s="88">
        <f t="shared" ca="1" si="66"/>
        <v>8314.1713247581047</v>
      </c>
      <c r="U110" s="17"/>
    </row>
    <row r="111" spans="1:21" s="39" customFormat="1" ht="16" customHeight="1" x14ac:dyDescent="0.2">
      <c r="B111" s="39" t="s">
        <v>41</v>
      </c>
      <c r="J111" s="89"/>
      <c r="L111" s="40">
        <f ca="1">L110/K110-1</f>
        <v>5.4852208413422643E-2</v>
      </c>
      <c r="M111" s="40">
        <f t="shared" ref="M111:T111" ca="1" si="67">M110/L110-1</f>
        <v>0.10591505184491212</v>
      </c>
      <c r="N111" s="40">
        <f t="shared" ca="1" si="67"/>
        <v>0.14218231648808644</v>
      </c>
      <c r="O111" s="40">
        <f t="shared" ca="1" si="67"/>
        <v>0.10508750718629334</v>
      </c>
      <c r="P111" s="40">
        <f t="shared" ca="1" si="67"/>
        <v>9.777563592528371E-2</v>
      </c>
      <c r="Q111" s="40">
        <f t="shared" ca="1" si="67"/>
        <v>8.4165709644868247E-2</v>
      </c>
      <c r="R111" s="40">
        <f t="shared" ca="1" si="67"/>
        <v>8.4625563624955769E-2</v>
      </c>
      <c r="S111" s="168">
        <f t="shared" ca="1" si="67"/>
        <v>5.1757112655304027E-2</v>
      </c>
      <c r="T111" s="168">
        <f t="shared" ca="1" si="67"/>
        <v>4.0531633552429946E-2</v>
      </c>
    </row>
    <row r="112" spans="1:21" ht="16" customHeight="1" x14ac:dyDescent="0.2">
      <c r="B112" s="5" t="s">
        <v>58</v>
      </c>
      <c r="J112" s="46"/>
      <c r="T112" s="38">
        <f ca="1">T110*(1+D33)/(T115-D33)</f>
        <v>211628.81361086064</v>
      </c>
    </row>
    <row r="113" spans="2:20" ht="16" customHeight="1" x14ac:dyDescent="0.2">
      <c r="B113" s="5" t="s">
        <v>59</v>
      </c>
      <c r="J113" s="46"/>
      <c r="T113" s="90">
        <f ca="1">(T81+T93)*D34</f>
        <v>212164.5305882683</v>
      </c>
    </row>
    <row r="114" spans="2:20" ht="16" customHeight="1" x14ac:dyDescent="0.2">
      <c r="B114" s="91" t="s">
        <v>60</v>
      </c>
      <c r="C114" s="91"/>
      <c r="D114" s="91"/>
      <c r="E114" s="91"/>
      <c r="F114" s="91"/>
      <c r="G114" s="91"/>
      <c r="H114" s="91"/>
      <c r="I114" s="91"/>
      <c r="J114" s="92"/>
      <c r="K114" s="91"/>
      <c r="L114" s="91"/>
      <c r="M114" s="91"/>
      <c r="N114" s="91"/>
      <c r="O114" s="91"/>
      <c r="P114" s="91"/>
      <c r="Q114" s="91"/>
      <c r="R114" s="91"/>
      <c r="S114" s="91"/>
      <c r="T114" s="90">
        <f ca="1">AVERAGE(T112:T113)</f>
        <v>211896.67209956446</v>
      </c>
    </row>
    <row r="115" spans="2:20" ht="16" customHeight="1" x14ac:dyDescent="0.2">
      <c r="B115" s="5" t="s">
        <v>34</v>
      </c>
      <c r="J115" s="46"/>
      <c r="K115" s="93">
        <f>D32</f>
        <v>8.5661605451078454E-2</v>
      </c>
      <c r="L115" s="94">
        <f t="shared" ref="L115:S115" si="68">K115-($K$115-$T$115)/($T$108-$K$108)</f>
        <v>8.455049433996735E-2</v>
      </c>
      <c r="M115" s="94">
        <f t="shared" si="68"/>
        <v>8.3439383228856245E-2</v>
      </c>
      <c r="N115" s="94">
        <f t="shared" si="68"/>
        <v>8.2328272117745141E-2</v>
      </c>
      <c r="O115" s="94">
        <f t="shared" si="68"/>
        <v>8.1217161006634037E-2</v>
      </c>
      <c r="P115" s="94">
        <f t="shared" si="68"/>
        <v>8.0106049895522932E-2</v>
      </c>
      <c r="Q115" s="94">
        <f t="shared" si="68"/>
        <v>7.8994938784411828E-2</v>
      </c>
      <c r="R115" s="94">
        <f t="shared" si="68"/>
        <v>7.7883827673300723E-2</v>
      </c>
      <c r="S115" s="94">
        <f t="shared" si="68"/>
        <v>7.6772716562189619E-2</v>
      </c>
      <c r="T115" s="93">
        <f>T22</f>
        <v>7.5661605451078459E-2</v>
      </c>
    </row>
    <row r="116" spans="2:20" ht="16" customHeight="1" x14ac:dyDescent="0.2">
      <c r="B116" s="5" t="s">
        <v>61</v>
      </c>
      <c r="J116" s="46"/>
      <c r="K116" s="95">
        <f>1/(1+K115)</f>
        <v>0.92109732441400372</v>
      </c>
      <c r="L116" s="95">
        <f>K116*(1/(1+L115))</f>
        <v>0.84928947911693364</v>
      </c>
      <c r="M116" s="95">
        <f t="shared" ref="M116:T116" si="69">L116*(1/(1+M115))</f>
        <v>0.78388278316585547</v>
      </c>
      <c r="N116" s="95">
        <f t="shared" si="69"/>
        <v>0.72425603521569815</v>
      </c>
      <c r="O116" s="95">
        <f t="shared" si="69"/>
        <v>0.66985251560509984</v>
      </c>
      <c r="P116" s="95">
        <f t="shared" si="69"/>
        <v>0.62017291327077906</v>
      </c>
      <c r="Q116" s="95">
        <f t="shared" si="69"/>
        <v>0.57476906608057077</v>
      </c>
      <c r="R116" s="95">
        <f t="shared" si="69"/>
        <v>0.53323841709477748</v>
      </c>
      <c r="S116" s="95">
        <f t="shared" si="69"/>
        <v>0.49521910138775327</v>
      </c>
      <c r="T116" s="95">
        <f t="shared" si="69"/>
        <v>0.46038558862578655</v>
      </c>
    </row>
    <row r="117" spans="2:20" ht="16" customHeight="1" x14ac:dyDescent="0.2">
      <c r="J117" s="46"/>
    </row>
    <row r="118" spans="2:20" ht="16" customHeight="1" x14ac:dyDescent="0.2">
      <c r="B118" s="69" t="s">
        <v>62</v>
      </c>
      <c r="C118" s="69"/>
      <c r="D118" s="69"/>
      <c r="E118" s="69"/>
      <c r="F118" s="69"/>
      <c r="G118" s="69"/>
      <c r="H118" s="69"/>
      <c r="I118" s="69"/>
      <c r="J118" s="96"/>
      <c r="K118" s="97">
        <f t="shared" ref="K118:T118" ca="1" si="70">K116*K110</f>
        <v>3681.4522072819477</v>
      </c>
      <c r="L118" s="97">
        <f t="shared" ca="1" si="70"/>
        <v>3580.6428665943981</v>
      </c>
      <c r="M118" s="97">
        <f t="shared" ca="1" si="70"/>
        <v>3654.9223729034475</v>
      </c>
      <c r="N118" s="97">
        <f t="shared" ca="1" si="70"/>
        <v>3857.0439394498644</v>
      </c>
      <c r="O118" s="97">
        <f t="shared" ca="1" si="70"/>
        <v>3942.1970219065902</v>
      </c>
      <c r="P118" s="97">
        <f t="shared" ca="1" si="70"/>
        <v>4006.6879016971288</v>
      </c>
      <c r="Q118" s="97">
        <f t="shared" ca="1" si="70"/>
        <v>4025.8887934755267</v>
      </c>
      <c r="R118" s="97">
        <f t="shared" ca="1" si="70"/>
        <v>4051.0691315783129</v>
      </c>
      <c r="S118" s="97">
        <f t="shared" ca="1" si="70"/>
        <v>3956.9546176830113</v>
      </c>
      <c r="T118" s="97">
        <f t="shared" ca="1" si="70"/>
        <v>3827.7246592843953</v>
      </c>
    </row>
    <row r="119" spans="2:20" ht="16" customHeight="1" x14ac:dyDescent="0.2">
      <c r="B119" s="5" t="s">
        <v>63</v>
      </c>
      <c r="T119" s="38">
        <f ca="1">T116*T114</f>
        <v>97554.174112403271</v>
      </c>
    </row>
    <row r="121" spans="2:20" ht="16" customHeight="1" x14ac:dyDescent="0.2">
      <c r="B121" s="98" t="s">
        <v>64</v>
      </c>
      <c r="C121" s="54"/>
      <c r="D121" s="55">
        <f ca="1">SUM(K118:T119)</f>
        <v>136138.75762425788</v>
      </c>
    </row>
    <row r="123" spans="2:20" ht="16" customHeight="1" x14ac:dyDescent="0.2">
      <c r="B123" s="5" t="s">
        <v>65</v>
      </c>
      <c r="D123" s="99">
        <f>T9</f>
        <v>1387</v>
      </c>
    </row>
    <row r="124" spans="2:20" ht="16" customHeight="1" x14ac:dyDescent="0.2">
      <c r="B124" s="5" t="s">
        <v>66</v>
      </c>
      <c r="D124" s="99">
        <f>T10</f>
        <v>1889</v>
      </c>
    </row>
    <row r="125" spans="2:20" ht="16" customHeight="1" x14ac:dyDescent="0.2">
      <c r="B125" s="5" t="s">
        <v>67</v>
      </c>
      <c r="D125" s="99">
        <f>T11</f>
        <v>10786</v>
      </c>
    </row>
    <row r="126" spans="2:20" ht="16" customHeight="1" x14ac:dyDescent="0.2">
      <c r="B126" s="5" t="s">
        <v>68</v>
      </c>
      <c r="D126" s="99">
        <f>T12</f>
        <v>0</v>
      </c>
      <c r="H126" s="5" t="s">
        <v>69</v>
      </c>
    </row>
    <row r="127" spans="2:20" ht="16" customHeight="1" x14ac:dyDescent="0.2">
      <c r="B127" s="98" t="s">
        <v>70</v>
      </c>
      <c r="C127" s="54"/>
      <c r="D127" s="100">
        <f ca="1">D121+D123+D124-D125-D126</f>
        <v>128628.75762425788</v>
      </c>
    </row>
    <row r="128" spans="2:20" ht="16" customHeight="1" x14ac:dyDescent="0.2">
      <c r="D128" s="62"/>
    </row>
    <row r="129" spans="1:21" ht="16" customHeight="1" x14ac:dyDescent="0.2">
      <c r="B129" s="91" t="s">
        <v>71</v>
      </c>
      <c r="C129" s="91"/>
      <c r="D129" s="101">
        <f>T16</f>
        <v>297.3</v>
      </c>
    </row>
    <row r="130" spans="1:21" ht="16" customHeight="1" x14ac:dyDescent="0.2">
      <c r="B130" s="102" t="s">
        <v>1</v>
      </c>
      <c r="D130" s="103">
        <f ca="1">D127/D129</f>
        <v>432.65643331401907</v>
      </c>
    </row>
    <row r="132" spans="1:21" ht="16" customHeight="1" x14ac:dyDescent="0.2">
      <c r="A132" s="5" t="s">
        <v>10</v>
      </c>
      <c r="B132" s="12" t="s">
        <v>72</v>
      </c>
      <c r="C132" s="104"/>
      <c r="D132" s="104"/>
      <c r="E132" s="105"/>
      <c r="F132" s="105"/>
      <c r="G132" s="105"/>
      <c r="H132" s="105"/>
      <c r="I132" s="105"/>
      <c r="J132" s="105"/>
      <c r="K132" s="105"/>
      <c r="L132" s="105"/>
      <c r="M132" s="105"/>
      <c r="N132" s="105"/>
      <c r="O132" s="105"/>
      <c r="P132" s="105"/>
      <c r="Q132" s="105"/>
      <c r="R132" s="105"/>
      <c r="S132" s="105"/>
      <c r="T132" s="105"/>
      <c r="U132" s="105"/>
    </row>
    <row r="134" spans="1:21" ht="16" customHeight="1" x14ac:dyDescent="0.2">
      <c r="B134" s="5" t="s">
        <v>35</v>
      </c>
      <c r="D134" s="106">
        <f>D33</f>
        <v>3.5000000000000003E-2</v>
      </c>
      <c r="F134" s="5" t="s">
        <v>73</v>
      </c>
      <c r="H134" s="23">
        <v>5.0000000000000001E-3</v>
      </c>
      <c r="J134" s="5" t="s">
        <v>74</v>
      </c>
      <c r="L134" s="107">
        <f>D34</f>
        <v>21</v>
      </c>
      <c r="N134" s="5" t="s">
        <v>75</v>
      </c>
      <c r="P134" s="108">
        <v>1</v>
      </c>
    </row>
    <row r="135" spans="1:21" ht="16" customHeight="1" x14ac:dyDescent="0.2">
      <c r="B135" s="5" t="s">
        <v>34</v>
      </c>
      <c r="D135" s="106">
        <f>D32</f>
        <v>8.5661605451078454E-2</v>
      </c>
      <c r="F135" s="5" t="s">
        <v>76</v>
      </c>
      <c r="H135" s="23">
        <v>5.0000000000000001E-3</v>
      </c>
      <c r="J135" s="5" t="s">
        <v>77</v>
      </c>
      <c r="L135" s="106">
        <f>D32</f>
        <v>8.5661605451078454E-2</v>
      </c>
      <c r="N135" s="5" t="s">
        <v>76</v>
      </c>
      <c r="P135" s="23">
        <v>5.0000000000000001E-3</v>
      </c>
    </row>
    <row r="137" spans="1:21" ht="16" customHeight="1" x14ac:dyDescent="0.2">
      <c r="D137" s="165" t="s">
        <v>35</v>
      </c>
      <c r="E137" s="165"/>
      <c r="F137" s="165"/>
      <c r="G137" s="165"/>
      <c r="H137" s="165"/>
      <c r="L137" s="165" t="s">
        <v>36</v>
      </c>
      <c r="M137" s="165"/>
      <c r="N137" s="165"/>
      <c r="O137" s="165"/>
      <c r="P137" s="165"/>
    </row>
    <row r="138" spans="1:21" ht="16" customHeight="1" x14ac:dyDescent="0.2">
      <c r="D138" s="165"/>
      <c r="E138" s="165"/>
      <c r="F138" s="165"/>
      <c r="G138" s="165"/>
      <c r="H138" s="165"/>
      <c r="L138" s="165"/>
      <c r="M138" s="165"/>
      <c r="N138" s="165"/>
      <c r="O138" s="165"/>
      <c r="P138" s="165"/>
    </row>
    <row r="139" spans="1:21" ht="16" customHeight="1" x14ac:dyDescent="0.2">
      <c r="C139" s="103">
        <f ca="1">D130</f>
        <v>432.65643331401907</v>
      </c>
      <c r="D139" s="109">
        <f>E139-H134</f>
        <v>2.5000000000000001E-2</v>
      </c>
      <c r="E139" s="109">
        <f>F139-H134</f>
        <v>3.0000000000000002E-2</v>
      </c>
      <c r="F139" s="110">
        <f>CHOOSE(D28,H28,L28,P28,H33)</f>
        <v>3.5000000000000003E-2</v>
      </c>
      <c r="G139" s="109">
        <f>F139+H134</f>
        <v>0.04</v>
      </c>
      <c r="H139" s="109">
        <f>G139+H134</f>
        <v>4.4999999999999998E-2</v>
      </c>
      <c r="K139" s="103">
        <f ca="1">D130</f>
        <v>432.65643331401907</v>
      </c>
      <c r="L139" s="111">
        <f>M139-P134</f>
        <v>19</v>
      </c>
      <c r="M139" s="111">
        <f>N139-P134</f>
        <v>20</v>
      </c>
      <c r="N139" s="111">
        <f>CHOOSE(D29,H29,L29,P29,H34)</f>
        <v>21</v>
      </c>
      <c r="O139" s="111">
        <f>N139+P134</f>
        <v>22</v>
      </c>
      <c r="P139" s="111">
        <f>O139+P134</f>
        <v>23</v>
      </c>
    </row>
    <row r="140" spans="1:21" ht="16" customHeight="1" x14ac:dyDescent="0.2">
      <c r="B140" s="165" t="s">
        <v>34</v>
      </c>
      <c r="C140" s="112">
        <f>C141-H135</f>
        <v>7.5661605451078445E-2</v>
      </c>
      <c r="D140" s="95">
        <f t="dataTable" ref="D140:H144" dt2D="1" dtr="1" r1="D33" r2="D32" ca="1"/>
        <v>469.84045558833554</v>
      </c>
      <c r="E140" s="95">
        <v>495.7998752957472</v>
      </c>
      <c r="F140" s="95">
        <v>530.22572046441871</v>
      </c>
      <c r="G140" s="95">
        <v>578.06687795027983</v>
      </c>
      <c r="H140" s="95">
        <v>649.06265311536117</v>
      </c>
      <c r="J140" s="165" t="s">
        <v>34</v>
      </c>
      <c r="K140" s="112">
        <f>K141-P135</f>
        <v>7.5661605451078445E-2</v>
      </c>
      <c r="L140" s="95">
        <f t="dataTable" ref="L140:P144" dt2D="1" dtr="1" r1="D34" r2="D32" ca="1"/>
        <v>513.05630215110102</v>
      </c>
      <c r="M140" s="95">
        <v>521.64101130775987</v>
      </c>
      <c r="N140" s="95">
        <v>530.22572046441871</v>
      </c>
      <c r="O140" s="95">
        <v>538.81042962107756</v>
      </c>
      <c r="P140" s="95">
        <v>547.39513877773629</v>
      </c>
    </row>
    <row r="141" spans="1:21" ht="16" customHeight="1" x14ac:dyDescent="0.2">
      <c r="B141" s="165"/>
      <c r="C141" s="112">
        <f>C142-H135</f>
        <v>8.066160545107845E-2</v>
      </c>
      <c r="D141" s="95">
        <v>431.37226273282471</v>
      </c>
      <c r="E141" s="113">
        <v>450.81435685957933</v>
      </c>
      <c r="F141" s="113">
        <v>475.7082790464662</v>
      </c>
      <c r="G141" s="113">
        <v>508.72112449932678</v>
      </c>
      <c r="H141" s="95">
        <v>554.59865432113554</v>
      </c>
      <c r="J141" s="165"/>
      <c r="K141" s="112">
        <f>K142-P135</f>
        <v>8.066160545107845E-2</v>
      </c>
      <c r="L141" s="95">
        <v>459.32046529622028</v>
      </c>
      <c r="M141" s="113">
        <v>467.51437217134333</v>
      </c>
      <c r="N141" s="113">
        <v>475.7082790464662</v>
      </c>
      <c r="O141" s="113">
        <v>483.90218592158931</v>
      </c>
      <c r="P141" s="95">
        <v>492.0960927967123</v>
      </c>
    </row>
    <row r="142" spans="1:21" ht="16" customHeight="1" x14ac:dyDescent="0.2">
      <c r="B142" s="165"/>
      <c r="C142" s="112">
        <f>CHOOSE(D27,H27,L27,P27,H32)</f>
        <v>8.5661605451078454E-2</v>
      </c>
      <c r="D142" s="95">
        <v>399.04183065384387</v>
      </c>
      <c r="E142" s="113">
        <v>414.00871253699654</v>
      </c>
      <c r="F142" s="114">
        <v>432.65643331401907</v>
      </c>
      <c r="G142" s="113">
        <v>456.53322904186075</v>
      </c>
      <c r="H142" s="95">
        <v>488.19722161623997</v>
      </c>
      <c r="J142" s="165"/>
      <c r="K142" s="112">
        <f>CHOOSE(D27,H27,L27,P27,H32)</f>
        <v>8.5661605451078454E-2</v>
      </c>
      <c r="L142" s="95">
        <v>417.01126292329729</v>
      </c>
      <c r="M142" s="113">
        <v>424.83384811865824</v>
      </c>
      <c r="N142" s="114">
        <v>432.65643331401907</v>
      </c>
      <c r="O142" s="113">
        <v>440.47901850938007</v>
      </c>
      <c r="P142" s="95">
        <v>448.30160370474101</v>
      </c>
    </row>
    <row r="143" spans="1:21" ht="16" customHeight="1" x14ac:dyDescent="0.2">
      <c r="B143" s="165"/>
      <c r="C143" s="112">
        <f>C142+H135</f>
        <v>9.0661605451078459E-2</v>
      </c>
      <c r="D143" s="95">
        <v>371.2965463412832</v>
      </c>
      <c r="E143" s="113">
        <v>383.07513041319191</v>
      </c>
      <c r="F143" s="113">
        <v>397.43325236064203</v>
      </c>
      <c r="G143" s="113">
        <v>415.32249950301951</v>
      </c>
      <c r="H143" s="95">
        <v>438.22813525608882</v>
      </c>
      <c r="J143" s="165"/>
      <c r="K143" s="112">
        <f>K142+P135</f>
        <v>9.0661605451078459E-2</v>
      </c>
      <c r="L143" s="95">
        <v>382.49387322164785</v>
      </c>
      <c r="M143" s="113">
        <v>389.96356279114491</v>
      </c>
      <c r="N143" s="113">
        <v>397.43325236064203</v>
      </c>
      <c r="O143" s="113">
        <v>404.90294193013915</v>
      </c>
      <c r="P143" s="95">
        <v>412.37263149963621</v>
      </c>
    </row>
    <row r="144" spans="1:21" ht="16" customHeight="1" x14ac:dyDescent="0.2">
      <c r="B144" s="165"/>
      <c r="C144" s="112">
        <f>C143+H135</f>
        <v>9.5661605451078463E-2</v>
      </c>
      <c r="D144" s="95">
        <v>347.08892970732762</v>
      </c>
      <c r="E144" s="95">
        <v>356.5275227878243</v>
      </c>
      <c r="F144" s="95">
        <v>367.82918218776683</v>
      </c>
      <c r="G144" s="95">
        <v>381.60593182781304</v>
      </c>
      <c r="H144" s="95">
        <v>398.77082846481483</v>
      </c>
      <c r="J144" s="165"/>
      <c r="K144" s="112">
        <f>K143+P135</f>
        <v>9.5661605451078463E-2</v>
      </c>
      <c r="L144" s="95">
        <v>353.56072815917111</v>
      </c>
      <c r="M144" s="95">
        <v>360.694955173469</v>
      </c>
      <c r="N144" s="95">
        <v>367.82918218776683</v>
      </c>
      <c r="O144" s="95">
        <v>374.96340920206472</v>
      </c>
      <c r="P144" s="95">
        <v>382.09763621636267</v>
      </c>
    </row>
    <row r="146" spans="1:21" ht="16" customHeight="1" x14ac:dyDescent="0.2">
      <c r="A146" s="5" t="s">
        <v>10</v>
      </c>
      <c r="B146" s="12" t="s">
        <v>78</v>
      </c>
      <c r="C146" s="104"/>
      <c r="D146" s="104"/>
      <c r="E146" s="33">
        <v>2016</v>
      </c>
      <c r="F146" s="33">
        <f>E146+1</f>
        <v>2017</v>
      </c>
      <c r="G146" s="33">
        <f t="shared" ref="G146:J146" si="71">F146+1</f>
        <v>2018</v>
      </c>
      <c r="H146" s="33">
        <f t="shared" si="71"/>
        <v>2019</v>
      </c>
      <c r="I146" s="33">
        <f t="shared" si="71"/>
        <v>2020</v>
      </c>
      <c r="J146" s="33">
        <f t="shared" si="71"/>
        <v>2021</v>
      </c>
      <c r="K146" s="34">
        <v>2022</v>
      </c>
      <c r="L146" s="34">
        <f>K146+1</f>
        <v>2023</v>
      </c>
      <c r="M146" s="34">
        <f t="shared" ref="M146:U146" si="72">L146+1</f>
        <v>2024</v>
      </c>
      <c r="N146" s="34">
        <f t="shared" si="72"/>
        <v>2025</v>
      </c>
      <c r="O146" s="34">
        <f t="shared" si="72"/>
        <v>2026</v>
      </c>
      <c r="P146" s="34">
        <f t="shared" si="72"/>
        <v>2027</v>
      </c>
      <c r="Q146" s="34">
        <f t="shared" si="72"/>
        <v>2028</v>
      </c>
      <c r="R146" s="34">
        <f t="shared" si="72"/>
        <v>2029</v>
      </c>
      <c r="S146" s="34">
        <f t="shared" si="72"/>
        <v>2030</v>
      </c>
      <c r="T146" s="34">
        <f t="shared" si="72"/>
        <v>2031</v>
      </c>
      <c r="U146" s="34">
        <f t="shared" si="72"/>
        <v>2032</v>
      </c>
    </row>
    <row r="147" spans="1:21" ht="16" customHeight="1" x14ac:dyDescent="0.2">
      <c r="B147" s="12" t="s">
        <v>40</v>
      </c>
      <c r="C147" s="12"/>
      <c r="D147" s="12"/>
      <c r="E147" s="35">
        <f>EDATE(F147,-12)</f>
        <v>42735</v>
      </c>
      <c r="F147" s="35">
        <f t="shared" ref="F147:I147" si="73">EDATE(G147,-12)</f>
        <v>43100</v>
      </c>
      <c r="G147" s="35">
        <f t="shared" si="73"/>
        <v>43465</v>
      </c>
      <c r="H147" s="35">
        <f t="shared" si="73"/>
        <v>43830</v>
      </c>
      <c r="I147" s="35">
        <f t="shared" si="73"/>
        <v>44196</v>
      </c>
      <c r="J147" s="35">
        <f>EDATE(K147,-12)</f>
        <v>44561</v>
      </c>
      <c r="K147" s="35">
        <v>44926</v>
      </c>
      <c r="L147" s="35">
        <f>EDATE(K147,12)</f>
        <v>45291</v>
      </c>
      <c r="M147" s="35">
        <f t="shared" ref="M147:U147" si="74">EDATE(L147,12)</f>
        <v>45657</v>
      </c>
      <c r="N147" s="35">
        <f t="shared" si="74"/>
        <v>46022</v>
      </c>
      <c r="O147" s="35">
        <f t="shared" si="74"/>
        <v>46387</v>
      </c>
      <c r="P147" s="35">
        <f t="shared" si="74"/>
        <v>46752</v>
      </c>
      <c r="Q147" s="35">
        <f t="shared" si="74"/>
        <v>47118</v>
      </c>
      <c r="R147" s="35">
        <f t="shared" si="74"/>
        <v>47483</v>
      </c>
      <c r="S147" s="35">
        <f t="shared" si="74"/>
        <v>47848</v>
      </c>
      <c r="T147" s="35">
        <f t="shared" si="74"/>
        <v>48213</v>
      </c>
      <c r="U147" s="35">
        <f t="shared" si="74"/>
        <v>48579</v>
      </c>
    </row>
    <row r="148" spans="1:21" ht="16" customHeight="1" x14ac:dyDescent="0.2">
      <c r="B148" s="5" t="s">
        <v>45</v>
      </c>
      <c r="E148" s="38">
        <f>E78</f>
        <v>5759</v>
      </c>
      <c r="F148" s="38">
        <f t="shared" ref="F148:U149" si="75">F78</f>
        <v>6173</v>
      </c>
      <c r="G148" s="38">
        <f t="shared" si="75"/>
        <v>6368</v>
      </c>
      <c r="H148" s="38">
        <f t="shared" si="75"/>
        <v>6827</v>
      </c>
      <c r="I148" s="38">
        <f t="shared" si="75"/>
        <v>7579</v>
      </c>
      <c r="J148" s="115">
        <f t="shared" si="75"/>
        <v>8443</v>
      </c>
      <c r="K148" s="38">
        <f t="shared" ca="1" si="75"/>
        <v>11021.03</v>
      </c>
      <c r="L148" s="38">
        <f t="shared" ca="1" si="75"/>
        <v>12511.4139</v>
      </c>
      <c r="M148" s="38">
        <f t="shared" ca="1" si="75"/>
        <v>13739.223833876697</v>
      </c>
      <c r="N148" s="38">
        <f t="shared" ca="1" si="75"/>
        <v>14982.501855075394</v>
      </c>
      <c r="O148" s="38">
        <f t="shared" ca="1" si="75"/>
        <v>16223.092459034247</v>
      </c>
      <c r="P148" s="38">
        <f t="shared" ca="1" si="75"/>
        <v>17441.071315416775</v>
      </c>
      <c r="Q148" s="38">
        <f t="shared" ca="1" si="75"/>
        <v>18615.222815572037</v>
      </c>
      <c r="R148" s="38">
        <f t="shared" ca="1" si="75"/>
        <v>19723.620852189219</v>
      </c>
      <c r="S148" s="38">
        <f t="shared" ca="1" si="75"/>
        <v>20744.293833847889</v>
      </c>
      <c r="T148" s="38">
        <f t="shared" ca="1" si="75"/>
        <v>21655.947866807623</v>
      </c>
      <c r="U148" s="38">
        <f t="shared" ca="1" si="75"/>
        <v>22413.948349027633</v>
      </c>
    </row>
    <row r="149" spans="1:21" s="39" customFormat="1" ht="16" customHeight="1" x14ac:dyDescent="0.2">
      <c r="B149" s="39" t="s">
        <v>41</v>
      </c>
      <c r="F149" s="116">
        <f t="shared" si="75"/>
        <v>7.1887480465358644E-2</v>
      </c>
      <c r="G149" s="116">
        <f t="shared" si="75"/>
        <v>3.1589178681354246E-2</v>
      </c>
      <c r="H149" s="116">
        <f t="shared" si="75"/>
        <v>7.2079145728643157E-2</v>
      </c>
      <c r="I149" s="116">
        <f t="shared" si="75"/>
        <v>0.11015087153947567</v>
      </c>
      <c r="J149" s="117">
        <f t="shared" si="75"/>
        <v>0.11399920833883104</v>
      </c>
      <c r="K149" s="116">
        <f t="shared" ca="1" si="75"/>
        <v>0.3053452564254413</v>
      </c>
      <c r="L149" s="116">
        <f t="shared" ca="1" si="75"/>
        <v>0.13523090854484554</v>
      </c>
      <c r="M149" s="116">
        <f t="shared" ca="1" si="75"/>
        <v>9.8135186293908605E-2</v>
      </c>
      <c r="N149" s="116">
        <f t="shared" ca="1" si="75"/>
        <v>9.0491139545536559E-2</v>
      </c>
      <c r="O149" s="116">
        <f t="shared" ca="1" si="75"/>
        <v>8.280263309552649E-2</v>
      </c>
      <c r="P149" s="116">
        <f t="shared" ca="1" si="75"/>
        <v>7.5076860928833922E-2</v>
      </c>
      <c r="Q149" s="116">
        <f t="shared" ca="1" si="75"/>
        <v>6.7321065255744328E-2</v>
      </c>
      <c r="R149" s="116">
        <f t="shared" ca="1" si="75"/>
        <v>5.9542560816945089E-2</v>
      </c>
      <c r="S149" s="116">
        <f t="shared" ca="1" si="75"/>
        <v>5.1748763034317857E-2</v>
      </c>
      <c r="T149" s="116">
        <f t="shared" ca="1" si="75"/>
        <v>4.3947219426298867E-2</v>
      </c>
      <c r="U149" s="116">
        <f t="shared" ca="1" si="75"/>
        <v>3.5001953591780044E-2</v>
      </c>
    </row>
    <row r="150" spans="1:21" ht="16" customHeight="1" x14ac:dyDescent="0.2">
      <c r="B150" s="5" t="s">
        <v>79</v>
      </c>
      <c r="E150" s="38">
        <f t="shared" ref="E150:U150" si="76">E93+E81</f>
        <v>2825</v>
      </c>
      <c r="F150" s="38">
        <f t="shared" si="76"/>
        <v>2963</v>
      </c>
      <c r="G150" s="38">
        <f t="shared" si="76"/>
        <v>3106</v>
      </c>
      <c r="H150" s="38">
        <f t="shared" si="76"/>
        <v>3509</v>
      </c>
      <c r="I150" s="38">
        <f t="shared" si="76"/>
        <v>3944</v>
      </c>
      <c r="J150" s="115">
        <f t="shared" si="76"/>
        <v>4534</v>
      </c>
      <c r="K150" s="38">
        <f t="shared" ca="1" si="76"/>
        <v>4264.8991666335269</v>
      </c>
      <c r="L150" s="38">
        <f t="shared" ca="1" si="76"/>
        <v>5508.4858549999999</v>
      </c>
      <c r="M150" s="38">
        <f t="shared" ca="1" si="76"/>
        <v>5596.2743073150914</v>
      </c>
      <c r="N150" s="38">
        <f t="shared" ca="1" si="76"/>
        <v>6170.341855816413</v>
      </c>
      <c r="O150" s="38">
        <f t="shared" ca="1" si="76"/>
        <v>6989.1443044458456</v>
      </c>
      <c r="P150" s="38">
        <f t="shared" ca="1" si="76"/>
        <v>7758.4455810187756</v>
      </c>
      <c r="Q150" s="38">
        <f t="shared" ca="1" si="76"/>
        <v>8403.7721820417864</v>
      </c>
      <c r="R150" s="38">
        <f t="shared" ca="1" si="76"/>
        <v>9036.990809357656</v>
      </c>
      <c r="S150" s="38">
        <f t="shared" ca="1" si="76"/>
        <v>9721.0709165984445</v>
      </c>
      <c r="T150" s="38">
        <f t="shared" ca="1" si="76"/>
        <v>10103.072885155634</v>
      </c>
      <c r="U150" s="38">
        <f t="shared" ca="1" si="76"/>
        <v>10506.770176297219</v>
      </c>
    </row>
    <row r="151" spans="1:21" s="39" customFormat="1" ht="16" customHeight="1" x14ac:dyDescent="0.2">
      <c r="B151" s="39" t="s">
        <v>47</v>
      </c>
      <c r="E151" s="40">
        <f>E150/E148</f>
        <v>0.49053655148463277</v>
      </c>
      <c r="F151" s="40">
        <f>F150/F148</f>
        <v>0.47999352016847563</v>
      </c>
      <c r="G151" s="40">
        <f t="shared" ref="G151:U151" si="77">G150/G148</f>
        <v>0.48775125628140703</v>
      </c>
      <c r="H151" s="40">
        <f t="shared" si="77"/>
        <v>0.51398857477662219</v>
      </c>
      <c r="I151" s="40">
        <f t="shared" si="77"/>
        <v>0.52038527510225618</v>
      </c>
      <c r="J151" s="41">
        <f t="shared" si="77"/>
        <v>0.53701291010304397</v>
      </c>
      <c r="K151" s="40">
        <f t="shared" ca="1" si="77"/>
        <v>0.38697827395747281</v>
      </c>
      <c r="L151" s="40">
        <f t="shared" ca="1" si="77"/>
        <v>0.4402768463282955</v>
      </c>
      <c r="M151" s="40">
        <f t="shared" ca="1" si="77"/>
        <v>0.40732099389169291</v>
      </c>
      <c r="N151" s="40">
        <f t="shared" ca="1" si="77"/>
        <v>0.41183654876212683</v>
      </c>
      <c r="O151" s="40">
        <f t="shared" ca="1" si="77"/>
        <v>0.4308145516703728</v>
      </c>
      <c r="P151" s="40">
        <f t="shared" ca="1" si="77"/>
        <v>0.44483767313999878</v>
      </c>
      <c r="Q151" s="40">
        <f t="shared" ca="1" si="77"/>
        <v>0.45144623114647059</v>
      </c>
      <c r="R151" s="40">
        <f t="shared" ca="1" si="77"/>
        <v>0.45818112592417826</v>
      </c>
      <c r="S151" s="40">
        <f t="shared" ca="1" si="77"/>
        <v>0.46861421239304096</v>
      </c>
      <c r="T151" s="40">
        <f t="shared" ca="1" si="77"/>
        <v>0.4665264687232073</v>
      </c>
      <c r="U151" s="40">
        <f t="shared" ca="1" si="77"/>
        <v>0.46876034568684222</v>
      </c>
    </row>
    <row r="152" spans="1:21" ht="16" customHeight="1" x14ac:dyDescent="0.2">
      <c r="B152" s="5" t="s">
        <v>50</v>
      </c>
      <c r="E152" s="38">
        <f t="shared" ref="E152:U152" si="78">E93</f>
        <v>181</v>
      </c>
      <c r="F152" s="38">
        <f t="shared" si="78"/>
        <v>180</v>
      </c>
      <c r="G152" s="38">
        <f t="shared" si="78"/>
        <v>206</v>
      </c>
      <c r="H152" s="38">
        <f t="shared" si="78"/>
        <v>204</v>
      </c>
      <c r="I152" s="38">
        <f t="shared" si="78"/>
        <v>206</v>
      </c>
      <c r="J152" s="115">
        <f t="shared" si="78"/>
        <v>178</v>
      </c>
      <c r="K152" s="38">
        <f t="shared" ca="1" si="78"/>
        <v>1004.2910071462682</v>
      </c>
      <c r="L152" s="38">
        <f t="shared" ca="1" si="78"/>
        <v>870.05079500000022</v>
      </c>
      <c r="M152" s="38">
        <f t="shared" ca="1" si="78"/>
        <v>412.17472527405141</v>
      </c>
      <c r="N152" s="38">
        <f t="shared" ca="1" si="78"/>
        <v>418.4695529608216</v>
      </c>
      <c r="O152" s="38">
        <f t="shared" ca="1" si="78"/>
        <v>654.1750750240875</v>
      </c>
      <c r="P152" s="38">
        <f t="shared" ca="1" si="78"/>
        <v>833.01977570765825</v>
      </c>
      <c r="Q152" s="38">
        <f t="shared" ca="1" si="78"/>
        <v>889.54074160316509</v>
      </c>
      <c r="R152" s="38">
        <f t="shared" ca="1" si="78"/>
        <v>945.4655505171603</v>
      </c>
      <c r="S152" s="38">
        <f t="shared" ca="1" si="78"/>
        <v>1074.2210123826271</v>
      </c>
      <c r="T152" s="38">
        <f t="shared" ca="1" si="78"/>
        <v>933.6166366406627</v>
      </c>
      <c r="U152" s="38">
        <f t="shared" ca="1" si="78"/>
        <v>868.77238621533741</v>
      </c>
    </row>
    <row r="153" spans="1:21" s="39" customFormat="1" ht="16" customHeight="1" x14ac:dyDescent="0.2">
      <c r="B153" s="39" t="s">
        <v>51</v>
      </c>
      <c r="E153" s="116">
        <f t="shared" ref="E153:U153" si="79">E95</f>
        <v>1.5739130434782609</v>
      </c>
      <c r="F153" s="116">
        <f t="shared" si="79"/>
        <v>1.4634146341463414</v>
      </c>
      <c r="G153" s="116">
        <f t="shared" si="79"/>
        <v>1.8230088495575221</v>
      </c>
      <c r="H153" s="116">
        <f t="shared" si="79"/>
        <v>1.7739130434782608</v>
      </c>
      <c r="I153" s="116">
        <f t="shared" si="79"/>
        <v>2.7105263157894739</v>
      </c>
      <c r="J153" s="117">
        <f t="shared" si="79"/>
        <v>5.0857142857142854</v>
      </c>
      <c r="K153" s="116">
        <f t="shared" ca="1" si="79"/>
        <v>6.1670071475549193</v>
      </c>
      <c r="L153" s="116">
        <f t="shared" ca="1" si="79"/>
        <v>4.9990403614591479</v>
      </c>
      <c r="M153" s="116">
        <f t="shared" ca="1" si="79"/>
        <v>2.3240688773662574</v>
      </c>
      <c r="N153" s="116">
        <f t="shared" ca="1" si="79"/>
        <v>2.3078855174700963</v>
      </c>
      <c r="O153" s="116">
        <f t="shared" ca="1" si="79"/>
        <v>3.5647514751200831</v>
      </c>
      <c r="P153" s="116">
        <f t="shared" ca="1" si="79"/>
        <v>4.1439185825619074</v>
      </c>
      <c r="Q153" s="116">
        <f t="shared" ca="1" si="79"/>
        <v>3.7461748316247188</v>
      </c>
      <c r="R153" s="116">
        <f t="shared" ca="1" si="79"/>
        <v>3.859827617668425</v>
      </c>
      <c r="S153" s="116">
        <f t="shared" ca="1" si="79"/>
        <v>4.2548654729969639</v>
      </c>
      <c r="T153" s="116">
        <f t="shared" ca="1" si="79"/>
        <v>3.5784304630799579</v>
      </c>
      <c r="U153" s="116">
        <f t="shared" ca="1" si="79"/>
        <v>3.2197151422144765</v>
      </c>
    </row>
    <row r="154" spans="1:21" ht="16" customHeight="1" x14ac:dyDescent="0.2">
      <c r="B154" s="5" t="s">
        <v>80</v>
      </c>
      <c r="E154" s="38">
        <f t="shared" ref="E154:U155" si="80">E81</f>
        <v>2644</v>
      </c>
      <c r="F154" s="38">
        <f t="shared" si="80"/>
        <v>2783</v>
      </c>
      <c r="G154" s="38">
        <f t="shared" si="80"/>
        <v>2900</v>
      </c>
      <c r="H154" s="38">
        <f t="shared" si="80"/>
        <v>3305</v>
      </c>
      <c r="I154" s="38">
        <f t="shared" si="80"/>
        <v>3738</v>
      </c>
      <c r="J154" s="115">
        <f t="shared" si="80"/>
        <v>4356</v>
      </c>
      <c r="K154" s="38">
        <f t="shared" ca="1" si="80"/>
        <v>3260.6081594872585</v>
      </c>
      <c r="L154" s="38">
        <f t="shared" ca="1" si="80"/>
        <v>4638.4350599999998</v>
      </c>
      <c r="M154" s="38">
        <f t="shared" ca="1" si="80"/>
        <v>5184.0995820410399</v>
      </c>
      <c r="N154" s="38">
        <f t="shared" ca="1" si="80"/>
        <v>5751.8723028555914</v>
      </c>
      <c r="O154" s="38">
        <f t="shared" ca="1" si="80"/>
        <v>6334.9692294217584</v>
      </c>
      <c r="P154" s="38">
        <f t="shared" ca="1" si="80"/>
        <v>6925.4258053111171</v>
      </c>
      <c r="Q154" s="38">
        <f t="shared" ca="1" si="80"/>
        <v>7514.2314404386207</v>
      </c>
      <c r="R154" s="38">
        <f t="shared" ca="1" si="80"/>
        <v>8091.5252588404956</v>
      </c>
      <c r="S154" s="38">
        <f t="shared" ca="1" si="80"/>
        <v>8646.8499042158182</v>
      </c>
      <c r="T154" s="38">
        <f t="shared" ca="1" si="80"/>
        <v>9169.4562485149709</v>
      </c>
      <c r="U154" s="38">
        <f t="shared" ca="1" si="80"/>
        <v>9637.9977900818812</v>
      </c>
    </row>
    <row r="155" spans="1:21" s="39" customFormat="1" ht="16" customHeight="1" x14ac:dyDescent="0.2">
      <c r="B155" s="39" t="s">
        <v>47</v>
      </c>
      <c r="E155" s="40">
        <f t="shared" si="80"/>
        <v>0.45910748393818374</v>
      </c>
      <c r="F155" s="40">
        <f t="shared" si="80"/>
        <v>0.45083427830876399</v>
      </c>
      <c r="G155" s="40">
        <f t="shared" si="80"/>
        <v>0.45540201005025127</v>
      </c>
      <c r="H155" s="40">
        <f t="shared" si="80"/>
        <v>0.48410722132708361</v>
      </c>
      <c r="I155" s="40">
        <f t="shared" si="80"/>
        <v>0.4932049082992479</v>
      </c>
      <c r="J155" s="41">
        <f t="shared" si="80"/>
        <v>0.51593035650835006</v>
      </c>
      <c r="K155" s="40">
        <f t="shared" ca="1" si="80"/>
        <v>0.29585330586045572</v>
      </c>
      <c r="L155" s="40">
        <f t="shared" ca="1" si="80"/>
        <v>0.37073628105293521</v>
      </c>
      <c r="M155" s="40">
        <f t="shared" ca="1" si="80"/>
        <v>0.37732113871372019</v>
      </c>
      <c r="N155" s="40">
        <f t="shared" ca="1" si="80"/>
        <v>0.38390599637450518</v>
      </c>
      <c r="O155" s="40">
        <f t="shared" ca="1" si="80"/>
        <v>0.39049085403529016</v>
      </c>
      <c r="P155" s="40">
        <f t="shared" ca="1" si="80"/>
        <v>0.39707571169607514</v>
      </c>
      <c r="Q155" s="40">
        <f t="shared" ca="1" si="80"/>
        <v>0.40366056935686012</v>
      </c>
      <c r="R155" s="40">
        <f t="shared" ca="1" si="80"/>
        <v>0.4102454270176451</v>
      </c>
      <c r="S155" s="40">
        <f t="shared" ca="1" si="80"/>
        <v>0.41683028467843009</v>
      </c>
      <c r="T155" s="40">
        <f t="shared" ca="1" si="80"/>
        <v>0.42341514233921507</v>
      </c>
      <c r="U155" s="40">
        <f t="shared" ca="1" si="80"/>
        <v>0.43</v>
      </c>
    </row>
    <row r="156" spans="1:21" ht="16" customHeight="1" x14ac:dyDescent="0.2">
      <c r="B156" s="5" t="s">
        <v>32</v>
      </c>
      <c r="E156" s="38">
        <f t="shared" ref="E156:U157" si="81">E88</f>
        <v>960</v>
      </c>
      <c r="F156" s="38">
        <f t="shared" si="81"/>
        <v>823</v>
      </c>
      <c r="G156" s="38">
        <f t="shared" si="81"/>
        <v>560</v>
      </c>
      <c r="H156" s="38">
        <f t="shared" si="81"/>
        <v>627</v>
      </c>
      <c r="I156" s="38">
        <f t="shared" si="81"/>
        <v>694</v>
      </c>
      <c r="J156" s="115">
        <f t="shared" si="81"/>
        <v>901</v>
      </c>
      <c r="K156" s="38">
        <f t="shared" ca="1" si="81"/>
        <v>887.52503964006326</v>
      </c>
      <c r="L156" s="38">
        <f t="shared" ca="1" si="81"/>
        <v>1159.6087650000002</v>
      </c>
      <c r="M156" s="38">
        <f t="shared" ca="1" si="81"/>
        <v>1272.9844529234113</v>
      </c>
      <c r="N156" s="38">
        <f t="shared" ca="1" si="81"/>
        <v>1386.8403219107374</v>
      </c>
      <c r="O156" s="38">
        <f t="shared" ca="1" si="81"/>
        <v>1499.2760509631498</v>
      </c>
      <c r="P156" s="38">
        <f t="shared" ca="1" si="81"/>
        <v>1608.2377703444708</v>
      </c>
      <c r="Q156" s="38">
        <f t="shared" ca="1" si="81"/>
        <v>1711.5749392110195</v>
      </c>
      <c r="R156" s="38">
        <f t="shared" ca="1" si="81"/>
        <v>1807.1073078077111</v>
      </c>
      <c r="S156" s="38">
        <f t="shared" ca="1" si="81"/>
        <v>1892.6993679227962</v>
      </c>
      <c r="T156" s="38">
        <f t="shared" ca="1" si="81"/>
        <v>1966.338951070433</v>
      </c>
      <c r="U156" s="38">
        <f t="shared" ca="1" si="81"/>
        <v>2023.9795359171949</v>
      </c>
    </row>
    <row r="157" spans="1:21" s="39" customFormat="1" ht="16" customHeight="1" x14ac:dyDescent="0.2">
      <c r="B157" s="39" t="s">
        <v>48</v>
      </c>
      <c r="E157" s="40">
        <f t="shared" si="81"/>
        <v>0.36308623298033282</v>
      </c>
      <c r="F157" s="40">
        <f t="shared" si="81"/>
        <v>0.29572403880704273</v>
      </c>
      <c r="G157" s="40">
        <f t="shared" si="81"/>
        <v>0.19310344827586207</v>
      </c>
      <c r="H157" s="40">
        <f t="shared" si="81"/>
        <v>0.1897125567322239</v>
      </c>
      <c r="I157" s="40">
        <f t="shared" si="81"/>
        <v>0.18566078116639914</v>
      </c>
      <c r="J157" s="41">
        <f t="shared" si="81"/>
        <v>0.20684113865932047</v>
      </c>
      <c r="K157" s="40">
        <f t="shared" si="81"/>
        <v>0.27219616593845164</v>
      </c>
      <c r="L157" s="40">
        <f t="shared" si="81"/>
        <v>0.25000000000000006</v>
      </c>
      <c r="M157" s="40">
        <f t="shared" si="81"/>
        <v>0.24555555555555561</v>
      </c>
      <c r="N157" s="40">
        <f t="shared" si="81"/>
        <v>0.24111111111111116</v>
      </c>
      <c r="O157" s="40">
        <f t="shared" si="81"/>
        <v>0.23666666666666672</v>
      </c>
      <c r="P157" s="40">
        <f t="shared" si="81"/>
        <v>0.23222222222222227</v>
      </c>
      <c r="Q157" s="40">
        <f t="shared" si="81"/>
        <v>0.22777777777777783</v>
      </c>
      <c r="R157" s="40">
        <f t="shared" si="81"/>
        <v>0.22333333333333338</v>
      </c>
      <c r="S157" s="40">
        <f t="shared" si="81"/>
        <v>0.21888888888888894</v>
      </c>
      <c r="T157" s="40">
        <f t="shared" si="81"/>
        <v>0.21444444444444449</v>
      </c>
      <c r="U157" s="40">
        <f t="shared" si="81"/>
        <v>0.21</v>
      </c>
    </row>
    <row r="158" spans="1:21" ht="16" customHeight="1" x14ac:dyDescent="0.2">
      <c r="B158" s="5" t="s">
        <v>49</v>
      </c>
      <c r="E158" s="38">
        <f t="shared" ref="E158:U158" si="82">E91</f>
        <v>1684</v>
      </c>
      <c r="F158" s="38">
        <f t="shared" si="82"/>
        <v>1960</v>
      </c>
      <c r="G158" s="38">
        <f t="shared" si="82"/>
        <v>2340</v>
      </c>
      <c r="H158" s="38">
        <f t="shared" si="82"/>
        <v>2678</v>
      </c>
      <c r="I158" s="38">
        <f t="shared" si="82"/>
        <v>3044</v>
      </c>
      <c r="J158" s="115">
        <f t="shared" si="82"/>
        <v>3455</v>
      </c>
      <c r="K158" s="38">
        <f t="shared" ca="1" si="82"/>
        <v>2373.0831198471951</v>
      </c>
      <c r="L158" s="38">
        <f t="shared" ca="1" si="82"/>
        <v>3478.8262949999998</v>
      </c>
      <c r="M158" s="38">
        <f t="shared" ca="1" si="82"/>
        <v>3911.1151291176284</v>
      </c>
      <c r="N158" s="38">
        <f t="shared" ca="1" si="82"/>
        <v>4365.0319809448538</v>
      </c>
      <c r="O158" s="38">
        <f t="shared" ca="1" si="82"/>
        <v>4835.6931784586086</v>
      </c>
      <c r="P158" s="38">
        <f t="shared" ca="1" si="82"/>
        <v>5317.1880349666462</v>
      </c>
      <c r="Q158" s="38">
        <f t="shared" ca="1" si="82"/>
        <v>5802.6565012276014</v>
      </c>
      <c r="R158" s="38">
        <f t="shared" ca="1" si="82"/>
        <v>6284.4179510327849</v>
      </c>
      <c r="S158" s="38">
        <f t="shared" ca="1" si="82"/>
        <v>6754.150536293022</v>
      </c>
      <c r="T158" s="38">
        <f t="shared" ca="1" si="82"/>
        <v>7203.1172974445381</v>
      </c>
      <c r="U158" s="38">
        <f t="shared" ca="1" si="82"/>
        <v>7614.0182541646864</v>
      </c>
    </row>
    <row r="159" spans="1:21" ht="16" customHeight="1" x14ac:dyDescent="0.2">
      <c r="B159" s="5" t="s">
        <v>81</v>
      </c>
      <c r="E159" s="38">
        <f>E152</f>
        <v>181</v>
      </c>
      <c r="F159" s="38">
        <f t="shared" ref="F159:U159" si="83">F152</f>
        <v>180</v>
      </c>
      <c r="G159" s="38">
        <f t="shared" si="83"/>
        <v>206</v>
      </c>
      <c r="H159" s="38">
        <f t="shared" si="83"/>
        <v>204</v>
      </c>
      <c r="I159" s="38">
        <f t="shared" si="83"/>
        <v>206</v>
      </c>
      <c r="J159" s="115">
        <f t="shared" si="83"/>
        <v>178</v>
      </c>
      <c r="K159" s="38">
        <f t="shared" ca="1" si="83"/>
        <v>1004.2910071462682</v>
      </c>
      <c r="L159" s="38">
        <f t="shared" ca="1" si="83"/>
        <v>870.05079500000022</v>
      </c>
      <c r="M159" s="38">
        <f t="shared" ca="1" si="83"/>
        <v>412.17472527405141</v>
      </c>
      <c r="N159" s="38">
        <f t="shared" ca="1" si="83"/>
        <v>418.4695529608216</v>
      </c>
      <c r="O159" s="38">
        <f t="shared" ca="1" si="83"/>
        <v>654.1750750240875</v>
      </c>
      <c r="P159" s="38">
        <f t="shared" ca="1" si="83"/>
        <v>833.01977570765825</v>
      </c>
      <c r="Q159" s="38">
        <f t="shared" ca="1" si="83"/>
        <v>889.54074160316509</v>
      </c>
      <c r="R159" s="38">
        <f t="shared" ca="1" si="83"/>
        <v>945.4655505171603</v>
      </c>
      <c r="S159" s="38">
        <f t="shared" ca="1" si="83"/>
        <v>1074.2210123826271</v>
      </c>
      <c r="T159" s="38">
        <f t="shared" ca="1" si="83"/>
        <v>933.6166366406627</v>
      </c>
      <c r="U159" s="38">
        <f t="shared" ca="1" si="83"/>
        <v>868.77238621533741</v>
      </c>
    </row>
    <row r="160" spans="1:21" ht="16" customHeight="1" x14ac:dyDescent="0.2">
      <c r="B160" s="5" t="s">
        <v>82</v>
      </c>
      <c r="E160" s="38">
        <f t="shared" ref="E160:U160" si="84">E97</f>
        <v>115</v>
      </c>
      <c r="F160" s="38">
        <f t="shared" si="84"/>
        <v>123</v>
      </c>
      <c r="G160" s="38">
        <f t="shared" si="84"/>
        <v>113</v>
      </c>
      <c r="H160" s="38">
        <f t="shared" si="84"/>
        <v>115</v>
      </c>
      <c r="I160" s="38">
        <f t="shared" si="84"/>
        <v>76</v>
      </c>
      <c r="J160" s="115">
        <f t="shared" si="84"/>
        <v>35</v>
      </c>
      <c r="K160" s="38">
        <f t="shared" ca="1" si="84"/>
        <v>162.84900975742295</v>
      </c>
      <c r="L160" s="38">
        <f t="shared" ca="1" si="84"/>
        <v>174.04356278212663</v>
      </c>
      <c r="M160" s="38">
        <f t="shared" ca="1" si="84"/>
        <v>177.35047755604683</v>
      </c>
      <c r="N160" s="38">
        <f t="shared" ca="1" si="84"/>
        <v>181.32162526828793</v>
      </c>
      <c r="O160" s="38">
        <f t="shared" ca="1" si="84"/>
        <v>183.51211286112192</v>
      </c>
      <c r="P160" s="38">
        <f t="shared" ca="1" si="84"/>
        <v>201.0222351406957</v>
      </c>
      <c r="Q160" s="38">
        <f t="shared" ca="1" si="84"/>
        <v>237.45307722794416</v>
      </c>
      <c r="R160" s="38">
        <f t="shared" ca="1" si="84"/>
        <v>244.95020093365724</v>
      </c>
      <c r="S160" s="38">
        <f t="shared" ca="1" si="84"/>
        <v>252.46885458542761</v>
      </c>
      <c r="T160" s="38">
        <f t="shared" ca="1" si="84"/>
        <v>260.90115380839291</v>
      </c>
      <c r="U160" s="38">
        <f t="shared" ca="1" si="84"/>
        <v>269.82895934632512</v>
      </c>
    </row>
    <row r="161" spans="2:21" ht="16" customHeight="1" x14ac:dyDescent="0.2">
      <c r="B161" s="5" t="s">
        <v>83</v>
      </c>
      <c r="E161" s="38">
        <f t="shared" ref="E161:U161" si="85">E100</f>
        <v>-384</v>
      </c>
      <c r="F161" s="38">
        <f t="shared" si="85"/>
        <v>60</v>
      </c>
      <c r="G161" s="38">
        <f t="shared" si="85"/>
        <v>302</v>
      </c>
      <c r="H161" s="38">
        <f t="shared" si="85"/>
        <v>-185</v>
      </c>
      <c r="I161" s="38">
        <f t="shared" si="85"/>
        <v>-453</v>
      </c>
      <c r="J161" s="115">
        <f t="shared" si="85"/>
        <v>199</v>
      </c>
      <c r="K161" s="38">
        <f t="shared" ca="1" si="85"/>
        <v>-133.78199754097631</v>
      </c>
      <c r="L161" s="38">
        <f t="shared" ca="1" si="85"/>
        <v>-38.145852855301506</v>
      </c>
      <c r="M161" s="38">
        <f t="shared" ca="1" si="85"/>
        <v>-71.127817700014063</v>
      </c>
      <c r="N161" s="38">
        <f t="shared" ca="1" si="85"/>
        <v>-208.91488144082095</v>
      </c>
      <c r="O161" s="38">
        <f t="shared" ca="1" si="85"/>
        <v>-190.64618054119666</v>
      </c>
      <c r="P161" s="38">
        <f t="shared" ca="1" si="85"/>
        <v>-65.375825637998958</v>
      </c>
      <c r="Q161" s="38">
        <f t="shared" ca="1" si="85"/>
        <v>-154.53274058854154</v>
      </c>
      <c r="R161" s="38">
        <f t="shared" ca="1" si="85"/>
        <v>-151.11952779494084</v>
      </c>
      <c r="S161" s="38">
        <f t="shared" ca="1" si="85"/>
        <v>-174.88858068942736</v>
      </c>
      <c r="T161" s="38">
        <f t="shared" ca="1" si="85"/>
        <v>-194.3180862746479</v>
      </c>
      <c r="U161" s="38">
        <f t="shared" ca="1" si="85"/>
        <v>-182.54979645995667</v>
      </c>
    </row>
    <row r="162" spans="2:21" ht="16" customHeight="1" x14ac:dyDescent="0.2">
      <c r="J162" s="46"/>
    </row>
    <row r="163" spans="2:21" ht="16" customHeight="1" x14ac:dyDescent="0.2">
      <c r="B163" s="91" t="s">
        <v>84</v>
      </c>
      <c r="C163" s="91"/>
      <c r="D163" s="91"/>
      <c r="E163" s="90">
        <f>E158+E159-E160-E161</f>
        <v>2134</v>
      </c>
      <c r="F163" s="90">
        <f t="shared" ref="F163:U163" si="86">F158+F159-F160-F161</f>
        <v>1957</v>
      </c>
      <c r="G163" s="90">
        <f t="shared" si="86"/>
        <v>2131</v>
      </c>
      <c r="H163" s="90">
        <f t="shared" si="86"/>
        <v>2952</v>
      </c>
      <c r="I163" s="90">
        <f t="shared" si="86"/>
        <v>3627</v>
      </c>
      <c r="J163" s="118">
        <f t="shared" si="86"/>
        <v>3399</v>
      </c>
      <c r="K163" s="90">
        <f t="shared" ca="1" si="86"/>
        <v>3348.3071147770165</v>
      </c>
      <c r="L163" s="90">
        <f t="shared" ca="1" si="86"/>
        <v>4212.979380073175</v>
      </c>
      <c r="M163" s="90">
        <f t="shared" ca="1" si="86"/>
        <v>4217.0671945356471</v>
      </c>
      <c r="N163" s="90">
        <f t="shared" ca="1" si="86"/>
        <v>4811.0947900782085</v>
      </c>
      <c r="O163" s="90">
        <f t="shared" ca="1" si="86"/>
        <v>5497.0023211627704</v>
      </c>
      <c r="P163" s="90">
        <f t="shared" ca="1" si="86"/>
        <v>6014.5614011716079</v>
      </c>
      <c r="Q163" s="90">
        <f t="shared" ca="1" si="86"/>
        <v>6609.2769061913641</v>
      </c>
      <c r="R163" s="90">
        <f t="shared" ca="1" si="86"/>
        <v>7136.0528284112288</v>
      </c>
      <c r="S163" s="90">
        <f t="shared" ca="1" si="86"/>
        <v>7750.791274779649</v>
      </c>
      <c r="T163" s="90">
        <f t="shared" ca="1" si="86"/>
        <v>8070.1508665514548</v>
      </c>
      <c r="U163" s="90">
        <f t="shared" ca="1" si="86"/>
        <v>8395.5114774936555</v>
      </c>
    </row>
    <row r="164" spans="2:21" ht="16" customHeight="1" x14ac:dyDescent="0.2">
      <c r="E164" s="38"/>
    </row>
  </sheetData>
  <sheetProtection algorithmName="SHA-512" hashValue="X25j5j64lAq0hvwqjoKFCOYL4PppyN1tDgC2viFPARpTdlmF3msl0XN+sFM2uiMOtckJGXG2dBJ146NL69/vYQ==" saltValue="np4hn/lJebQx/59NjnIMQQ==" spinCount="100000" sheet="1" objects="1" scenarios="1" selectLockedCells="1"/>
  <mergeCells count="4">
    <mergeCell ref="D137:H138"/>
    <mergeCell ref="L137:P138"/>
    <mergeCell ref="B140:B144"/>
    <mergeCell ref="J140:J144"/>
  </mergeCells>
  <pageMargins left="0.7" right="0.7" top="0.75" bottom="0.75" header="0.3" footer="0.3"/>
  <ignoredErrors>
    <ignoredError sqref="M68:T68 M69:T70 T22" unlockedFormula="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9E8D7-4589-B845-992E-76A06BF15E02}">
  <dimension ref="B1:AN51"/>
  <sheetViews>
    <sheetView zoomScale="110" zoomScaleNormal="110" workbookViewId="0">
      <pane xSplit="2" ySplit="2" topLeftCell="M3" activePane="bottomRight" state="frozen"/>
      <selection activeCell="H133" sqref="H133"/>
      <selection pane="topRight" activeCell="H133" sqref="H133"/>
      <selection pane="bottomLeft" activeCell="H133" sqref="H133"/>
      <selection pane="bottomRight" activeCell="S28" sqref="S28"/>
    </sheetView>
  </sheetViews>
  <sheetFormatPr baseColWidth="10" defaultRowHeight="16" x14ac:dyDescent="0.2"/>
  <cols>
    <col min="2" max="2" width="26.83203125" customWidth="1"/>
    <col min="3" max="6" width="10.83203125" customWidth="1"/>
    <col min="28" max="28" width="10.83203125" customWidth="1"/>
    <col min="29" max="38" width="10.83203125" hidden="1" customWidth="1"/>
    <col min="40" max="40" width="10.83203125" customWidth="1"/>
  </cols>
  <sheetData>
    <row r="1" spans="2:38" x14ac:dyDescent="0.2">
      <c r="B1" s="62" t="e" vm="1">
        <v>#VALUE!</v>
      </c>
      <c r="C1" s="62"/>
      <c r="D1" s="62"/>
      <c r="E1" s="62"/>
      <c r="F1" s="62"/>
      <c r="G1" s="119"/>
      <c r="H1" s="119"/>
      <c r="I1" s="119"/>
      <c r="J1" s="119"/>
      <c r="K1" s="119"/>
      <c r="L1" s="119"/>
      <c r="M1" s="120">
        <v>44834</v>
      </c>
      <c r="N1" s="120">
        <v>44926</v>
      </c>
      <c r="P1" s="120"/>
      <c r="Q1" s="119"/>
      <c r="R1" s="119"/>
      <c r="S1" s="119"/>
    </row>
    <row r="2" spans="2:38" x14ac:dyDescent="0.2">
      <c r="B2" s="121" t="s">
        <v>85</v>
      </c>
      <c r="C2" s="122" t="s">
        <v>137</v>
      </c>
      <c r="D2" s="122" t="s">
        <v>138</v>
      </c>
      <c r="E2" s="122" t="s">
        <v>139</v>
      </c>
      <c r="F2" s="122" t="s">
        <v>140</v>
      </c>
      <c r="G2" s="122" t="s">
        <v>86</v>
      </c>
      <c r="H2" s="122" t="s">
        <v>87</v>
      </c>
      <c r="I2" s="122" t="s">
        <v>88</v>
      </c>
      <c r="J2" s="122" t="s">
        <v>89</v>
      </c>
      <c r="K2" s="122" t="s">
        <v>90</v>
      </c>
      <c r="L2" s="122" t="s">
        <v>91</v>
      </c>
      <c r="M2" s="122" t="s">
        <v>92</v>
      </c>
      <c r="N2" s="122" t="s">
        <v>93</v>
      </c>
      <c r="O2" s="122" t="s">
        <v>94</v>
      </c>
      <c r="P2" s="122" t="s">
        <v>95</v>
      </c>
      <c r="Q2" s="122" t="s">
        <v>96</v>
      </c>
      <c r="R2" s="122" t="s">
        <v>97</v>
      </c>
      <c r="S2" s="119"/>
      <c r="U2" s="119" t="s">
        <v>98</v>
      </c>
      <c r="V2" s="119" t="s">
        <v>99</v>
      </c>
      <c r="W2" s="119" t="s">
        <v>100</v>
      </c>
      <c r="X2" s="123">
        <v>2019</v>
      </c>
      <c r="Y2" s="123">
        <f>X2+1</f>
        <v>2020</v>
      </c>
      <c r="Z2" s="123">
        <f t="shared" ref="Z2" si="0">Y2+1</f>
        <v>2021</v>
      </c>
      <c r="AA2" s="124" t="s">
        <v>101</v>
      </c>
      <c r="AB2" s="125">
        <v>2023</v>
      </c>
      <c r="AC2" s="125">
        <f>AB2+1</f>
        <v>2024</v>
      </c>
      <c r="AD2" s="125">
        <f t="shared" ref="AD2:AL2" si="1">AC2+1</f>
        <v>2025</v>
      </c>
      <c r="AE2" s="125">
        <f t="shared" si="1"/>
        <v>2026</v>
      </c>
      <c r="AF2" s="125">
        <f t="shared" si="1"/>
        <v>2027</v>
      </c>
      <c r="AG2" s="125">
        <f t="shared" si="1"/>
        <v>2028</v>
      </c>
      <c r="AH2" s="125">
        <f t="shared" si="1"/>
        <v>2029</v>
      </c>
      <c r="AI2" s="125">
        <f t="shared" si="1"/>
        <v>2030</v>
      </c>
      <c r="AJ2" s="125">
        <f t="shared" si="1"/>
        <v>2031</v>
      </c>
      <c r="AK2" s="125">
        <f t="shared" si="1"/>
        <v>2032</v>
      </c>
      <c r="AL2" s="125">
        <f t="shared" si="1"/>
        <v>2033</v>
      </c>
    </row>
    <row r="3" spans="2:38" x14ac:dyDescent="0.2">
      <c r="B3" s="126" t="s">
        <v>116</v>
      </c>
      <c r="C3" s="126">
        <v>519</v>
      </c>
      <c r="D3" s="126">
        <v>516</v>
      </c>
      <c r="E3" s="126">
        <v>530</v>
      </c>
      <c r="F3" s="126">
        <f>2106-E3-D3-C3</f>
        <v>541</v>
      </c>
      <c r="G3" s="158">
        <v>524</v>
      </c>
      <c r="H3" s="158">
        <v>539</v>
      </c>
      <c r="I3" s="158">
        <v>554</v>
      </c>
      <c r="J3" s="158">
        <v>630</v>
      </c>
      <c r="K3" s="158">
        <v>727</v>
      </c>
      <c r="L3" s="158">
        <v>1030</v>
      </c>
      <c r="M3" s="158">
        <v>1016</v>
      </c>
      <c r="N3" s="158">
        <f t="shared" ref="N3:R5" si="2">J3*(1+N19)</f>
        <v>1121.4000000000001</v>
      </c>
      <c r="O3" s="158">
        <f t="shared" si="2"/>
        <v>1134.1200000000001</v>
      </c>
      <c r="P3" s="158">
        <f t="shared" si="2"/>
        <v>1091.8</v>
      </c>
      <c r="Q3" s="158">
        <f t="shared" si="2"/>
        <v>1168.3999999999999</v>
      </c>
      <c r="R3" s="158">
        <f t="shared" si="2"/>
        <v>1312.038</v>
      </c>
      <c r="S3" s="126"/>
      <c r="U3" s="126">
        <v>1661</v>
      </c>
      <c r="V3" s="126">
        <v>1683</v>
      </c>
      <c r="W3" s="158">
        <v>1833</v>
      </c>
      <c r="X3" s="158">
        <v>1959</v>
      </c>
      <c r="Y3" s="126">
        <v>2106</v>
      </c>
      <c r="Z3" s="158">
        <v>2247</v>
      </c>
      <c r="AA3" s="126">
        <f t="shared" ref="AA3:AA8" si="3">SUM(K3:N3)</f>
        <v>3894.4</v>
      </c>
      <c r="AB3" s="126">
        <f>SUM(O3:R3)</f>
        <v>4706.3580000000002</v>
      </c>
      <c r="AC3" s="126"/>
      <c r="AD3" s="126"/>
      <c r="AE3" s="126"/>
      <c r="AF3" s="126"/>
      <c r="AG3" s="126"/>
      <c r="AH3" s="126"/>
      <c r="AI3" s="126"/>
      <c r="AJ3" s="126"/>
      <c r="AK3" s="126"/>
      <c r="AL3" s="129"/>
    </row>
    <row r="4" spans="2:38" x14ac:dyDescent="0.2">
      <c r="B4" s="126" t="s">
        <v>117</v>
      </c>
      <c r="C4" s="126">
        <v>825</v>
      </c>
      <c r="D4" s="126">
        <v>1006</v>
      </c>
      <c r="E4" s="126">
        <v>894</v>
      </c>
      <c r="F4" s="126">
        <f>3606-E4-D4-C4</f>
        <v>881</v>
      </c>
      <c r="G4" s="158">
        <v>1017</v>
      </c>
      <c r="H4" s="158">
        <v>1073</v>
      </c>
      <c r="I4" s="158">
        <v>1017</v>
      </c>
      <c r="J4" s="158">
        <v>990</v>
      </c>
      <c r="K4" s="158">
        <v>868</v>
      </c>
      <c r="L4" s="158">
        <v>796</v>
      </c>
      <c r="M4" s="158">
        <v>681</v>
      </c>
      <c r="N4" s="158">
        <f t="shared" si="2"/>
        <v>801.90000000000009</v>
      </c>
      <c r="O4" s="158">
        <f t="shared" si="2"/>
        <v>755.16</v>
      </c>
      <c r="P4" s="158">
        <f t="shared" si="2"/>
        <v>724.36</v>
      </c>
      <c r="Q4" s="158">
        <f t="shared" si="2"/>
        <v>674.18999999999994</v>
      </c>
      <c r="R4" s="158">
        <f t="shared" si="2"/>
        <v>833.97600000000011</v>
      </c>
      <c r="S4" s="126"/>
      <c r="U4" s="126">
        <v>2535</v>
      </c>
      <c r="V4" s="126">
        <v>2988</v>
      </c>
      <c r="W4" s="158">
        <v>2883</v>
      </c>
      <c r="X4" s="158">
        <v>3106</v>
      </c>
      <c r="Y4" s="126">
        <v>3606</v>
      </c>
      <c r="Z4" s="126">
        <v>4097</v>
      </c>
      <c r="AA4" s="126">
        <f t="shared" si="3"/>
        <v>3146.9</v>
      </c>
      <c r="AB4" s="126">
        <f>SUM(O4:R4)</f>
        <v>2987.6860000000001</v>
      </c>
      <c r="AC4" s="126"/>
      <c r="AD4" s="126"/>
      <c r="AE4" s="126"/>
      <c r="AF4" s="126"/>
      <c r="AG4" s="126"/>
      <c r="AH4" s="126"/>
      <c r="AI4" s="126"/>
      <c r="AJ4" s="126"/>
      <c r="AK4" s="126"/>
      <c r="AL4" s="129"/>
    </row>
    <row r="5" spans="2:38" x14ac:dyDescent="0.2">
      <c r="B5" s="126" t="s">
        <v>118</v>
      </c>
      <c r="C5" s="126">
        <v>215</v>
      </c>
      <c r="D5" s="126">
        <v>217</v>
      </c>
      <c r="E5" s="126">
        <v>222</v>
      </c>
      <c r="F5" s="126">
        <f>878-E5-D5-C5</f>
        <v>224</v>
      </c>
      <c r="G5" s="158">
        <v>240</v>
      </c>
      <c r="H5" s="158">
        <v>252</v>
      </c>
      <c r="I5" s="158">
        <v>255</v>
      </c>
      <c r="J5" s="158">
        <v>203</v>
      </c>
      <c r="K5" s="158">
        <v>363</v>
      </c>
      <c r="L5" s="158">
        <v>438</v>
      </c>
      <c r="M5" s="158">
        <v>432</v>
      </c>
      <c r="N5" s="158">
        <f t="shared" si="2"/>
        <v>334.95</v>
      </c>
      <c r="O5" s="158">
        <f t="shared" si="2"/>
        <v>421.08</v>
      </c>
      <c r="P5" s="158">
        <f t="shared" si="2"/>
        <v>516.83999999999992</v>
      </c>
      <c r="Q5" s="158">
        <f t="shared" si="2"/>
        <v>531.36</v>
      </c>
      <c r="R5" s="158">
        <f t="shared" si="2"/>
        <v>405.28949999999998</v>
      </c>
      <c r="S5" s="126"/>
      <c r="U5" s="126">
        <v>925</v>
      </c>
      <c r="V5" s="126">
        <v>774</v>
      </c>
      <c r="W5" s="158">
        <v>815</v>
      </c>
      <c r="X5" s="158">
        <v>844</v>
      </c>
      <c r="Y5" s="126">
        <v>878</v>
      </c>
      <c r="Z5" s="158">
        <v>950</v>
      </c>
      <c r="AA5" s="126">
        <f t="shared" si="3"/>
        <v>1567.95</v>
      </c>
      <c r="AB5" s="126">
        <f>SUM(O5:R5)</f>
        <v>1874.5694999999996</v>
      </c>
      <c r="AC5" s="126"/>
      <c r="AD5" s="126"/>
      <c r="AE5" s="126"/>
      <c r="AF5" s="126"/>
      <c r="AG5" s="126"/>
      <c r="AH5" s="126"/>
      <c r="AI5" s="126"/>
      <c r="AJ5" s="126"/>
      <c r="AK5" s="126"/>
      <c r="AL5" s="129"/>
    </row>
    <row r="6" spans="2:38" x14ac:dyDescent="0.2">
      <c r="B6" s="126" t="s">
        <v>119</v>
      </c>
      <c r="C6" s="126"/>
      <c r="D6" s="126"/>
      <c r="E6" s="126"/>
      <c r="F6" s="126"/>
      <c r="G6" s="158"/>
      <c r="H6" s="158"/>
      <c r="I6" s="158"/>
      <c r="J6" s="158"/>
      <c r="K6" s="158">
        <v>115</v>
      </c>
      <c r="L6" s="158">
        <v>337</v>
      </c>
      <c r="M6" s="158">
        <v>346</v>
      </c>
      <c r="N6" s="161">
        <v>355</v>
      </c>
      <c r="O6" s="161">
        <v>367</v>
      </c>
      <c r="P6" s="161">
        <v>377</v>
      </c>
      <c r="Q6" s="161">
        <v>385</v>
      </c>
      <c r="R6" s="161">
        <v>391</v>
      </c>
      <c r="S6" s="126"/>
      <c r="U6" s="126"/>
      <c r="V6" s="126"/>
      <c r="W6" s="158"/>
      <c r="X6" s="158"/>
      <c r="Y6" s="126"/>
      <c r="Z6" s="126"/>
      <c r="AA6" s="126">
        <f>SUM(K6:N6)</f>
        <v>1153</v>
      </c>
      <c r="AB6" s="126">
        <f>SUM(O6:R6)</f>
        <v>1520</v>
      </c>
      <c r="AC6" s="126"/>
      <c r="AD6" s="126"/>
      <c r="AE6" s="126"/>
      <c r="AF6" s="126"/>
      <c r="AG6" s="126"/>
      <c r="AH6" s="126"/>
      <c r="AI6" s="126"/>
      <c r="AJ6" s="126"/>
      <c r="AK6" s="126"/>
      <c r="AL6" s="129"/>
    </row>
    <row r="7" spans="2:38" x14ac:dyDescent="0.2">
      <c r="B7" s="126" t="s">
        <v>120</v>
      </c>
      <c r="C7" s="126">
        <v>259</v>
      </c>
      <c r="D7" s="126">
        <v>240</v>
      </c>
      <c r="E7" s="126">
        <v>234</v>
      </c>
      <c r="F7" s="126">
        <f>989-E7-C7-D7</f>
        <v>256</v>
      </c>
      <c r="G7" s="158">
        <v>270</v>
      </c>
      <c r="H7" s="158">
        <v>339</v>
      </c>
      <c r="I7" s="158">
        <v>298</v>
      </c>
      <c r="J7" s="158">
        <v>242</v>
      </c>
      <c r="K7" s="158">
        <v>322</v>
      </c>
      <c r="L7" s="158">
        <v>339</v>
      </c>
      <c r="M7" s="158">
        <v>334</v>
      </c>
      <c r="N7" s="158">
        <f>J7*(1+N23)</f>
        <v>263.78000000000003</v>
      </c>
      <c r="O7" s="158">
        <f>K7*(1+O23)</f>
        <v>347.76000000000005</v>
      </c>
      <c r="P7" s="158">
        <f t="shared" ref="P7:R7" si="4">L7*(1+P23)</f>
        <v>379.68000000000006</v>
      </c>
      <c r="Q7" s="158">
        <f t="shared" si="4"/>
        <v>384.09999999999997</v>
      </c>
      <c r="R7" s="158">
        <f t="shared" si="4"/>
        <v>311.2604</v>
      </c>
      <c r="S7" s="158"/>
      <c r="T7" s="158"/>
      <c r="U7" s="158">
        <v>638</v>
      </c>
      <c r="V7" s="158">
        <v>728</v>
      </c>
      <c r="W7" s="158">
        <v>837</v>
      </c>
      <c r="X7" s="158">
        <v>918</v>
      </c>
      <c r="Y7" s="158">
        <v>989</v>
      </c>
      <c r="Z7" s="158">
        <v>1149</v>
      </c>
      <c r="AA7" s="126">
        <f t="shared" si="3"/>
        <v>1258.78</v>
      </c>
      <c r="AB7" s="126">
        <f>SUM(O7:R7)</f>
        <v>1422.8004000000001</v>
      </c>
      <c r="AC7" s="126"/>
      <c r="AD7" s="126"/>
      <c r="AE7" s="126"/>
      <c r="AF7" s="126"/>
      <c r="AG7" s="126"/>
      <c r="AH7" s="126"/>
      <c r="AI7" s="126"/>
      <c r="AJ7" s="126"/>
      <c r="AK7" s="126"/>
      <c r="AL7" s="129"/>
    </row>
    <row r="8" spans="2:38" x14ac:dyDescent="0.2">
      <c r="B8" s="126" t="s">
        <v>121</v>
      </c>
      <c r="C8" s="126"/>
      <c r="D8" s="126"/>
      <c r="E8" s="126"/>
      <c r="F8" s="126"/>
      <c r="G8" s="158"/>
      <c r="H8" s="158"/>
      <c r="I8" s="158"/>
      <c r="J8" s="158"/>
      <c r="K8" s="158">
        <v>33</v>
      </c>
      <c r="L8" s="158">
        <v>96</v>
      </c>
      <c r="M8" s="158">
        <v>95</v>
      </c>
      <c r="N8" s="158"/>
      <c r="O8" s="158"/>
      <c r="P8" s="158"/>
      <c r="Q8" s="158"/>
      <c r="R8" s="158"/>
      <c r="S8" s="158"/>
      <c r="T8" s="158"/>
      <c r="U8" s="158"/>
      <c r="V8" s="158"/>
      <c r="W8" s="158"/>
      <c r="X8" s="158"/>
      <c r="Y8" s="158"/>
      <c r="Z8" s="158"/>
      <c r="AA8" s="126">
        <f t="shared" si="3"/>
        <v>224</v>
      </c>
      <c r="AB8" s="158"/>
      <c r="AC8" s="126"/>
      <c r="AD8" s="126"/>
      <c r="AE8" s="126"/>
      <c r="AF8" s="126"/>
      <c r="AG8" s="126"/>
      <c r="AH8" s="126"/>
      <c r="AI8" s="126"/>
      <c r="AJ8" s="126"/>
      <c r="AK8" s="126"/>
      <c r="AL8" s="129"/>
    </row>
    <row r="9" spans="2:38" s="128" customFormat="1" x14ac:dyDescent="0.2">
      <c r="B9" s="127" t="s">
        <v>45</v>
      </c>
      <c r="C9" s="127">
        <f t="shared" ref="C9:F9" si="5">SUM(C3:C8)</f>
        <v>1818</v>
      </c>
      <c r="D9" s="127">
        <f t="shared" si="5"/>
        <v>1979</v>
      </c>
      <c r="E9" s="127">
        <f t="shared" si="5"/>
        <v>1880</v>
      </c>
      <c r="F9" s="127">
        <f t="shared" si="5"/>
        <v>1902</v>
      </c>
      <c r="G9" s="127">
        <f>SUM(G3:G8)</f>
        <v>2051</v>
      </c>
      <c r="H9" s="127">
        <f t="shared" ref="H9:AL9" si="6">SUM(H3:H8)</f>
        <v>2203</v>
      </c>
      <c r="I9" s="127">
        <f t="shared" si="6"/>
        <v>2124</v>
      </c>
      <c r="J9" s="127">
        <f t="shared" si="6"/>
        <v>2065</v>
      </c>
      <c r="K9" s="127">
        <f t="shared" si="6"/>
        <v>2428</v>
      </c>
      <c r="L9" s="127">
        <f t="shared" si="6"/>
        <v>3036</v>
      </c>
      <c r="M9" s="127">
        <f t="shared" si="6"/>
        <v>2904</v>
      </c>
      <c r="N9" s="127">
        <f>SUM(N3:N8)</f>
        <v>2877.03</v>
      </c>
      <c r="O9" s="127">
        <f t="shared" si="6"/>
        <v>3025.1200000000003</v>
      </c>
      <c r="P9" s="127">
        <f t="shared" si="6"/>
        <v>3089.6800000000003</v>
      </c>
      <c r="Q9" s="127">
        <f t="shared" si="6"/>
        <v>3143.0499999999997</v>
      </c>
      <c r="R9" s="127">
        <f t="shared" si="6"/>
        <v>3253.5639000000001</v>
      </c>
      <c r="S9" s="127"/>
      <c r="T9" s="127"/>
      <c r="U9" s="127">
        <f t="shared" si="6"/>
        <v>5759</v>
      </c>
      <c r="V9" s="127">
        <f t="shared" si="6"/>
        <v>6173</v>
      </c>
      <c r="W9" s="127">
        <f t="shared" si="6"/>
        <v>6368</v>
      </c>
      <c r="X9" s="127">
        <f t="shared" si="6"/>
        <v>6827</v>
      </c>
      <c r="Y9" s="127">
        <f t="shared" si="6"/>
        <v>7579</v>
      </c>
      <c r="Z9" s="127">
        <f t="shared" si="6"/>
        <v>8443</v>
      </c>
      <c r="AA9" s="127">
        <f>SUM(AA3:AA8)</f>
        <v>11245.03</v>
      </c>
      <c r="AB9" s="127">
        <f t="shared" si="6"/>
        <v>12511.4139</v>
      </c>
      <c r="AC9" s="127">
        <f t="shared" si="6"/>
        <v>0</v>
      </c>
      <c r="AD9" s="127">
        <f t="shared" si="6"/>
        <v>0</v>
      </c>
      <c r="AE9" s="127">
        <f t="shared" si="6"/>
        <v>0</v>
      </c>
      <c r="AF9" s="127">
        <f t="shared" si="6"/>
        <v>0</v>
      </c>
      <c r="AG9" s="127">
        <f t="shared" si="6"/>
        <v>0</v>
      </c>
      <c r="AH9" s="127">
        <f t="shared" si="6"/>
        <v>0</v>
      </c>
      <c r="AI9" s="127">
        <f t="shared" si="6"/>
        <v>0</v>
      </c>
      <c r="AJ9" s="127">
        <f t="shared" si="6"/>
        <v>0</v>
      </c>
      <c r="AK9" s="127">
        <f t="shared" si="6"/>
        <v>0</v>
      </c>
      <c r="AL9" s="127">
        <f t="shared" si="6"/>
        <v>0</v>
      </c>
    </row>
    <row r="10" spans="2:38" x14ac:dyDescent="0.2">
      <c r="B10" s="126" t="s">
        <v>122</v>
      </c>
      <c r="C10" s="126">
        <v>521</v>
      </c>
      <c r="D10" s="126">
        <v>493</v>
      </c>
      <c r="E10" s="126">
        <v>519</v>
      </c>
      <c r="F10" s="126">
        <f>2092-E10-D10-C10</f>
        <v>559</v>
      </c>
      <c r="G10" s="126">
        <v>527</v>
      </c>
      <c r="H10" s="126">
        <v>533</v>
      </c>
      <c r="I10" s="126">
        <v>543</v>
      </c>
      <c r="J10" s="126">
        <v>592</v>
      </c>
      <c r="K10" s="126">
        <v>749</v>
      </c>
      <c r="L10" s="126">
        <v>1011</v>
      </c>
      <c r="M10" s="126">
        <v>994</v>
      </c>
      <c r="N10" s="126">
        <f>N9-N11</f>
        <v>978.1902</v>
      </c>
      <c r="O10" s="126">
        <f t="shared" ref="O10:R10" si="7">O9-O11</f>
        <v>998.28960000000006</v>
      </c>
      <c r="P10" s="126">
        <f t="shared" si="7"/>
        <v>988.69759999999997</v>
      </c>
      <c r="Q10" s="126">
        <f t="shared" si="7"/>
        <v>1005.7759999999998</v>
      </c>
      <c r="R10" s="126">
        <f t="shared" si="7"/>
        <v>1041.1404479999997</v>
      </c>
      <c r="S10" s="126"/>
      <c r="U10" s="126">
        <v>1467</v>
      </c>
      <c r="V10" s="126">
        <v>1605</v>
      </c>
      <c r="W10" s="126">
        <v>1701</v>
      </c>
      <c r="X10" s="126">
        <v>1976</v>
      </c>
      <c r="Y10" s="126">
        <v>2094</v>
      </c>
      <c r="Z10" s="126">
        <v>2195</v>
      </c>
      <c r="AA10" s="126">
        <f>SUM(K10:N10)</f>
        <v>3732.1902</v>
      </c>
      <c r="AB10" s="126">
        <f>SUM(O10:R10)</f>
        <v>4033.9036479999995</v>
      </c>
      <c r="AC10" s="126"/>
      <c r="AD10" s="126"/>
      <c r="AE10" s="126"/>
      <c r="AF10" s="126"/>
      <c r="AG10" s="126"/>
      <c r="AH10" s="126"/>
      <c r="AI10" s="126"/>
      <c r="AJ10" s="126"/>
      <c r="AK10" s="126"/>
      <c r="AL10" s="129"/>
    </row>
    <row r="11" spans="2:38" x14ac:dyDescent="0.2">
      <c r="B11" s="126" t="s">
        <v>124</v>
      </c>
      <c r="C11" s="126">
        <f t="shared" ref="C11:F11" si="8">C9-C10</f>
        <v>1297</v>
      </c>
      <c r="D11" s="126">
        <f t="shared" si="8"/>
        <v>1486</v>
      </c>
      <c r="E11" s="126">
        <f t="shared" si="8"/>
        <v>1361</v>
      </c>
      <c r="F11" s="126">
        <f t="shared" si="8"/>
        <v>1343</v>
      </c>
      <c r="G11" s="126">
        <f>G9-G10</f>
        <v>1524</v>
      </c>
      <c r="H11" s="126">
        <f t="shared" ref="H11:AL11" si="9">H9-H10</f>
        <v>1670</v>
      </c>
      <c r="I11" s="126">
        <f t="shared" si="9"/>
        <v>1581</v>
      </c>
      <c r="J11" s="126">
        <f t="shared" si="9"/>
        <v>1473</v>
      </c>
      <c r="K11" s="126">
        <f t="shared" si="9"/>
        <v>1679</v>
      </c>
      <c r="L11" s="126">
        <f t="shared" si="9"/>
        <v>2025</v>
      </c>
      <c r="M11" s="126">
        <f t="shared" si="9"/>
        <v>1910</v>
      </c>
      <c r="N11" s="126">
        <f>N9*N26</f>
        <v>1898.8398000000002</v>
      </c>
      <c r="O11" s="126">
        <f t="shared" ref="O11:R11" si="10">O9*O26</f>
        <v>2026.8304000000003</v>
      </c>
      <c r="P11" s="126">
        <f t="shared" si="10"/>
        <v>2100.9824000000003</v>
      </c>
      <c r="Q11" s="126">
        <f t="shared" si="10"/>
        <v>2137.2739999999999</v>
      </c>
      <c r="R11" s="126">
        <f t="shared" si="10"/>
        <v>2212.4234520000005</v>
      </c>
      <c r="S11" s="126"/>
      <c r="T11" s="126"/>
      <c r="U11" s="126">
        <f t="shared" si="9"/>
        <v>4292</v>
      </c>
      <c r="V11" s="126">
        <f t="shared" si="9"/>
        <v>4568</v>
      </c>
      <c r="W11" s="126">
        <f t="shared" si="9"/>
        <v>4667</v>
      </c>
      <c r="X11" s="126">
        <f t="shared" si="9"/>
        <v>4851</v>
      </c>
      <c r="Y11" s="126">
        <f t="shared" si="9"/>
        <v>5485</v>
      </c>
      <c r="Z11" s="126">
        <f t="shared" si="9"/>
        <v>6248</v>
      </c>
      <c r="AA11" s="126">
        <f t="shared" si="9"/>
        <v>7512.8398000000007</v>
      </c>
      <c r="AB11" s="126">
        <f t="shared" si="9"/>
        <v>8477.510252</v>
      </c>
      <c r="AC11" s="126">
        <f t="shared" si="9"/>
        <v>0</v>
      </c>
      <c r="AD11" s="126">
        <f t="shared" si="9"/>
        <v>0</v>
      </c>
      <c r="AE11" s="126">
        <f t="shared" si="9"/>
        <v>0</v>
      </c>
      <c r="AF11" s="126">
        <f t="shared" si="9"/>
        <v>0</v>
      </c>
      <c r="AG11" s="126">
        <f t="shared" si="9"/>
        <v>0</v>
      </c>
      <c r="AH11" s="126">
        <f t="shared" si="9"/>
        <v>0</v>
      </c>
      <c r="AI11" s="126">
        <f t="shared" si="9"/>
        <v>0</v>
      </c>
      <c r="AJ11" s="126">
        <f t="shared" si="9"/>
        <v>0</v>
      </c>
      <c r="AK11" s="126">
        <f t="shared" si="9"/>
        <v>0</v>
      </c>
      <c r="AL11" s="126">
        <f t="shared" si="9"/>
        <v>0</v>
      </c>
    </row>
    <row r="12" spans="2:38" x14ac:dyDescent="0.2">
      <c r="B12" s="126" t="s">
        <v>123</v>
      </c>
      <c r="C12" s="126">
        <v>311</v>
      </c>
      <c r="D12" s="126">
        <v>295</v>
      </c>
      <c r="E12" s="126">
        <v>339</v>
      </c>
      <c r="F12" s="126">
        <f>1543-E12-D12-C12</f>
        <v>598</v>
      </c>
      <c r="G12" s="126">
        <v>360</v>
      </c>
      <c r="H12" s="126">
        <v>374</v>
      </c>
      <c r="I12" s="126">
        <v>423</v>
      </c>
      <c r="J12" s="126">
        <v>557</v>
      </c>
      <c r="K12" s="126">
        <v>958</v>
      </c>
      <c r="L12" s="126">
        <v>764</v>
      </c>
      <c r="M12" s="126">
        <v>720</v>
      </c>
      <c r="N12" s="126">
        <f>N9*N27</f>
        <v>719.25750000000005</v>
      </c>
      <c r="O12" s="126">
        <f t="shared" ref="O12:R12" si="11">O9*O27</f>
        <v>756.28000000000009</v>
      </c>
      <c r="P12" s="126">
        <f t="shared" si="11"/>
        <v>741.52320000000009</v>
      </c>
      <c r="Q12" s="126">
        <f t="shared" si="11"/>
        <v>722.90149999999994</v>
      </c>
      <c r="R12" s="126">
        <f t="shared" si="11"/>
        <v>748.31969700000002</v>
      </c>
      <c r="S12" s="126"/>
      <c r="U12" s="126">
        <v>1467</v>
      </c>
      <c r="V12" s="126">
        <v>1605</v>
      </c>
      <c r="W12" s="126">
        <v>1561</v>
      </c>
      <c r="X12" s="126">
        <v>1342</v>
      </c>
      <c r="Y12" s="126">
        <v>1541</v>
      </c>
      <c r="Z12" s="126">
        <v>1714</v>
      </c>
      <c r="AA12" s="126">
        <f>SUM(K12:N12)</f>
        <v>3161.2575000000002</v>
      </c>
      <c r="AB12" s="126">
        <f>SUM(O12:R12)</f>
        <v>2969.0243970000001</v>
      </c>
      <c r="AC12" s="126"/>
      <c r="AD12" s="126"/>
      <c r="AE12" s="126"/>
      <c r="AF12" s="126"/>
      <c r="AG12" s="126"/>
      <c r="AH12" s="126"/>
      <c r="AI12" s="126"/>
      <c r="AJ12" s="126"/>
      <c r="AK12" s="126"/>
      <c r="AL12" s="130"/>
    </row>
    <row r="13" spans="2:38" x14ac:dyDescent="0.2">
      <c r="B13" s="126" t="s">
        <v>50</v>
      </c>
      <c r="C13" s="126">
        <v>49</v>
      </c>
      <c r="D13" s="126">
        <f>19+32</f>
        <v>51</v>
      </c>
      <c r="E13" s="126">
        <v>52</v>
      </c>
      <c r="F13" s="126">
        <f>206-E13-D13-C13</f>
        <v>54</v>
      </c>
      <c r="G13" s="126">
        <v>50</v>
      </c>
      <c r="H13" s="126">
        <v>45</v>
      </c>
      <c r="I13" s="126">
        <v>41</v>
      </c>
      <c r="J13" s="126">
        <v>43</v>
      </c>
      <c r="K13" s="126">
        <v>136</v>
      </c>
      <c r="L13" s="126">
        <v>303</v>
      </c>
      <c r="M13" s="126">
        <v>298</v>
      </c>
      <c r="N13" s="126">
        <f>N9*N28</f>
        <v>287.70300000000003</v>
      </c>
      <c r="O13" s="126">
        <f t="shared" ref="O13:R13" si="12">O9*O28</f>
        <v>302.51200000000006</v>
      </c>
      <c r="P13" s="126">
        <f t="shared" si="12"/>
        <v>216.27760000000004</v>
      </c>
      <c r="Q13" s="126">
        <f t="shared" si="12"/>
        <v>188.58299999999997</v>
      </c>
      <c r="R13" s="126">
        <f t="shared" si="12"/>
        <v>162.67819500000002</v>
      </c>
      <c r="S13" s="126"/>
      <c r="T13" s="126"/>
      <c r="U13" s="126">
        <v>181</v>
      </c>
      <c r="V13" s="126">
        <v>180</v>
      </c>
      <c r="W13" s="126">
        <v>206</v>
      </c>
      <c r="X13" s="126">
        <v>204</v>
      </c>
      <c r="Y13" s="126">
        <v>206</v>
      </c>
      <c r="Z13" s="126">
        <v>178</v>
      </c>
      <c r="AA13" s="126">
        <f>SUM(K13:N13)</f>
        <v>1024.703</v>
      </c>
      <c r="AB13" s="126">
        <f>SUM(O13:R13)</f>
        <v>870.05079500000011</v>
      </c>
      <c r="AC13" s="126"/>
      <c r="AD13" s="126"/>
      <c r="AE13" s="126"/>
      <c r="AF13" s="126"/>
      <c r="AG13" s="126"/>
      <c r="AH13" s="126"/>
      <c r="AI13" s="126"/>
      <c r="AJ13" s="126"/>
      <c r="AK13" s="126"/>
      <c r="AL13" s="130"/>
    </row>
    <row r="14" spans="2:38" x14ac:dyDescent="0.2">
      <c r="B14" s="126" t="s">
        <v>125</v>
      </c>
      <c r="C14" s="126">
        <f t="shared" ref="C14:F14" si="13">SUM(C12:C13)</f>
        <v>360</v>
      </c>
      <c r="D14" s="126">
        <f t="shared" si="13"/>
        <v>346</v>
      </c>
      <c r="E14" s="126">
        <f t="shared" si="13"/>
        <v>391</v>
      </c>
      <c r="F14" s="126">
        <f t="shared" si="13"/>
        <v>652</v>
      </c>
      <c r="G14" s="126">
        <f>SUM(G12:G13)</f>
        <v>410</v>
      </c>
      <c r="H14" s="126">
        <f t="shared" ref="H14:AL14" si="14">SUM(H12:H13)</f>
        <v>419</v>
      </c>
      <c r="I14" s="126">
        <f t="shared" si="14"/>
        <v>464</v>
      </c>
      <c r="J14" s="126">
        <f t="shared" si="14"/>
        <v>600</v>
      </c>
      <c r="K14" s="126">
        <f t="shared" si="14"/>
        <v>1094</v>
      </c>
      <c r="L14" s="126">
        <f t="shared" si="14"/>
        <v>1067</v>
      </c>
      <c r="M14" s="126">
        <f t="shared" si="14"/>
        <v>1018</v>
      </c>
      <c r="N14" s="126">
        <f t="shared" si="14"/>
        <v>1006.9605000000001</v>
      </c>
      <c r="O14" s="126">
        <f t="shared" si="14"/>
        <v>1058.7920000000001</v>
      </c>
      <c r="P14" s="126">
        <f t="shared" si="14"/>
        <v>957.80080000000009</v>
      </c>
      <c r="Q14" s="126">
        <f t="shared" si="14"/>
        <v>911.48449999999991</v>
      </c>
      <c r="R14" s="126">
        <f t="shared" si="14"/>
        <v>910.99789200000009</v>
      </c>
      <c r="S14" s="126"/>
      <c r="T14" s="126"/>
      <c r="U14" s="126">
        <f t="shared" si="14"/>
        <v>1648</v>
      </c>
      <c r="V14" s="126">
        <f t="shared" si="14"/>
        <v>1785</v>
      </c>
      <c r="W14" s="126">
        <f t="shared" si="14"/>
        <v>1767</v>
      </c>
      <c r="X14" s="126">
        <f t="shared" si="14"/>
        <v>1546</v>
      </c>
      <c r="Y14" s="126">
        <f t="shared" si="14"/>
        <v>1747</v>
      </c>
      <c r="Z14" s="126">
        <f t="shared" si="14"/>
        <v>1892</v>
      </c>
      <c r="AA14" s="126">
        <f>SUM(AA12:AA13)</f>
        <v>4185.9605000000001</v>
      </c>
      <c r="AB14" s="126">
        <f t="shared" si="14"/>
        <v>3839.0751920000002</v>
      </c>
      <c r="AC14" s="126">
        <f t="shared" si="14"/>
        <v>0</v>
      </c>
      <c r="AD14" s="126">
        <f t="shared" si="14"/>
        <v>0</v>
      </c>
      <c r="AE14" s="126">
        <f t="shared" si="14"/>
        <v>0</v>
      </c>
      <c r="AF14" s="126">
        <f t="shared" si="14"/>
        <v>0</v>
      </c>
      <c r="AG14" s="126">
        <f t="shared" si="14"/>
        <v>0</v>
      </c>
      <c r="AH14" s="126">
        <f t="shared" si="14"/>
        <v>0</v>
      </c>
      <c r="AI14" s="126">
        <f t="shared" si="14"/>
        <v>0</v>
      </c>
      <c r="AJ14" s="126">
        <f t="shared" si="14"/>
        <v>0</v>
      </c>
      <c r="AK14" s="126">
        <f t="shared" si="14"/>
        <v>0</v>
      </c>
      <c r="AL14" s="126">
        <f t="shared" si="14"/>
        <v>0</v>
      </c>
    </row>
    <row r="15" spans="2:38" s="128" customFormat="1" x14ac:dyDescent="0.2">
      <c r="B15" s="127" t="s">
        <v>126</v>
      </c>
      <c r="C15" s="127">
        <f t="shared" ref="C15:F15" si="15">C11-C14</f>
        <v>937</v>
      </c>
      <c r="D15" s="127">
        <f t="shared" si="15"/>
        <v>1140</v>
      </c>
      <c r="E15" s="127">
        <f t="shared" si="15"/>
        <v>970</v>
      </c>
      <c r="F15" s="127">
        <f t="shared" si="15"/>
        <v>691</v>
      </c>
      <c r="G15" s="127">
        <f>G11-G14</f>
        <v>1114</v>
      </c>
      <c r="H15" s="127">
        <f t="shared" ref="H15:AB15" si="16">H11-H14</f>
        <v>1251</v>
      </c>
      <c r="I15" s="127">
        <f t="shared" si="16"/>
        <v>1117</v>
      </c>
      <c r="J15" s="127">
        <f t="shared" si="16"/>
        <v>873</v>
      </c>
      <c r="K15" s="127">
        <f t="shared" si="16"/>
        <v>585</v>
      </c>
      <c r="L15" s="127">
        <f t="shared" si="16"/>
        <v>958</v>
      </c>
      <c r="M15" s="127">
        <f t="shared" si="16"/>
        <v>892</v>
      </c>
      <c r="N15" s="127">
        <f t="shared" si="16"/>
        <v>891.87930000000006</v>
      </c>
      <c r="O15" s="127">
        <f t="shared" si="16"/>
        <v>968.03840000000014</v>
      </c>
      <c r="P15" s="127">
        <f t="shared" si="16"/>
        <v>1143.1816000000003</v>
      </c>
      <c r="Q15" s="127">
        <f t="shared" si="16"/>
        <v>1225.7894999999999</v>
      </c>
      <c r="R15" s="127">
        <f t="shared" si="16"/>
        <v>1301.4255600000004</v>
      </c>
      <c r="S15" s="127"/>
      <c r="T15" s="127"/>
      <c r="U15" s="127">
        <f t="shared" si="16"/>
        <v>2644</v>
      </c>
      <c r="V15" s="127">
        <f t="shared" si="16"/>
        <v>2783</v>
      </c>
      <c r="W15" s="127">
        <f t="shared" si="16"/>
        <v>2900</v>
      </c>
      <c r="X15" s="127">
        <f t="shared" si="16"/>
        <v>3305</v>
      </c>
      <c r="Y15" s="127">
        <f t="shared" si="16"/>
        <v>3738</v>
      </c>
      <c r="Z15" s="127">
        <f t="shared" si="16"/>
        <v>4356</v>
      </c>
      <c r="AA15" s="127">
        <f>AA11-AA14</f>
        <v>3326.8793000000005</v>
      </c>
      <c r="AB15" s="127">
        <f t="shared" si="16"/>
        <v>4638.4350599999998</v>
      </c>
      <c r="AC15" s="127"/>
      <c r="AD15" s="127"/>
      <c r="AE15" s="127"/>
      <c r="AF15" s="127"/>
      <c r="AG15" s="127"/>
      <c r="AH15" s="127"/>
      <c r="AI15" s="127"/>
      <c r="AJ15" s="127"/>
      <c r="AK15" s="127"/>
    </row>
    <row r="16" spans="2:38" x14ac:dyDescent="0.2">
      <c r="B16" s="126" t="s">
        <v>32</v>
      </c>
      <c r="C16" s="126">
        <v>188</v>
      </c>
      <c r="D16" s="126">
        <v>233</v>
      </c>
      <c r="E16" s="126">
        <v>138</v>
      </c>
      <c r="F16" s="126">
        <f>674-E16-D16-C16</f>
        <v>115</v>
      </c>
      <c r="G16" s="126">
        <v>248</v>
      </c>
      <c r="H16" s="126">
        <v>287</v>
      </c>
      <c r="I16" s="126">
        <v>213</v>
      </c>
      <c r="J16" s="126">
        <v>248</v>
      </c>
      <c r="K16" s="126">
        <v>153</v>
      </c>
      <c r="L16" s="126">
        <v>340</v>
      </c>
      <c r="M16" s="126">
        <v>145</v>
      </c>
      <c r="N16" s="126">
        <f>N15*N31</f>
        <v>267.56378999999998</v>
      </c>
      <c r="O16" s="126">
        <f t="shared" ref="O16:R16" si="17">O15*O31</f>
        <v>242.00960000000003</v>
      </c>
      <c r="P16" s="126">
        <f t="shared" si="17"/>
        <v>285.79540000000009</v>
      </c>
      <c r="Q16" s="126">
        <f t="shared" si="17"/>
        <v>306.44737499999997</v>
      </c>
      <c r="R16" s="126">
        <f t="shared" si="17"/>
        <v>325.35639000000009</v>
      </c>
      <c r="S16" s="126"/>
      <c r="T16" s="126"/>
      <c r="U16" s="126">
        <v>960</v>
      </c>
      <c r="V16" s="126">
        <v>823</v>
      </c>
      <c r="W16" s="126">
        <v>560</v>
      </c>
      <c r="X16" s="126">
        <v>627</v>
      </c>
      <c r="Y16" s="126">
        <v>694</v>
      </c>
      <c r="Z16" s="126">
        <v>901</v>
      </c>
      <c r="AA16" s="126">
        <f>SUM(K16:N16)</f>
        <v>905.56378999999993</v>
      </c>
      <c r="AB16" s="126">
        <f>SUM(O16:R16)</f>
        <v>1159.6087650000002</v>
      </c>
      <c r="AC16" s="126"/>
      <c r="AD16" s="126"/>
      <c r="AE16" s="126"/>
      <c r="AF16" s="126"/>
      <c r="AG16" s="126"/>
      <c r="AH16" s="126"/>
      <c r="AI16" s="126"/>
      <c r="AJ16" s="126"/>
      <c r="AK16" s="126"/>
    </row>
    <row r="17" spans="2:40" x14ac:dyDescent="0.2">
      <c r="B17" s="126" t="s">
        <v>49</v>
      </c>
      <c r="C17" s="126">
        <f>C15-C16</f>
        <v>749</v>
      </c>
      <c r="D17" s="126">
        <f t="shared" ref="D17:AB17" si="18">D15-D16</f>
        <v>907</v>
      </c>
      <c r="E17" s="126">
        <f t="shared" si="18"/>
        <v>832</v>
      </c>
      <c r="F17" s="126">
        <f t="shared" si="18"/>
        <v>576</v>
      </c>
      <c r="G17" s="126">
        <f t="shared" si="18"/>
        <v>866</v>
      </c>
      <c r="H17" s="126">
        <f t="shared" si="18"/>
        <v>964</v>
      </c>
      <c r="I17" s="126">
        <f t="shared" si="18"/>
        <v>904</v>
      </c>
      <c r="J17" s="126">
        <f t="shared" si="18"/>
        <v>625</v>
      </c>
      <c r="K17" s="126">
        <f t="shared" si="18"/>
        <v>432</v>
      </c>
      <c r="L17" s="126">
        <f t="shared" si="18"/>
        <v>618</v>
      </c>
      <c r="M17" s="126">
        <f t="shared" si="18"/>
        <v>747</v>
      </c>
      <c r="N17" s="126">
        <f t="shared" si="18"/>
        <v>624.31551000000013</v>
      </c>
      <c r="O17" s="126">
        <f t="shared" si="18"/>
        <v>726.02880000000005</v>
      </c>
      <c r="P17" s="126">
        <f t="shared" si="18"/>
        <v>857.38620000000026</v>
      </c>
      <c r="Q17" s="126">
        <f t="shared" si="18"/>
        <v>919.3421249999999</v>
      </c>
      <c r="R17" s="126">
        <f t="shared" si="18"/>
        <v>976.06917000000021</v>
      </c>
      <c r="S17" s="126"/>
      <c r="T17" s="126"/>
      <c r="U17" s="126">
        <f t="shared" si="18"/>
        <v>1684</v>
      </c>
      <c r="V17" s="126">
        <f t="shared" si="18"/>
        <v>1960</v>
      </c>
      <c r="W17" s="126">
        <f t="shared" si="18"/>
        <v>2340</v>
      </c>
      <c r="X17" s="126">
        <f t="shared" si="18"/>
        <v>2678</v>
      </c>
      <c r="Y17" s="126">
        <f t="shared" si="18"/>
        <v>3044</v>
      </c>
      <c r="Z17" s="126">
        <f t="shared" si="18"/>
        <v>3455</v>
      </c>
      <c r="AA17" s="126">
        <f t="shared" si="18"/>
        <v>2421.3155100000004</v>
      </c>
      <c r="AB17" s="126">
        <f t="shared" si="18"/>
        <v>3478.8262949999998</v>
      </c>
      <c r="AC17" s="126"/>
      <c r="AD17" s="126"/>
      <c r="AE17" s="126"/>
      <c r="AF17" s="126"/>
      <c r="AG17" s="126"/>
      <c r="AH17" s="126"/>
      <c r="AI17" s="126"/>
      <c r="AJ17" s="126"/>
      <c r="AK17" s="126"/>
    </row>
    <row r="18" spans="2:40" x14ac:dyDescent="0.2">
      <c r="B18" s="126"/>
      <c r="C18" s="126"/>
      <c r="D18" s="126"/>
      <c r="E18" s="126"/>
      <c r="F18" s="126"/>
      <c r="G18" s="126"/>
      <c r="H18" s="126"/>
      <c r="I18" s="126"/>
      <c r="J18" s="126"/>
      <c r="K18" s="126"/>
      <c r="L18" s="126"/>
      <c r="M18" s="126"/>
      <c r="N18" s="126"/>
      <c r="O18" s="126"/>
      <c r="P18" s="126"/>
      <c r="Q18" s="126"/>
      <c r="R18" s="126"/>
      <c r="S18" s="126"/>
      <c r="U18" s="126"/>
      <c r="V18" s="126"/>
      <c r="W18" s="126"/>
      <c r="X18" s="126"/>
      <c r="Y18" s="126"/>
      <c r="Z18" s="126"/>
      <c r="AA18" s="126"/>
      <c r="AB18" s="126"/>
      <c r="AC18" s="126"/>
      <c r="AD18" s="126"/>
      <c r="AE18" s="126"/>
      <c r="AF18" s="126"/>
      <c r="AG18" s="126"/>
      <c r="AH18" s="126"/>
      <c r="AI18" s="126"/>
      <c r="AJ18" s="126"/>
      <c r="AK18" s="126"/>
    </row>
    <row r="19" spans="2:40" x14ac:dyDescent="0.2">
      <c r="B19" s="126" t="s">
        <v>127</v>
      </c>
      <c r="C19" s="126"/>
      <c r="D19" s="126"/>
      <c r="E19" s="126"/>
      <c r="F19" s="126"/>
      <c r="G19" s="134">
        <f t="shared" ref="G19:M21" si="19">G3/C3-1</f>
        <v>9.633911368015502E-3</v>
      </c>
      <c r="H19" s="134">
        <f t="shared" si="19"/>
        <v>4.4573643410852792E-2</v>
      </c>
      <c r="I19" s="134">
        <f t="shared" si="19"/>
        <v>4.5283018867924518E-2</v>
      </c>
      <c r="J19" s="134">
        <f t="shared" si="19"/>
        <v>0.16451016635859528</v>
      </c>
      <c r="K19" s="134">
        <f t="shared" si="19"/>
        <v>0.38740458015267176</v>
      </c>
      <c r="L19" s="134">
        <f t="shared" si="19"/>
        <v>0.91094619666048238</v>
      </c>
      <c r="M19" s="134">
        <f t="shared" si="19"/>
        <v>0.8339350180505416</v>
      </c>
      <c r="N19" s="133">
        <v>0.78</v>
      </c>
      <c r="O19" s="133">
        <v>0.56000000000000005</v>
      </c>
      <c r="P19" s="133">
        <v>0.06</v>
      </c>
      <c r="Q19" s="133">
        <v>0.15</v>
      </c>
      <c r="R19" s="133">
        <v>0.17</v>
      </c>
      <c r="S19" s="126"/>
      <c r="T19" s="126"/>
      <c r="U19" s="126"/>
      <c r="V19" s="134">
        <f>V3/U3-1</f>
        <v>1.3245033112582849E-2</v>
      </c>
      <c r="W19" s="134">
        <f t="shared" ref="W19:AB19" si="20">W3/V3-1</f>
        <v>8.9126559714794995E-2</v>
      </c>
      <c r="X19" s="134">
        <f t="shared" si="20"/>
        <v>6.8739770867430439E-2</v>
      </c>
      <c r="Y19" s="134">
        <f t="shared" si="20"/>
        <v>7.5038284839203717E-2</v>
      </c>
      <c r="Z19" s="134">
        <f t="shared" si="20"/>
        <v>6.695156695156701E-2</v>
      </c>
      <c r="AA19" s="134">
        <f t="shared" si="20"/>
        <v>0.73315531820204716</v>
      </c>
      <c r="AB19" s="134">
        <f t="shared" si="20"/>
        <v>0.20849373459326204</v>
      </c>
      <c r="AC19" s="126"/>
      <c r="AD19" s="126"/>
      <c r="AE19" s="126"/>
      <c r="AF19" s="126"/>
      <c r="AG19" s="126"/>
      <c r="AH19" s="126"/>
      <c r="AI19" s="126"/>
      <c r="AJ19" s="126"/>
      <c r="AK19" s="126"/>
    </row>
    <row r="20" spans="2:40" x14ac:dyDescent="0.2">
      <c r="B20" s="126" t="s">
        <v>128</v>
      </c>
      <c r="C20" s="126"/>
      <c r="D20" s="126"/>
      <c r="E20" s="126"/>
      <c r="F20" s="126"/>
      <c r="G20" s="134">
        <f t="shared" si="19"/>
        <v>0.23272727272727267</v>
      </c>
      <c r="H20" s="134">
        <f t="shared" si="19"/>
        <v>6.6600397614314133E-2</v>
      </c>
      <c r="I20" s="134">
        <f t="shared" si="19"/>
        <v>0.13758389261744974</v>
      </c>
      <c r="J20" s="134">
        <f t="shared" si="19"/>
        <v>0.12372304199772977</v>
      </c>
      <c r="K20" s="134">
        <f t="shared" si="19"/>
        <v>-0.14650934119960668</v>
      </c>
      <c r="L20" s="134">
        <f t="shared" si="19"/>
        <v>-0.25815470643056848</v>
      </c>
      <c r="M20" s="134">
        <f t="shared" si="19"/>
        <v>-0.3303834808259587</v>
      </c>
      <c r="N20" s="133">
        <v>-0.19</v>
      </c>
      <c r="O20" s="133">
        <v>-0.13</v>
      </c>
      <c r="P20" s="133">
        <v>-0.09</v>
      </c>
      <c r="Q20" s="133">
        <v>-0.01</v>
      </c>
      <c r="R20" s="133">
        <v>0.04</v>
      </c>
      <c r="S20" s="159"/>
      <c r="T20" s="159"/>
      <c r="U20" s="126"/>
      <c r="V20" s="134">
        <f>V4/U4-1</f>
        <v>0.17869822485207099</v>
      </c>
      <c r="W20" s="134">
        <f t="shared" ref="W20:AB21" si="21">W4/V4-1</f>
        <v>-3.5140562248995977E-2</v>
      </c>
      <c r="X20" s="134">
        <f t="shared" si="21"/>
        <v>7.7349982656954586E-2</v>
      </c>
      <c r="Y20" s="134">
        <f t="shared" si="21"/>
        <v>0.16097875080489366</v>
      </c>
      <c r="Z20" s="134">
        <f t="shared" si="21"/>
        <v>0.13616195230171946</v>
      </c>
      <c r="AA20" s="134">
        <f t="shared" si="21"/>
        <v>-0.2319013912618989</v>
      </c>
      <c r="AB20" s="134">
        <f t="shared" si="21"/>
        <v>-5.0593917823890111E-2</v>
      </c>
      <c r="AC20" s="159" t="e">
        <f t="shared" ref="AC20:AL20" si="22">AC19/AC21</f>
        <v>#DIV/0!</v>
      </c>
      <c r="AD20" s="159" t="e">
        <f t="shared" si="22"/>
        <v>#DIV/0!</v>
      </c>
      <c r="AE20" s="159" t="e">
        <f t="shared" si="22"/>
        <v>#DIV/0!</v>
      </c>
      <c r="AF20" s="159" t="e">
        <f t="shared" si="22"/>
        <v>#DIV/0!</v>
      </c>
      <c r="AG20" s="159" t="e">
        <f t="shared" si="22"/>
        <v>#DIV/0!</v>
      </c>
      <c r="AH20" s="159" t="e">
        <f t="shared" si="22"/>
        <v>#DIV/0!</v>
      </c>
      <c r="AI20" s="159" t="e">
        <f t="shared" si="22"/>
        <v>#DIV/0!</v>
      </c>
      <c r="AJ20" s="159" t="e">
        <f t="shared" si="22"/>
        <v>#DIV/0!</v>
      </c>
      <c r="AK20" s="159" t="e">
        <f t="shared" si="22"/>
        <v>#DIV/0!</v>
      </c>
      <c r="AL20" s="159" t="e">
        <f t="shared" si="22"/>
        <v>#DIV/0!</v>
      </c>
    </row>
    <row r="21" spans="2:40" s="126" customFormat="1" x14ac:dyDescent="0.2">
      <c r="B21" s="126" t="s">
        <v>129</v>
      </c>
      <c r="G21" s="134">
        <f t="shared" si="19"/>
        <v>0.11627906976744184</v>
      </c>
      <c r="H21" s="134">
        <f t="shared" si="19"/>
        <v>0.16129032258064524</v>
      </c>
      <c r="I21" s="134">
        <f t="shared" si="19"/>
        <v>0.14864864864864868</v>
      </c>
      <c r="J21" s="134">
        <f t="shared" si="19"/>
        <v>-9.375E-2</v>
      </c>
      <c r="K21" s="134">
        <f t="shared" si="19"/>
        <v>0.51249999999999996</v>
      </c>
      <c r="L21" s="134">
        <f t="shared" si="19"/>
        <v>0.73809523809523814</v>
      </c>
      <c r="M21" s="134">
        <f t="shared" si="19"/>
        <v>0.69411764705882351</v>
      </c>
      <c r="N21" s="133">
        <v>0.65</v>
      </c>
      <c r="O21" s="133">
        <v>0.16</v>
      </c>
      <c r="P21" s="133">
        <v>0.18</v>
      </c>
      <c r="Q21" s="133">
        <v>0.23</v>
      </c>
      <c r="R21" s="133">
        <v>0.21</v>
      </c>
      <c r="V21" s="134">
        <f>V5/U5-1</f>
        <v>-0.16324324324324324</v>
      </c>
      <c r="W21" s="134">
        <f t="shared" si="21"/>
        <v>5.2971576227390127E-2</v>
      </c>
      <c r="X21" s="134">
        <f t="shared" si="21"/>
        <v>3.5582822085889587E-2</v>
      </c>
      <c r="Y21" s="134">
        <f t="shared" si="21"/>
        <v>4.0284360189573487E-2</v>
      </c>
      <c r="Z21" s="134">
        <f t="shared" si="21"/>
        <v>8.2004555808655955E-2</v>
      </c>
      <c r="AA21" s="134">
        <f t="shared" si="21"/>
        <v>0.65047368421052632</v>
      </c>
      <c r="AB21" s="134">
        <f t="shared" si="21"/>
        <v>0.1955543863005833</v>
      </c>
    </row>
    <row r="22" spans="2:40" x14ac:dyDescent="0.2">
      <c r="B22" s="126" t="s">
        <v>130</v>
      </c>
      <c r="C22" s="126"/>
      <c r="D22" s="126"/>
      <c r="E22" s="126"/>
      <c r="F22" s="126"/>
      <c r="G22" s="134"/>
      <c r="H22" s="134"/>
      <c r="I22" s="134"/>
      <c r="J22" s="134"/>
      <c r="K22" s="134"/>
      <c r="L22" s="134"/>
      <c r="M22" s="134"/>
      <c r="N22" s="132"/>
      <c r="O22" s="132">
        <f>O6/K6-1</f>
        <v>2.1913043478260867</v>
      </c>
      <c r="P22" s="132">
        <f t="shared" ref="P22:R22" si="23">P6/L6-1</f>
        <v>0.11869436201780426</v>
      </c>
      <c r="Q22" s="132">
        <f t="shared" si="23"/>
        <v>0.11271676300578037</v>
      </c>
      <c r="R22" s="132">
        <f t="shared" si="23"/>
        <v>0.10140845070422544</v>
      </c>
      <c r="S22" s="126"/>
      <c r="U22" s="126"/>
      <c r="V22" s="134"/>
      <c r="W22" s="134"/>
      <c r="X22" s="134"/>
      <c r="Y22" s="134"/>
      <c r="Z22" s="134"/>
      <c r="AA22" s="134"/>
      <c r="AB22" s="134">
        <f>AB6/AA6-1</f>
        <v>0.31830008673026877</v>
      </c>
      <c r="AC22" s="126"/>
      <c r="AD22" s="126"/>
      <c r="AE22" s="126"/>
      <c r="AF22" s="126"/>
      <c r="AG22" s="126"/>
      <c r="AH22" s="126"/>
      <c r="AI22" s="126"/>
      <c r="AJ22" s="126"/>
      <c r="AK22" s="126"/>
    </row>
    <row r="23" spans="2:40" x14ac:dyDescent="0.2">
      <c r="B23" s="126" t="s">
        <v>131</v>
      </c>
      <c r="C23" s="126"/>
      <c r="D23" s="126"/>
      <c r="E23" s="126"/>
      <c r="F23" s="126"/>
      <c r="G23" s="134">
        <f t="shared" ref="G23" si="24">G7/C7-1</f>
        <v>4.2471042471042386E-2</v>
      </c>
      <c r="H23" s="134">
        <f t="shared" ref="H23" si="25">H7/D7-1</f>
        <v>0.41250000000000009</v>
      </c>
      <c r="I23" s="134">
        <f t="shared" ref="I23" si="26">I7/E7-1</f>
        <v>0.27350427350427342</v>
      </c>
      <c r="J23" s="134">
        <f t="shared" ref="J23" si="27">J7/F7-1</f>
        <v>-5.46875E-2</v>
      </c>
      <c r="K23" s="134">
        <f>K7/G7-1</f>
        <v>0.19259259259259265</v>
      </c>
      <c r="L23" s="134">
        <f>L7/H7-1</f>
        <v>0</v>
      </c>
      <c r="M23" s="134">
        <f>M7/I7-1</f>
        <v>0.12080536912751683</v>
      </c>
      <c r="N23" s="133">
        <v>0.09</v>
      </c>
      <c r="O23" s="133">
        <v>0.08</v>
      </c>
      <c r="P23" s="133">
        <v>0.12</v>
      </c>
      <c r="Q23" s="133">
        <v>0.15</v>
      </c>
      <c r="R23" s="133">
        <v>0.18</v>
      </c>
      <c r="S23" s="132"/>
      <c r="T23" s="132"/>
      <c r="U23" s="132"/>
      <c r="V23" s="134">
        <f t="shared" ref="V23:AA23" si="28">V7/U7-1</f>
        <v>0.14106583072100309</v>
      </c>
      <c r="W23" s="134">
        <f t="shared" si="28"/>
        <v>0.14972527472527464</v>
      </c>
      <c r="X23" s="134">
        <f t="shared" si="28"/>
        <v>9.6774193548387011E-2</v>
      </c>
      <c r="Y23" s="134">
        <f t="shared" si="28"/>
        <v>7.734204793028332E-2</v>
      </c>
      <c r="Z23" s="134">
        <f t="shared" si="28"/>
        <v>0.16177957532861487</v>
      </c>
      <c r="AA23" s="134">
        <f t="shared" si="28"/>
        <v>9.5543951261966908E-2</v>
      </c>
      <c r="AB23" s="134">
        <f>AB7/AA7-1</f>
        <v>0.13030108517771177</v>
      </c>
      <c r="AC23" s="132">
        <f t="shared" ref="AC23:AL23" si="29">AC3/AB3-1</f>
        <v>-1</v>
      </c>
      <c r="AD23" s="132" t="e">
        <f t="shared" si="29"/>
        <v>#DIV/0!</v>
      </c>
      <c r="AE23" s="132" t="e">
        <f t="shared" si="29"/>
        <v>#DIV/0!</v>
      </c>
      <c r="AF23" s="132" t="e">
        <f t="shared" si="29"/>
        <v>#DIV/0!</v>
      </c>
      <c r="AG23" s="132" t="e">
        <f t="shared" si="29"/>
        <v>#DIV/0!</v>
      </c>
      <c r="AH23" s="132" t="e">
        <f t="shared" si="29"/>
        <v>#DIV/0!</v>
      </c>
      <c r="AI23" s="132" t="e">
        <f t="shared" si="29"/>
        <v>#DIV/0!</v>
      </c>
      <c r="AJ23" s="132" t="e">
        <f t="shared" si="29"/>
        <v>#DIV/0!</v>
      </c>
      <c r="AK23" s="132" t="e">
        <f t="shared" si="29"/>
        <v>#DIV/0!</v>
      </c>
      <c r="AL23" s="132" t="e">
        <f t="shared" si="29"/>
        <v>#DIV/0!</v>
      </c>
      <c r="AN23" s="160"/>
    </row>
    <row r="24" spans="2:40" s="128" customFormat="1" x14ac:dyDescent="0.2">
      <c r="B24" s="127" t="s">
        <v>102</v>
      </c>
      <c r="C24" s="127"/>
      <c r="D24" s="127"/>
      <c r="E24" s="127"/>
      <c r="F24" s="127"/>
      <c r="G24" s="131">
        <f t="shared" ref="G24:J24" si="30">G9/C9-1</f>
        <v>0.12816281628162818</v>
      </c>
      <c r="H24" s="131">
        <f t="shared" si="30"/>
        <v>0.11318847902981299</v>
      </c>
      <c r="I24" s="131">
        <f t="shared" si="30"/>
        <v>0.12978723404255321</v>
      </c>
      <c r="J24" s="131">
        <f t="shared" si="30"/>
        <v>8.569926393270233E-2</v>
      </c>
      <c r="K24" s="131">
        <f>K9/G9-1</f>
        <v>0.18381277425646037</v>
      </c>
      <c r="L24" s="131">
        <f t="shared" ref="L24:R24" si="31">L9/H9-1</f>
        <v>0.3781207444394008</v>
      </c>
      <c r="M24" s="131">
        <f t="shared" si="31"/>
        <v>0.36723163841807915</v>
      </c>
      <c r="N24" s="131">
        <f t="shared" si="31"/>
        <v>0.39323486682808717</v>
      </c>
      <c r="O24" s="131">
        <f>O9/K9-1</f>
        <v>0.24593080724876448</v>
      </c>
      <c r="P24" s="131">
        <f t="shared" si="31"/>
        <v>1.7681159420289916E-2</v>
      </c>
      <c r="Q24" s="131">
        <f t="shared" si="31"/>
        <v>8.231749311294756E-2</v>
      </c>
      <c r="R24" s="131">
        <f t="shared" si="31"/>
        <v>0.13087590327525267</v>
      </c>
      <c r="S24" s="131"/>
      <c r="T24" s="131"/>
      <c r="U24" s="131"/>
      <c r="V24" s="131">
        <f>V9/U9-1</f>
        <v>7.1887480465358644E-2</v>
      </c>
      <c r="W24" s="131">
        <f t="shared" ref="W24:AL24" si="32">W9/V9-1</f>
        <v>3.1589178681354246E-2</v>
      </c>
      <c r="X24" s="131">
        <f t="shared" si="32"/>
        <v>7.2079145728643157E-2</v>
      </c>
      <c r="Y24" s="131">
        <f t="shared" si="32"/>
        <v>0.11015087153947567</v>
      </c>
      <c r="Z24" s="131">
        <f t="shared" si="32"/>
        <v>0.11399920833883104</v>
      </c>
      <c r="AA24" s="131">
        <f t="shared" si="32"/>
        <v>0.33187611038730314</v>
      </c>
      <c r="AB24" s="131">
        <f t="shared" si="32"/>
        <v>0.11261720955835597</v>
      </c>
      <c r="AC24" s="131">
        <f t="shared" si="32"/>
        <v>-1</v>
      </c>
      <c r="AD24" s="131" t="e">
        <f t="shared" si="32"/>
        <v>#DIV/0!</v>
      </c>
      <c r="AE24" s="131" t="e">
        <f t="shared" si="32"/>
        <v>#DIV/0!</v>
      </c>
      <c r="AF24" s="131" t="e">
        <f t="shared" si="32"/>
        <v>#DIV/0!</v>
      </c>
      <c r="AG24" s="131" t="e">
        <f t="shared" si="32"/>
        <v>#DIV/0!</v>
      </c>
      <c r="AH24" s="131" t="e">
        <f t="shared" si="32"/>
        <v>#DIV/0!</v>
      </c>
      <c r="AI24" s="131" t="e">
        <f t="shared" si="32"/>
        <v>#DIV/0!</v>
      </c>
      <c r="AJ24" s="131" t="e">
        <f t="shared" si="32"/>
        <v>#DIV/0!</v>
      </c>
      <c r="AK24" s="131" t="e">
        <f t="shared" si="32"/>
        <v>#DIV/0!</v>
      </c>
      <c r="AL24" s="131" t="e">
        <f t="shared" si="32"/>
        <v>#DIV/0!</v>
      </c>
      <c r="AN24" s="131"/>
    </row>
    <row r="25" spans="2:40" x14ac:dyDescent="0.2">
      <c r="B25" s="126"/>
      <c r="C25" s="126"/>
      <c r="D25" s="126"/>
      <c r="E25" s="126"/>
      <c r="F25" s="126"/>
      <c r="I25" s="132"/>
      <c r="J25" s="132"/>
      <c r="K25" s="132"/>
      <c r="L25" s="132"/>
      <c r="M25" s="132"/>
      <c r="N25" s="133"/>
      <c r="O25" s="133"/>
      <c r="P25" s="133"/>
      <c r="Q25" s="133"/>
      <c r="R25" s="133"/>
      <c r="S25" s="132"/>
      <c r="T25" s="132"/>
      <c r="U25" s="132"/>
      <c r="V25" s="132"/>
      <c r="W25" s="132"/>
      <c r="X25" s="132"/>
      <c r="Y25" s="132"/>
      <c r="Z25" s="132"/>
      <c r="AA25" s="132"/>
      <c r="AB25" s="132"/>
      <c r="AC25" s="132">
        <f t="shared" ref="AC25:AL25" si="33">AC5/AB5-1</f>
        <v>-1</v>
      </c>
      <c r="AD25" s="132" t="e">
        <f t="shared" si="33"/>
        <v>#DIV/0!</v>
      </c>
      <c r="AE25" s="132" t="e">
        <f t="shared" si="33"/>
        <v>#DIV/0!</v>
      </c>
      <c r="AF25" s="132" t="e">
        <f t="shared" si="33"/>
        <v>#DIV/0!</v>
      </c>
      <c r="AG25" s="132" t="e">
        <f t="shared" si="33"/>
        <v>#DIV/0!</v>
      </c>
      <c r="AH25" s="132" t="e">
        <f t="shared" si="33"/>
        <v>#DIV/0!</v>
      </c>
      <c r="AI25" s="132" t="e">
        <f t="shared" si="33"/>
        <v>#DIV/0!</v>
      </c>
      <c r="AJ25" s="132" t="e">
        <f t="shared" si="33"/>
        <v>#DIV/0!</v>
      </c>
      <c r="AK25" s="132" t="e">
        <f t="shared" si="33"/>
        <v>#DIV/0!</v>
      </c>
      <c r="AL25" s="132" t="e">
        <f t="shared" si="33"/>
        <v>#DIV/0!</v>
      </c>
    </row>
    <row r="26" spans="2:40" x14ac:dyDescent="0.2">
      <c r="B26" s="126" t="s">
        <v>132</v>
      </c>
      <c r="C26" s="134">
        <f t="shared" ref="C26:F26" si="34">C11/C9</f>
        <v>0.71342134213421338</v>
      </c>
      <c r="D26" s="134">
        <f t="shared" si="34"/>
        <v>0.75088428499242044</v>
      </c>
      <c r="E26" s="134">
        <f t="shared" si="34"/>
        <v>0.72393617021276591</v>
      </c>
      <c r="F26" s="134">
        <f t="shared" si="34"/>
        <v>0.70609884332281814</v>
      </c>
      <c r="G26" s="134">
        <f>G11/G9</f>
        <v>0.7430521696733301</v>
      </c>
      <c r="H26" s="134">
        <f t="shared" ref="H26:M26" si="35">H11/H9</f>
        <v>0.75805719473445299</v>
      </c>
      <c r="I26" s="134">
        <f t="shared" si="35"/>
        <v>0.74435028248587576</v>
      </c>
      <c r="J26" s="134">
        <f t="shared" si="35"/>
        <v>0.71331719128329296</v>
      </c>
      <c r="K26" s="134">
        <f t="shared" si="35"/>
        <v>0.69151565074135091</v>
      </c>
      <c r="L26" s="134">
        <f t="shared" si="35"/>
        <v>0.66699604743083007</v>
      </c>
      <c r="M26" s="134">
        <f t="shared" si="35"/>
        <v>0.65771349862258954</v>
      </c>
      <c r="N26" s="133">
        <v>0.66</v>
      </c>
      <c r="O26" s="133">
        <v>0.67</v>
      </c>
      <c r="P26" s="133">
        <v>0.68</v>
      </c>
      <c r="Q26" s="133">
        <v>0.68</v>
      </c>
      <c r="R26" s="133">
        <v>0.68</v>
      </c>
      <c r="S26" s="132"/>
      <c r="T26" s="132"/>
      <c r="U26" s="134">
        <f t="shared" ref="U26:AL26" si="36">U11/U9</f>
        <v>0.74526827574231636</v>
      </c>
      <c r="V26" s="134">
        <f t="shared" si="36"/>
        <v>0.73999676008423776</v>
      </c>
      <c r="W26" s="134">
        <f t="shared" si="36"/>
        <v>0.7328831658291457</v>
      </c>
      <c r="X26" s="134">
        <f t="shared" si="36"/>
        <v>0.71056100776329278</v>
      </c>
      <c r="Y26" s="134">
        <f t="shared" si="36"/>
        <v>0.72371025201213879</v>
      </c>
      <c r="Z26" s="134">
        <f t="shared" si="36"/>
        <v>0.7400213194362194</v>
      </c>
      <c r="AA26" s="134">
        <f t="shared" si="36"/>
        <v>0.66810313534067944</v>
      </c>
      <c r="AB26" s="134">
        <f t="shared" si="36"/>
        <v>0.67758211180272765</v>
      </c>
      <c r="AC26" s="134" t="e">
        <f t="shared" si="36"/>
        <v>#DIV/0!</v>
      </c>
      <c r="AD26" s="134" t="e">
        <f t="shared" si="36"/>
        <v>#DIV/0!</v>
      </c>
      <c r="AE26" s="134" t="e">
        <f t="shared" si="36"/>
        <v>#DIV/0!</v>
      </c>
      <c r="AF26" s="134" t="e">
        <f t="shared" si="36"/>
        <v>#DIV/0!</v>
      </c>
      <c r="AG26" s="134" t="e">
        <f t="shared" si="36"/>
        <v>#DIV/0!</v>
      </c>
      <c r="AH26" s="134" t="e">
        <f t="shared" si="36"/>
        <v>#DIV/0!</v>
      </c>
      <c r="AI26" s="134" t="e">
        <f t="shared" si="36"/>
        <v>#DIV/0!</v>
      </c>
      <c r="AJ26" s="134" t="e">
        <f t="shared" si="36"/>
        <v>#DIV/0!</v>
      </c>
      <c r="AK26" s="134" t="e">
        <f t="shared" si="36"/>
        <v>#DIV/0!</v>
      </c>
      <c r="AL26" s="134" t="e">
        <f t="shared" si="36"/>
        <v>#DIV/0!</v>
      </c>
    </row>
    <row r="27" spans="2:40" x14ac:dyDescent="0.2">
      <c r="B27" s="126" t="s">
        <v>133</v>
      </c>
      <c r="C27" s="134">
        <f t="shared" ref="C27:F27" si="37">C12/C$9</f>
        <v>0.17106710671067107</v>
      </c>
      <c r="D27" s="134">
        <f t="shared" si="37"/>
        <v>0.14906518443658415</v>
      </c>
      <c r="E27" s="134">
        <f t="shared" si="37"/>
        <v>0.18031914893617021</v>
      </c>
      <c r="F27" s="134">
        <f t="shared" si="37"/>
        <v>0.31440588853838064</v>
      </c>
      <c r="G27" s="134">
        <f>G12/G$9</f>
        <v>0.17552413456850316</v>
      </c>
      <c r="H27" s="134">
        <f t="shared" ref="H27:M27" si="38">H12/H$9</f>
        <v>0.16976849750340445</v>
      </c>
      <c r="I27" s="134">
        <f t="shared" si="38"/>
        <v>0.19915254237288135</v>
      </c>
      <c r="J27" s="134">
        <f t="shared" si="38"/>
        <v>0.26973365617433415</v>
      </c>
      <c r="K27" s="134">
        <f t="shared" si="38"/>
        <v>0.39456342668863265</v>
      </c>
      <c r="L27" s="134">
        <f t="shared" si="38"/>
        <v>0.25164690382081689</v>
      </c>
      <c r="M27" s="134">
        <f t="shared" si="38"/>
        <v>0.24793388429752067</v>
      </c>
      <c r="N27" s="133">
        <v>0.25</v>
      </c>
      <c r="O27" s="133">
        <v>0.25</v>
      </c>
      <c r="P27" s="133">
        <v>0.24</v>
      </c>
      <c r="Q27" s="133">
        <v>0.23</v>
      </c>
      <c r="R27" s="133">
        <v>0.23</v>
      </c>
      <c r="S27" s="132"/>
      <c r="T27" s="132"/>
      <c r="U27" s="134">
        <f t="shared" ref="U27:AL27" si="39">U12/U$9</f>
        <v>0.25473172425768364</v>
      </c>
      <c r="V27" s="134">
        <f t="shared" si="39"/>
        <v>0.26000323991576219</v>
      </c>
      <c r="W27" s="134">
        <f t="shared" si="39"/>
        <v>0.2451319095477387</v>
      </c>
      <c r="X27" s="134">
        <f t="shared" si="39"/>
        <v>0.19657243298667057</v>
      </c>
      <c r="Y27" s="134">
        <f t="shared" si="39"/>
        <v>0.20332497690988258</v>
      </c>
      <c r="Z27" s="134">
        <f t="shared" si="39"/>
        <v>0.2030084093331754</v>
      </c>
      <c r="AA27" s="134">
        <f t="shared" si="39"/>
        <v>0.28112486138320664</v>
      </c>
      <c r="AB27" s="134">
        <f t="shared" si="39"/>
        <v>0.23730526547443212</v>
      </c>
      <c r="AC27" s="134" t="e">
        <f t="shared" si="39"/>
        <v>#DIV/0!</v>
      </c>
      <c r="AD27" s="134" t="e">
        <f t="shared" si="39"/>
        <v>#DIV/0!</v>
      </c>
      <c r="AE27" s="134" t="e">
        <f t="shared" si="39"/>
        <v>#DIV/0!</v>
      </c>
      <c r="AF27" s="134" t="e">
        <f t="shared" si="39"/>
        <v>#DIV/0!</v>
      </c>
      <c r="AG27" s="134" t="e">
        <f t="shared" si="39"/>
        <v>#DIV/0!</v>
      </c>
      <c r="AH27" s="134" t="e">
        <f t="shared" si="39"/>
        <v>#DIV/0!</v>
      </c>
      <c r="AI27" s="134" t="e">
        <f t="shared" si="39"/>
        <v>#DIV/0!</v>
      </c>
      <c r="AJ27" s="134" t="e">
        <f t="shared" si="39"/>
        <v>#DIV/0!</v>
      </c>
      <c r="AK27" s="134" t="e">
        <f t="shared" si="39"/>
        <v>#DIV/0!</v>
      </c>
      <c r="AL27" s="134" t="e">
        <f t="shared" si="39"/>
        <v>#DIV/0!</v>
      </c>
    </row>
    <row r="28" spans="2:40" x14ac:dyDescent="0.2">
      <c r="B28" s="126" t="s">
        <v>103</v>
      </c>
      <c r="C28" s="134">
        <f t="shared" ref="C28:F28" si="40">C13/C$9</f>
        <v>2.6952695269526952E-2</v>
      </c>
      <c r="D28" s="134">
        <f t="shared" si="40"/>
        <v>2.5770591207680646E-2</v>
      </c>
      <c r="E28" s="134">
        <f t="shared" si="40"/>
        <v>2.7659574468085105E-2</v>
      </c>
      <c r="F28" s="134">
        <f t="shared" si="40"/>
        <v>2.8391167192429023E-2</v>
      </c>
      <c r="G28" s="134">
        <f>G13/G$9</f>
        <v>2.4378352023403219E-2</v>
      </c>
      <c r="H28" s="134">
        <f t="shared" ref="H28:M28" si="41">H13/H$9</f>
        <v>2.0426690876078075E-2</v>
      </c>
      <c r="I28" s="134">
        <f t="shared" si="41"/>
        <v>1.9303201506591337E-2</v>
      </c>
      <c r="J28" s="134">
        <f t="shared" si="41"/>
        <v>2.0823244552058112E-2</v>
      </c>
      <c r="K28" s="134">
        <f t="shared" si="41"/>
        <v>5.6013179571663921E-2</v>
      </c>
      <c r="L28" s="134">
        <f t="shared" si="41"/>
        <v>9.9802371541501983E-2</v>
      </c>
      <c r="M28" s="134">
        <f t="shared" si="41"/>
        <v>0.10261707988980716</v>
      </c>
      <c r="N28" s="133">
        <v>0.1</v>
      </c>
      <c r="O28" s="133">
        <v>0.1</v>
      </c>
      <c r="P28" s="133">
        <v>7.0000000000000007E-2</v>
      </c>
      <c r="Q28" s="133">
        <v>0.06</v>
      </c>
      <c r="R28" s="133">
        <v>0.05</v>
      </c>
      <c r="S28" s="132"/>
      <c r="T28" s="132"/>
      <c r="U28" s="134">
        <f t="shared" ref="U28:AL28" si="42">U13/U$9</f>
        <v>3.1429067546449037E-2</v>
      </c>
      <c r="V28" s="134">
        <f t="shared" si="42"/>
        <v>2.9159241859711648E-2</v>
      </c>
      <c r="W28" s="134">
        <f t="shared" si="42"/>
        <v>3.234924623115578E-2</v>
      </c>
      <c r="X28" s="134">
        <f t="shared" si="42"/>
        <v>2.9881353449538597E-2</v>
      </c>
      <c r="Y28" s="134">
        <f t="shared" si="42"/>
        <v>2.7180366803008314E-2</v>
      </c>
      <c r="Z28" s="134">
        <f t="shared" si="42"/>
        <v>2.1082553594693829E-2</v>
      </c>
      <c r="AA28" s="134">
        <f t="shared" si="42"/>
        <v>9.1124968097017076E-2</v>
      </c>
      <c r="AB28" s="134">
        <f t="shared" si="42"/>
        <v>6.9540565275360303E-2</v>
      </c>
      <c r="AC28" s="134" t="e">
        <f t="shared" si="42"/>
        <v>#DIV/0!</v>
      </c>
      <c r="AD28" s="134" t="e">
        <f t="shared" si="42"/>
        <v>#DIV/0!</v>
      </c>
      <c r="AE28" s="134" t="e">
        <f t="shared" si="42"/>
        <v>#DIV/0!</v>
      </c>
      <c r="AF28" s="134" t="e">
        <f t="shared" si="42"/>
        <v>#DIV/0!</v>
      </c>
      <c r="AG28" s="134" t="e">
        <f t="shared" si="42"/>
        <v>#DIV/0!</v>
      </c>
      <c r="AH28" s="134" t="e">
        <f t="shared" si="42"/>
        <v>#DIV/0!</v>
      </c>
      <c r="AI28" s="134" t="e">
        <f t="shared" si="42"/>
        <v>#DIV/0!</v>
      </c>
      <c r="AJ28" s="134" t="e">
        <f t="shared" si="42"/>
        <v>#DIV/0!</v>
      </c>
      <c r="AK28" s="134" t="e">
        <f t="shared" si="42"/>
        <v>#DIV/0!</v>
      </c>
      <c r="AL28" s="134" t="e">
        <f t="shared" si="42"/>
        <v>#DIV/0!</v>
      </c>
    </row>
    <row r="29" spans="2:40" x14ac:dyDescent="0.2">
      <c r="B29" s="126" t="s">
        <v>134</v>
      </c>
      <c r="F29" s="134"/>
      <c r="G29" s="134">
        <f t="shared" ref="G29:J29" si="43">G14/C14-1</f>
        <v>0.13888888888888884</v>
      </c>
      <c r="H29" s="134">
        <f t="shared" si="43"/>
        <v>0.21098265895953761</v>
      </c>
      <c r="I29" s="134">
        <f t="shared" si="43"/>
        <v>0.1867007672634271</v>
      </c>
      <c r="J29" s="134">
        <f t="shared" si="43"/>
        <v>-7.9754601226993849E-2</v>
      </c>
      <c r="K29" s="134">
        <f>K14/G14-1</f>
        <v>1.6682926829268294</v>
      </c>
      <c r="L29" s="134">
        <f t="shared" ref="L29:R29" si="44">L14/H14-1</f>
        <v>1.5465393794749405</v>
      </c>
      <c r="M29" s="134">
        <f t="shared" si="44"/>
        <v>1.1939655172413794</v>
      </c>
      <c r="N29" s="134">
        <f t="shared" si="44"/>
        <v>0.67826750000000025</v>
      </c>
      <c r="O29" s="134">
        <f t="shared" si="44"/>
        <v>-3.2182815356489813E-2</v>
      </c>
      <c r="P29" s="134">
        <f t="shared" si="44"/>
        <v>-0.10234226804123703</v>
      </c>
      <c r="Q29" s="134">
        <f t="shared" si="44"/>
        <v>-0.10463212180746573</v>
      </c>
      <c r="R29" s="134">
        <f t="shared" si="44"/>
        <v>-9.5299277379797931E-2</v>
      </c>
      <c r="S29" s="132"/>
      <c r="T29" s="132"/>
    </row>
    <row r="30" spans="2:40" s="128" customFormat="1" x14ac:dyDescent="0.2">
      <c r="B30" s="127" t="s">
        <v>135</v>
      </c>
      <c r="C30" s="131">
        <f t="shared" ref="C30:F30" si="45">C15/C9</f>
        <v>0.5154015401540154</v>
      </c>
      <c r="D30" s="131">
        <f t="shared" si="45"/>
        <v>0.57604850934815566</v>
      </c>
      <c r="E30" s="131">
        <f t="shared" si="45"/>
        <v>0.51595744680851063</v>
      </c>
      <c r="F30" s="131">
        <f t="shared" si="45"/>
        <v>0.36330178759200843</v>
      </c>
      <c r="G30" s="131">
        <f>G15/G9</f>
        <v>0.54314968308142375</v>
      </c>
      <c r="H30" s="131">
        <f t="shared" ref="H30:R30" si="46">H15/H9</f>
        <v>0.56786200635497053</v>
      </c>
      <c r="I30" s="131">
        <f t="shared" si="46"/>
        <v>0.52589453860640301</v>
      </c>
      <c r="J30" s="131">
        <f t="shared" si="46"/>
        <v>0.42276029055690073</v>
      </c>
      <c r="K30" s="131">
        <f t="shared" si="46"/>
        <v>0.24093904448105435</v>
      </c>
      <c r="L30" s="131">
        <f t="shared" si="46"/>
        <v>0.31554677206851117</v>
      </c>
      <c r="M30" s="131">
        <f t="shared" si="46"/>
        <v>0.3071625344352617</v>
      </c>
      <c r="N30" s="131">
        <v>0.31</v>
      </c>
      <c r="O30" s="131">
        <f t="shared" si="46"/>
        <v>0.32</v>
      </c>
      <c r="P30" s="131">
        <f t="shared" si="46"/>
        <v>0.37000000000000005</v>
      </c>
      <c r="Q30" s="131">
        <f t="shared" si="46"/>
        <v>0.39</v>
      </c>
      <c r="R30" s="131">
        <f t="shared" si="46"/>
        <v>0.40000000000000008</v>
      </c>
      <c r="S30" s="131"/>
      <c r="T30" s="131"/>
      <c r="U30" s="131">
        <f t="shared" ref="U30:AL30" si="47">U15/U9</f>
        <v>0.45910748393818374</v>
      </c>
      <c r="V30" s="131">
        <f t="shared" si="47"/>
        <v>0.45083427830876399</v>
      </c>
      <c r="W30" s="131">
        <f t="shared" si="47"/>
        <v>0.45540201005025127</v>
      </c>
      <c r="X30" s="131">
        <f t="shared" si="47"/>
        <v>0.48410722132708361</v>
      </c>
      <c r="Y30" s="131">
        <f t="shared" si="47"/>
        <v>0.4932049082992479</v>
      </c>
      <c r="Z30" s="131">
        <f t="shared" si="47"/>
        <v>0.51593035650835006</v>
      </c>
      <c r="AA30" s="131">
        <f t="shared" si="47"/>
        <v>0.29585330586045572</v>
      </c>
      <c r="AB30" s="131">
        <f t="shared" si="47"/>
        <v>0.37073628105293521</v>
      </c>
      <c r="AC30" s="131" t="e">
        <f t="shared" si="47"/>
        <v>#DIV/0!</v>
      </c>
      <c r="AD30" s="131" t="e">
        <f t="shared" si="47"/>
        <v>#DIV/0!</v>
      </c>
      <c r="AE30" s="131" t="e">
        <f t="shared" si="47"/>
        <v>#DIV/0!</v>
      </c>
      <c r="AF30" s="131" t="e">
        <f t="shared" si="47"/>
        <v>#DIV/0!</v>
      </c>
      <c r="AG30" s="131" t="e">
        <f t="shared" si="47"/>
        <v>#DIV/0!</v>
      </c>
      <c r="AH30" s="131" t="e">
        <f t="shared" si="47"/>
        <v>#DIV/0!</v>
      </c>
      <c r="AI30" s="131" t="e">
        <f t="shared" si="47"/>
        <v>#DIV/0!</v>
      </c>
      <c r="AJ30" s="131" t="e">
        <f t="shared" si="47"/>
        <v>#DIV/0!</v>
      </c>
      <c r="AK30" s="131" t="e">
        <f t="shared" si="47"/>
        <v>#DIV/0!</v>
      </c>
      <c r="AL30" s="131" t="e">
        <f t="shared" si="47"/>
        <v>#DIV/0!</v>
      </c>
    </row>
    <row r="31" spans="2:40" x14ac:dyDescent="0.2">
      <c r="B31" s="126" t="s">
        <v>136</v>
      </c>
      <c r="C31" s="132">
        <f t="shared" ref="C31:F31" si="48">C16/C15</f>
        <v>0.20064034151547491</v>
      </c>
      <c r="D31" s="132">
        <f t="shared" si="48"/>
        <v>0.2043859649122807</v>
      </c>
      <c r="E31" s="132">
        <f t="shared" si="48"/>
        <v>0.1422680412371134</v>
      </c>
      <c r="F31" s="132">
        <f t="shared" si="48"/>
        <v>0.16642547033285093</v>
      </c>
      <c r="G31" s="132">
        <f>G16/G15</f>
        <v>0.22262118491921004</v>
      </c>
      <c r="H31" s="132">
        <f t="shared" ref="H31:M31" si="49">H16/H15</f>
        <v>0.22941646682653877</v>
      </c>
      <c r="I31" s="132">
        <f t="shared" si="49"/>
        <v>0.19068934646374217</v>
      </c>
      <c r="J31" s="132">
        <f t="shared" si="49"/>
        <v>0.284077892325315</v>
      </c>
      <c r="K31" s="132">
        <f t="shared" si="49"/>
        <v>0.26153846153846155</v>
      </c>
      <c r="L31" s="132">
        <f t="shared" si="49"/>
        <v>0.35490605427974947</v>
      </c>
      <c r="M31" s="132">
        <f t="shared" si="49"/>
        <v>0.16255605381165919</v>
      </c>
      <c r="N31" s="133">
        <v>0.3</v>
      </c>
      <c r="O31" s="133">
        <v>0.25</v>
      </c>
      <c r="P31" s="133">
        <v>0.25</v>
      </c>
      <c r="Q31" s="133">
        <v>0.25</v>
      </c>
      <c r="R31" s="133">
        <v>0.25</v>
      </c>
      <c r="S31" s="132"/>
      <c r="T31" s="132"/>
      <c r="U31" s="132">
        <f t="shared" ref="U31:AL31" si="50">U16/U15</f>
        <v>0.36308623298033282</v>
      </c>
      <c r="V31" s="132">
        <f t="shared" si="50"/>
        <v>0.29572403880704273</v>
      </c>
      <c r="W31" s="132">
        <f t="shared" si="50"/>
        <v>0.19310344827586207</v>
      </c>
      <c r="X31" s="132">
        <f t="shared" si="50"/>
        <v>0.1897125567322239</v>
      </c>
      <c r="Y31" s="132">
        <f t="shared" si="50"/>
        <v>0.18566078116639914</v>
      </c>
      <c r="Z31" s="132">
        <f t="shared" si="50"/>
        <v>0.20684113865932047</v>
      </c>
      <c r="AA31" s="132">
        <f>AA16/AA15</f>
        <v>0.27219616593845164</v>
      </c>
      <c r="AB31" s="132">
        <f t="shared" si="50"/>
        <v>0.25000000000000006</v>
      </c>
      <c r="AC31" s="132" t="e">
        <f t="shared" si="50"/>
        <v>#DIV/0!</v>
      </c>
      <c r="AD31" s="132" t="e">
        <f t="shared" si="50"/>
        <v>#DIV/0!</v>
      </c>
      <c r="AE31" s="132" t="e">
        <f t="shared" si="50"/>
        <v>#DIV/0!</v>
      </c>
      <c r="AF31" s="132" t="e">
        <f t="shared" si="50"/>
        <v>#DIV/0!</v>
      </c>
      <c r="AG31" s="132" t="e">
        <f t="shared" si="50"/>
        <v>#DIV/0!</v>
      </c>
      <c r="AH31" s="132" t="e">
        <f t="shared" si="50"/>
        <v>#DIV/0!</v>
      </c>
      <c r="AI31" s="132" t="e">
        <f t="shared" si="50"/>
        <v>#DIV/0!</v>
      </c>
      <c r="AJ31" s="132" t="e">
        <f t="shared" si="50"/>
        <v>#DIV/0!</v>
      </c>
      <c r="AK31" s="132" t="e">
        <f t="shared" si="50"/>
        <v>#DIV/0!</v>
      </c>
      <c r="AL31" s="132" t="e">
        <f t="shared" si="50"/>
        <v>#DIV/0!</v>
      </c>
    </row>
    <row r="32" spans="2:40" x14ac:dyDescent="0.2">
      <c r="B32" s="126"/>
      <c r="C32" s="126"/>
      <c r="D32" s="126"/>
      <c r="E32" s="126"/>
      <c r="F32" s="126"/>
      <c r="G32" s="132"/>
      <c r="H32" s="132"/>
      <c r="I32" s="132"/>
      <c r="J32" s="132"/>
      <c r="K32" s="132"/>
      <c r="L32" s="132"/>
      <c r="M32" s="132"/>
      <c r="N32" s="133"/>
      <c r="O32" s="133"/>
      <c r="P32" s="133"/>
      <c r="Q32" s="133"/>
      <c r="R32" s="133"/>
      <c r="S32" s="132"/>
      <c r="T32" s="132"/>
      <c r="U32" s="132"/>
      <c r="V32" s="132"/>
      <c r="W32" s="132"/>
      <c r="X32" s="132"/>
      <c r="Y32" s="132"/>
      <c r="Z32" s="132"/>
      <c r="AA32" s="132"/>
      <c r="AB32" s="132"/>
      <c r="AC32" s="132"/>
      <c r="AD32" s="132"/>
      <c r="AE32" s="132"/>
      <c r="AF32" s="132"/>
      <c r="AG32" s="132"/>
      <c r="AH32" s="132"/>
      <c r="AI32" s="132"/>
      <c r="AJ32" s="132"/>
      <c r="AK32" s="132"/>
    </row>
    <row r="33" spans="2:39" x14ac:dyDescent="0.2">
      <c r="B33" s="126" t="s">
        <v>52</v>
      </c>
      <c r="C33" s="126"/>
      <c r="D33" s="126"/>
      <c r="E33" s="126"/>
      <c r="F33" s="126"/>
      <c r="G33" s="132"/>
      <c r="H33" s="132"/>
      <c r="I33" s="132"/>
      <c r="J33" s="132"/>
      <c r="K33" s="132"/>
      <c r="L33" s="132"/>
      <c r="M33" s="132"/>
      <c r="N33" s="132"/>
      <c r="O33" s="133"/>
      <c r="P33" s="133"/>
      <c r="Q33" s="133"/>
      <c r="R33" s="133"/>
      <c r="S33" s="132"/>
      <c r="T33" s="132"/>
      <c r="U33" s="164">
        <v>-115</v>
      </c>
      <c r="V33" s="164">
        <v>-123</v>
      </c>
      <c r="W33" s="164">
        <v>-113</v>
      </c>
      <c r="X33" s="164">
        <v>-115</v>
      </c>
      <c r="Y33" s="164">
        <v>-76</v>
      </c>
      <c r="Z33" s="164">
        <v>-35</v>
      </c>
      <c r="AA33" s="132"/>
      <c r="AB33" s="132"/>
      <c r="AC33" s="132"/>
      <c r="AD33" s="132"/>
      <c r="AE33" s="132"/>
      <c r="AF33" s="132"/>
      <c r="AG33" s="132"/>
      <c r="AH33" s="132"/>
      <c r="AI33" s="132"/>
      <c r="AJ33" s="132"/>
      <c r="AK33" s="132"/>
    </row>
    <row r="34" spans="2:39" x14ac:dyDescent="0.2">
      <c r="B34" s="126" t="s">
        <v>53</v>
      </c>
      <c r="C34" s="126"/>
      <c r="D34" s="126"/>
      <c r="E34" s="126"/>
      <c r="F34" s="126"/>
      <c r="G34" s="132"/>
      <c r="H34" s="132"/>
      <c r="I34" s="132"/>
      <c r="J34" s="132"/>
      <c r="K34" s="132"/>
      <c r="L34" s="132"/>
      <c r="M34" s="132"/>
      <c r="N34" s="132"/>
      <c r="O34" s="132"/>
      <c r="P34" s="132"/>
      <c r="Q34" s="132"/>
      <c r="R34" s="132"/>
      <c r="S34" s="132"/>
      <c r="T34" s="132"/>
      <c r="U34" s="164">
        <v>-384</v>
      </c>
      <c r="V34" s="164">
        <v>60</v>
      </c>
      <c r="W34" s="164">
        <v>302</v>
      </c>
      <c r="X34" s="164">
        <v>-185</v>
      </c>
      <c r="Y34" s="164">
        <v>-453</v>
      </c>
      <c r="Z34" s="164">
        <v>199</v>
      </c>
      <c r="AA34" s="132"/>
      <c r="AB34" s="132"/>
      <c r="AC34" s="132" t="e">
        <f t="shared" ref="AC34:AL34" si="51">AC13/AC8</f>
        <v>#DIV/0!</v>
      </c>
      <c r="AD34" s="132" t="e">
        <f t="shared" si="51"/>
        <v>#DIV/0!</v>
      </c>
      <c r="AE34" s="132" t="e">
        <f t="shared" si="51"/>
        <v>#DIV/0!</v>
      </c>
      <c r="AF34" s="132" t="e">
        <f t="shared" si="51"/>
        <v>#DIV/0!</v>
      </c>
      <c r="AG34" s="132" t="e">
        <f t="shared" si="51"/>
        <v>#DIV/0!</v>
      </c>
      <c r="AH34" s="132" t="e">
        <f t="shared" si="51"/>
        <v>#DIV/0!</v>
      </c>
      <c r="AI34" s="132" t="e">
        <f t="shared" si="51"/>
        <v>#DIV/0!</v>
      </c>
      <c r="AJ34" s="132" t="e">
        <f t="shared" si="51"/>
        <v>#DIV/0!</v>
      </c>
      <c r="AK34" s="132" t="e">
        <f t="shared" si="51"/>
        <v>#DIV/0!</v>
      </c>
      <c r="AL34" s="132" t="e">
        <f t="shared" si="51"/>
        <v>#DIV/0!</v>
      </c>
    </row>
    <row r="35" spans="2:39" x14ac:dyDescent="0.2">
      <c r="B35" s="126"/>
      <c r="C35" s="126"/>
      <c r="D35" s="126"/>
      <c r="E35" s="126"/>
      <c r="F35" s="126"/>
      <c r="G35" s="132"/>
      <c r="H35" s="132"/>
      <c r="I35" s="132"/>
      <c r="J35" s="132"/>
      <c r="K35" s="132"/>
      <c r="L35" s="132"/>
      <c r="M35" s="132"/>
      <c r="N35" s="132"/>
      <c r="O35" s="132"/>
      <c r="P35" s="132"/>
      <c r="Q35" s="132"/>
      <c r="R35" s="132"/>
      <c r="S35" s="132"/>
      <c r="T35" s="132"/>
      <c r="U35" s="132"/>
      <c r="V35" s="132"/>
      <c r="W35" s="132"/>
      <c r="X35" s="132"/>
      <c r="Y35" s="132"/>
      <c r="Z35" s="132"/>
      <c r="AA35" s="132"/>
      <c r="AB35" s="132"/>
      <c r="AC35" s="132">
        <f t="shared" ref="AC35:AL35" si="52">AC13/Y13-1</f>
        <v>-1</v>
      </c>
      <c r="AD35" s="132">
        <f t="shared" si="52"/>
        <v>-1</v>
      </c>
      <c r="AE35" s="132">
        <f t="shared" si="52"/>
        <v>-1</v>
      </c>
      <c r="AF35" s="132">
        <f t="shared" si="52"/>
        <v>-1</v>
      </c>
      <c r="AG35" s="132" t="e">
        <f t="shared" si="52"/>
        <v>#DIV/0!</v>
      </c>
      <c r="AH35" s="132" t="e">
        <f t="shared" si="52"/>
        <v>#DIV/0!</v>
      </c>
      <c r="AI35" s="132" t="e">
        <f t="shared" si="52"/>
        <v>#DIV/0!</v>
      </c>
      <c r="AJ35" s="132" t="e">
        <f t="shared" si="52"/>
        <v>#DIV/0!</v>
      </c>
      <c r="AK35" s="132" t="e">
        <f t="shared" si="52"/>
        <v>#DIV/0!</v>
      </c>
      <c r="AL35" s="132" t="e">
        <f t="shared" si="52"/>
        <v>#DIV/0!</v>
      </c>
    </row>
    <row r="36" spans="2:39" x14ac:dyDescent="0.2">
      <c r="G36" s="132"/>
      <c r="H36" s="132"/>
      <c r="I36" s="132"/>
      <c r="J36" s="132"/>
      <c r="K36" s="132"/>
      <c r="L36" s="132"/>
      <c r="M36" s="132"/>
      <c r="N36" s="132"/>
      <c r="O36" s="135"/>
      <c r="P36" s="135"/>
      <c r="Q36" s="135"/>
      <c r="R36" s="135"/>
      <c r="S36" s="132"/>
      <c r="T36" s="132"/>
      <c r="U36" s="132"/>
      <c r="V36" s="132"/>
      <c r="W36" s="132"/>
      <c r="X36" s="132"/>
      <c r="Y36" s="132"/>
      <c r="Z36" s="132"/>
      <c r="AA36" s="132"/>
      <c r="AB36" s="132"/>
      <c r="AC36" s="132"/>
      <c r="AD36" s="132"/>
      <c r="AE36" s="132"/>
      <c r="AF36" s="132"/>
      <c r="AG36" s="132"/>
      <c r="AH36" s="132"/>
      <c r="AI36" s="132"/>
      <c r="AJ36" s="132"/>
      <c r="AK36" s="132"/>
    </row>
    <row r="37" spans="2:39" x14ac:dyDescent="0.2">
      <c r="G37" s="132"/>
      <c r="H37" s="132"/>
      <c r="I37" s="132"/>
      <c r="J37" s="132"/>
      <c r="K37" s="132"/>
      <c r="L37" s="132"/>
      <c r="M37" s="132"/>
      <c r="N37" s="133"/>
      <c r="O37" s="133"/>
      <c r="P37" s="133"/>
      <c r="Q37" s="133"/>
      <c r="R37" s="133"/>
      <c r="U37" s="132"/>
      <c r="V37" s="132"/>
      <c r="W37" s="132"/>
      <c r="X37" s="132"/>
      <c r="Y37" s="132"/>
      <c r="Z37" s="132"/>
      <c r="AA37" s="132"/>
      <c r="AB37" s="132"/>
    </row>
    <row r="38" spans="2:39" x14ac:dyDescent="0.2">
      <c r="G38" s="132"/>
      <c r="H38" s="132"/>
      <c r="I38" s="132"/>
      <c r="J38" s="132"/>
      <c r="K38" s="132"/>
      <c r="L38" s="132"/>
      <c r="M38" s="132"/>
      <c r="N38" s="132"/>
      <c r="O38" s="132"/>
      <c r="P38" s="132"/>
      <c r="Q38" s="132"/>
      <c r="R38" s="132"/>
      <c r="V38" s="132"/>
      <c r="W38" s="132"/>
      <c r="X38" s="132"/>
      <c r="Y38" s="132"/>
      <c r="Z38" s="132"/>
      <c r="AA38" s="132"/>
      <c r="AB38" s="132"/>
    </row>
    <row r="39" spans="2:39" s="128" customFormat="1" x14ac:dyDescent="0.2">
      <c r="B39" s="127"/>
      <c r="C39" s="127"/>
      <c r="D39" s="127"/>
      <c r="E39" s="127"/>
      <c r="F39" s="127"/>
      <c r="G39" s="131"/>
      <c r="H39" s="131"/>
      <c r="I39" s="131"/>
      <c r="J39" s="131"/>
      <c r="K39" s="131"/>
      <c r="L39" s="131"/>
      <c r="M39" s="131"/>
      <c r="N39" s="131"/>
      <c r="O39" s="131"/>
      <c r="P39" s="131"/>
      <c r="Q39" s="131"/>
      <c r="R39" s="131"/>
      <c r="S39" s="131"/>
      <c r="T39" s="131"/>
      <c r="U39" s="131"/>
      <c r="V39" s="131"/>
      <c r="W39" s="131"/>
      <c r="X39" s="131"/>
      <c r="Y39" s="131"/>
      <c r="Z39" s="131"/>
      <c r="AA39" s="131"/>
      <c r="AB39" s="131"/>
      <c r="AC39" s="131"/>
      <c r="AD39" s="131"/>
      <c r="AE39" s="131"/>
      <c r="AF39" s="131"/>
      <c r="AG39" s="131"/>
      <c r="AH39" s="131"/>
      <c r="AI39" s="131"/>
      <c r="AJ39" s="131"/>
      <c r="AK39" s="131"/>
    </row>
    <row r="40" spans="2:39" x14ac:dyDescent="0.2">
      <c r="G40" s="134"/>
      <c r="H40" s="134"/>
      <c r="I40" s="134"/>
      <c r="J40" s="134"/>
      <c r="K40" s="134"/>
      <c r="L40" s="134"/>
      <c r="M40" s="134"/>
      <c r="N40" s="133"/>
      <c r="O40" s="133"/>
      <c r="P40" s="133"/>
      <c r="Q40" s="133"/>
      <c r="R40" s="133"/>
      <c r="S40" s="134"/>
      <c r="T40" s="134"/>
      <c r="U40" s="134"/>
      <c r="V40" s="134"/>
      <c r="W40" s="134"/>
      <c r="X40" s="134"/>
      <c r="Y40" s="134"/>
      <c r="Z40" s="134"/>
      <c r="AA40" s="134"/>
      <c r="AB40" s="134"/>
      <c r="AC40" s="134"/>
      <c r="AD40" s="134"/>
      <c r="AE40" s="134"/>
      <c r="AF40" s="134"/>
      <c r="AG40" s="134"/>
      <c r="AH40" s="134"/>
      <c r="AI40" s="134"/>
      <c r="AJ40" s="134"/>
      <c r="AK40" s="134"/>
    </row>
    <row r="41" spans="2:39" x14ac:dyDescent="0.2">
      <c r="G41" s="134"/>
      <c r="H41" s="134"/>
      <c r="I41" s="134"/>
      <c r="J41" s="134"/>
      <c r="K41" s="134"/>
      <c r="L41" s="134"/>
      <c r="M41" s="134"/>
      <c r="N41" s="134"/>
      <c r="O41" s="133"/>
      <c r="P41" s="133"/>
      <c r="Q41" s="133"/>
      <c r="R41" s="133"/>
      <c r="S41" s="134"/>
      <c r="T41" s="134"/>
      <c r="U41" s="134"/>
      <c r="V41" s="134"/>
      <c r="W41" s="134"/>
      <c r="X41" s="134"/>
      <c r="Y41" s="134"/>
      <c r="Z41" s="134"/>
      <c r="AA41" s="134"/>
      <c r="AB41" s="134"/>
      <c r="AC41" s="134"/>
      <c r="AD41" s="134"/>
      <c r="AE41" s="134"/>
      <c r="AF41" s="134"/>
      <c r="AG41" s="134"/>
      <c r="AH41" s="134"/>
      <c r="AI41" s="134"/>
      <c r="AJ41" s="134"/>
      <c r="AK41" s="134"/>
    </row>
    <row r="42" spans="2:39" x14ac:dyDescent="0.2">
      <c r="N42" s="136"/>
      <c r="O42" s="136"/>
      <c r="P42" s="136"/>
      <c r="Q42" s="136"/>
      <c r="R42" s="136"/>
      <c r="S42" s="134"/>
      <c r="T42" s="134"/>
      <c r="U42" s="134"/>
      <c r="V42" s="134"/>
      <c r="W42" s="134"/>
      <c r="X42" s="134"/>
      <c r="Y42" s="134"/>
      <c r="Z42" s="134"/>
      <c r="AA42" s="136"/>
      <c r="AB42" s="136"/>
      <c r="AC42" s="134"/>
      <c r="AD42" s="134"/>
      <c r="AE42" s="134"/>
      <c r="AF42" s="134"/>
      <c r="AG42" s="134"/>
      <c r="AH42" s="134"/>
      <c r="AI42" s="134"/>
      <c r="AJ42" s="134"/>
      <c r="AK42" s="134"/>
      <c r="AM42">
        <v>14.65</v>
      </c>
    </row>
    <row r="43" spans="2:39" x14ac:dyDescent="0.2">
      <c r="N43" s="137"/>
      <c r="O43" s="137"/>
      <c r="P43" s="137"/>
      <c r="Q43" s="137"/>
      <c r="R43" s="137"/>
      <c r="U43" s="126"/>
      <c r="V43" s="126"/>
      <c r="W43" s="126"/>
      <c r="X43" s="126"/>
      <c r="Y43" s="126"/>
      <c r="Z43" s="126"/>
      <c r="AA43" s="137"/>
      <c r="AB43" s="137"/>
      <c r="AC43" s="137"/>
      <c r="AD43" s="137"/>
      <c r="AE43" s="137"/>
      <c r="AF43" s="137"/>
      <c r="AG43" s="137"/>
      <c r="AH43" s="137"/>
      <c r="AI43" s="137"/>
      <c r="AJ43" s="137"/>
      <c r="AK43" s="137"/>
      <c r="AM43">
        <v>28.58</v>
      </c>
    </row>
    <row r="44" spans="2:39" x14ac:dyDescent="0.2">
      <c r="O44" s="138"/>
      <c r="P44" s="138"/>
      <c r="Q44" s="138"/>
      <c r="R44" s="138"/>
      <c r="U44" s="126"/>
      <c r="V44" s="126"/>
      <c r="W44" s="126"/>
      <c r="X44" s="126"/>
      <c r="Y44" s="126"/>
      <c r="Z44" s="126"/>
      <c r="AA44" s="126"/>
      <c r="AB44" s="126"/>
      <c r="AC44" s="126"/>
      <c r="AD44" s="126"/>
      <c r="AE44" s="126"/>
      <c r="AF44" s="126"/>
      <c r="AG44" s="126"/>
      <c r="AH44" s="126"/>
      <c r="AI44" s="126"/>
      <c r="AJ44" s="126"/>
      <c r="AK44" s="126"/>
      <c r="AM44" s="126">
        <v>26</v>
      </c>
    </row>
    <row r="45" spans="2:39" x14ac:dyDescent="0.2">
      <c r="U45" s="126"/>
      <c r="V45" s="126"/>
      <c r="W45" s="126"/>
      <c r="X45" s="126"/>
      <c r="Y45" s="126"/>
      <c r="Z45" s="126"/>
      <c r="AA45" s="126"/>
      <c r="AB45" s="126"/>
      <c r="AC45" s="126"/>
      <c r="AD45" s="126"/>
      <c r="AE45" s="126"/>
      <c r="AF45" s="126"/>
      <c r="AG45" s="126"/>
      <c r="AH45" s="126"/>
      <c r="AI45" s="126"/>
      <c r="AJ45" s="126"/>
      <c r="AK45" s="126"/>
    </row>
    <row r="46" spans="2:39" s="126" customFormat="1" x14ac:dyDescent="0.2">
      <c r="B46" s="139"/>
      <c r="C46" s="139"/>
      <c r="D46" s="139"/>
      <c r="E46" s="139"/>
      <c r="F46" s="139"/>
      <c r="AC46" s="126">
        <f t="shared" ref="AC46:AL46" si="53">AC11</f>
        <v>0</v>
      </c>
      <c r="AD46" s="126">
        <f t="shared" si="53"/>
        <v>0</v>
      </c>
      <c r="AE46" s="126">
        <f t="shared" si="53"/>
        <v>0</v>
      </c>
      <c r="AF46" s="126">
        <f t="shared" si="53"/>
        <v>0</v>
      </c>
      <c r="AG46" s="126">
        <f t="shared" si="53"/>
        <v>0</v>
      </c>
      <c r="AH46" s="126">
        <f t="shared" si="53"/>
        <v>0</v>
      </c>
      <c r="AI46" s="126">
        <f t="shared" si="53"/>
        <v>0</v>
      </c>
      <c r="AJ46" s="126">
        <f t="shared" si="53"/>
        <v>0</v>
      </c>
      <c r="AK46" s="126">
        <f t="shared" si="53"/>
        <v>0</v>
      </c>
      <c r="AL46" s="126">
        <f t="shared" si="53"/>
        <v>0</v>
      </c>
    </row>
    <row r="47" spans="2:39" s="126" customFormat="1" x14ac:dyDescent="0.2">
      <c r="B47" s="139"/>
      <c r="C47" s="139"/>
      <c r="D47" s="139"/>
      <c r="E47" s="139"/>
      <c r="F47" s="139"/>
    </row>
    <row r="48" spans="2:39" s="126" customFormat="1" x14ac:dyDescent="0.2">
      <c r="B48" s="139"/>
      <c r="C48" s="139"/>
      <c r="D48" s="139"/>
      <c r="E48" s="139"/>
      <c r="F48" s="139"/>
    </row>
    <row r="50" spans="2:18" x14ac:dyDescent="0.2">
      <c r="B50" s="134"/>
      <c r="C50" s="134"/>
      <c r="D50" s="134"/>
      <c r="E50" s="134"/>
      <c r="F50" s="134"/>
      <c r="G50" s="126"/>
      <c r="H50" s="126"/>
      <c r="I50" s="126"/>
      <c r="J50" s="126"/>
      <c r="K50" s="126"/>
      <c r="L50" s="126"/>
      <c r="M50" s="126"/>
      <c r="N50" s="126"/>
      <c r="O50" s="126"/>
      <c r="P50" s="126"/>
      <c r="Q50" s="126"/>
      <c r="R50" s="126"/>
    </row>
    <row r="51" spans="2:18" s="141" customFormat="1" x14ac:dyDescent="0.2">
      <c r="B51" s="140"/>
      <c r="C51" s="140"/>
      <c r="D51" s="140"/>
      <c r="E51" s="140"/>
      <c r="F51" s="140"/>
      <c r="K51" s="140"/>
      <c r="L51" s="140"/>
      <c r="M51" s="140"/>
      <c r="N51" s="140"/>
      <c r="O51" s="140"/>
      <c r="P51" s="140"/>
      <c r="Q51" s="140"/>
      <c r="R51" s="140"/>
    </row>
  </sheetData>
  <sheetProtection algorithmName="SHA-512" hashValue="F9cZrKpe1LHW1dAWPVzpGyJsPzTnyu7MUH44Imqg9A1ryoFcivP3hTNX17D+LB4Ko2dL5vK/UEnx+6OR4aeKdg==" saltValue="3oCC/xuwxxvdYbdMAtw/VQ==" spinCount="100000" sheet="1" selectLockedCells="1"/>
  <pageMargins left="0.7" right="0.7" top="0.75" bottom="0.75" header="0.3" footer="0.3"/>
  <ignoredErrors>
    <ignoredError sqref="AB9 X9" formulaRange="1"/>
  </ignoredErrors>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C7486-7068-924B-AE2C-E509E8EDBE7B}">
  <dimension ref="A2:AD22"/>
  <sheetViews>
    <sheetView showGridLines="0" topLeftCell="A2" zoomScale="130" zoomScaleNormal="130" workbookViewId="0">
      <selection activeCell="F21" sqref="F21"/>
    </sheetView>
  </sheetViews>
  <sheetFormatPr baseColWidth="10" defaultColWidth="10.83203125" defaultRowHeight="16" x14ac:dyDescent="0.2"/>
  <cols>
    <col min="1" max="1" width="6.1640625" style="144" customWidth="1"/>
    <col min="2" max="5" width="10.83203125" style="144"/>
    <col min="6" max="6" width="12.83203125" style="144" customWidth="1"/>
    <col min="7" max="8" width="10.83203125" style="144"/>
    <col min="9" max="9" width="17" style="144" bestFit="1" customWidth="1"/>
    <col min="10" max="16384" width="10.83203125" style="144"/>
  </cols>
  <sheetData>
    <row r="2" spans="1:30" ht="22" thickBot="1" x14ac:dyDescent="0.3">
      <c r="A2" s="142"/>
      <c r="B2" s="143" t="s">
        <v>34</v>
      </c>
      <c r="C2" s="142"/>
      <c r="D2" s="142"/>
      <c r="E2" s="142"/>
      <c r="F2" s="142"/>
      <c r="G2" s="142"/>
      <c r="H2" s="142"/>
      <c r="I2" s="142"/>
      <c r="J2" s="142"/>
      <c r="K2" s="142"/>
      <c r="L2" s="142"/>
      <c r="M2" s="142"/>
      <c r="N2" s="142"/>
      <c r="O2" s="142"/>
      <c r="P2" s="142"/>
      <c r="Q2" s="142"/>
      <c r="R2" s="142"/>
      <c r="S2" s="142"/>
      <c r="T2" s="142"/>
      <c r="U2" s="142"/>
      <c r="V2" s="142"/>
      <c r="W2" s="142"/>
      <c r="X2" s="142"/>
      <c r="Y2" s="142"/>
      <c r="Z2" s="142"/>
      <c r="AA2" s="142"/>
      <c r="AB2" s="142"/>
      <c r="AC2" s="142"/>
      <c r="AD2" s="142"/>
    </row>
    <row r="4" spans="1:30" x14ac:dyDescent="0.2">
      <c r="B4" s="144" t="s">
        <v>104</v>
      </c>
    </row>
    <row r="5" spans="1:30" x14ac:dyDescent="0.2">
      <c r="B5" s="144" t="s">
        <v>105</v>
      </c>
    </row>
    <row r="7" spans="1:30" ht="20" customHeight="1" x14ac:dyDescent="0.2">
      <c r="B7" s="166" t="s">
        <v>106</v>
      </c>
      <c r="C7" s="167"/>
      <c r="D7" s="167"/>
      <c r="E7" s="167"/>
      <c r="F7" s="167"/>
    </row>
    <row r="9" spans="1:30" x14ac:dyDescent="0.2">
      <c r="B9" s="144" t="s">
        <v>70</v>
      </c>
      <c r="F9" s="145">
        <f>DCF!G5*DCF!D129</f>
        <v>109094.235</v>
      </c>
      <c r="I9" s="145"/>
    </row>
    <row r="10" spans="1:30" x14ac:dyDescent="0.2">
      <c r="B10" s="144" t="s">
        <v>107</v>
      </c>
      <c r="F10" s="146">
        <f>DCF!T13+DCF!T14</f>
        <v>8529</v>
      </c>
    </row>
    <row r="11" spans="1:30" x14ac:dyDescent="0.2">
      <c r="B11" s="144" t="s">
        <v>22</v>
      </c>
      <c r="F11" s="147">
        <f>DCF!T15</f>
        <v>4.8500000000000001E-2</v>
      </c>
    </row>
    <row r="12" spans="1:30" x14ac:dyDescent="0.2">
      <c r="B12" s="144" t="s">
        <v>108</v>
      </c>
      <c r="F12" s="147">
        <f>DCF!K89</f>
        <v>0.27219616593845164</v>
      </c>
    </row>
    <row r="13" spans="1:30" x14ac:dyDescent="0.2">
      <c r="B13" s="148" t="s">
        <v>109</v>
      </c>
      <c r="C13" s="148"/>
      <c r="D13" s="148"/>
      <c r="E13" s="148"/>
      <c r="F13" s="149">
        <f>(F10)/(F10+F9)</f>
        <v>7.2511183695976394E-2</v>
      </c>
    </row>
    <row r="14" spans="1:30" x14ac:dyDescent="0.2">
      <c r="B14" s="150" t="s">
        <v>110</v>
      </c>
      <c r="C14" s="151"/>
      <c r="D14" s="151"/>
      <c r="E14" s="151"/>
      <c r="F14" s="152">
        <f>F11*(1-F12)</f>
        <v>3.5298485951985099E-2</v>
      </c>
    </row>
    <row r="16" spans="1:30" x14ac:dyDescent="0.2">
      <c r="B16" s="144" t="s">
        <v>111</v>
      </c>
      <c r="F16" s="147">
        <v>3.39E-2</v>
      </c>
    </row>
    <row r="17" spans="2:6" x14ac:dyDescent="0.2">
      <c r="B17" s="144" t="s">
        <v>26</v>
      </c>
      <c r="F17" s="153">
        <f>DCF!T20</f>
        <v>5.11E-2</v>
      </c>
    </row>
    <row r="18" spans="2:6" x14ac:dyDescent="0.2">
      <c r="B18" s="144" t="s">
        <v>27</v>
      </c>
      <c r="F18" s="144">
        <f>DCF!T21</f>
        <v>1.0900000000000001</v>
      </c>
    </row>
    <row r="19" spans="2:6" x14ac:dyDescent="0.2">
      <c r="B19" s="148" t="s">
        <v>112</v>
      </c>
      <c r="C19" s="148"/>
      <c r="D19" s="148"/>
      <c r="E19" s="148"/>
      <c r="F19" s="149">
        <f>1-F13</f>
        <v>0.92748881630402358</v>
      </c>
    </row>
    <row r="20" spans="2:6" x14ac:dyDescent="0.2">
      <c r="B20" s="154" t="s">
        <v>113</v>
      </c>
      <c r="F20" s="153">
        <f>F16+F18*F17</f>
        <v>8.9599000000000012E-2</v>
      </c>
    </row>
    <row r="22" spans="2:6" ht="26" customHeight="1" x14ac:dyDescent="0.2">
      <c r="B22" s="155" t="s">
        <v>34</v>
      </c>
      <c r="C22" s="156"/>
      <c r="D22" s="156"/>
      <c r="E22" s="156"/>
      <c r="F22" s="157">
        <f>F14*F13+F20*F19</f>
        <v>8.5661605451078454E-2</v>
      </c>
    </row>
  </sheetData>
  <sheetProtection algorithmName="SHA-512" hashValue="TfJmzNAtZH8ASq9cJfnfyzSweXx0rCaERgUBbRTLz/QD/YgeLOXvtB9GaWMXuq0nyKhFj6LZKAglVAJJOXRVGg==" saltValue="6GgyF2SNxvxp+PpGz9bvYw==" spinCount="100000" sheet="1" objects="1" scenarios="1" selectLockedCells="1"/>
  <mergeCells count="1">
    <mergeCell ref="B7:F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DCF</vt:lpstr>
      <vt:lpstr>Financials + KPIs</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2023-01-25T06:21:48Z</dcterms:created>
  <dcterms:modified xsi:type="dcterms:W3CDTF">2023-01-25T19:51:24Z</dcterms:modified>
</cp:coreProperties>
</file>