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emyjiao/Desktop/"/>
    </mc:Choice>
  </mc:AlternateContent>
  <xr:revisionPtr revIDLastSave="0" documentId="13_ncr:1_{74AB111A-ACC1-F942-83EF-1A12CBCEA831}" xr6:coauthVersionLast="47" xr6:coauthVersionMax="47" xr10:uidLastSave="{00000000-0000-0000-0000-000000000000}"/>
  <bookViews>
    <workbookView xWindow="0" yWindow="500" windowWidth="28800" windowHeight="15660" activeTab="1" xr2:uid="{DC159AB3-020F-AC47-87C9-0B7B95C4FD43}"/>
  </bookViews>
  <sheets>
    <sheet name="KPI Definition" sheetId="2" r:id="rId1"/>
    <sheet name="Mod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0" i="1" l="1"/>
  <c r="K20" i="1"/>
  <c r="H20" i="1" s="1"/>
  <c r="G20" i="1" s="1"/>
  <c r="I20" i="1" l="1"/>
  <c r="J20" i="1" s="1"/>
  <c r="G19" i="1"/>
  <c r="H19" i="1" s="1"/>
  <c r="I19" i="1" s="1"/>
  <c r="K119" i="1"/>
  <c r="K117" i="1"/>
  <c r="K110" i="1"/>
  <c r="J110" i="1" s="1"/>
  <c r="I110" i="1" s="1"/>
  <c r="H110" i="1" s="1"/>
  <c r="K103" i="1"/>
  <c r="J103" i="1" s="1"/>
  <c r="I103" i="1" s="1"/>
  <c r="H103" i="1" s="1"/>
  <c r="K101" i="1"/>
  <c r="K91" i="1"/>
  <c r="K89" i="1"/>
  <c r="K57" i="1"/>
  <c r="K55" i="1"/>
  <c r="J55" i="1" s="1"/>
  <c r="I55" i="1" s="1"/>
  <c r="H55" i="1" s="1"/>
  <c r="K44" i="1"/>
  <c r="J44" i="1" s="1"/>
  <c r="I44" i="1" s="1"/>
  <c r="H44" i="1" s="1"/>
  <c r="K39" i="1"/>
  <c r="K37" i="1"/>
  <c r="K28" i="1"/>
  <c r="K26" i="1"/>
  <c r="J19" i="1" l="1"/>
  <c r="K19" i="1" s="1"/>
  <c r="L19" i="1" s="1"/>
  <c r="J117" i="1"/>
  <c r="I117" i="1" s="1"/>
  <c r="H117" i="1" s="1"/>
  <c r="G117" i="1" s="1"/>
  <c r="J37" i="1"/>
  <c r="I37" i="1" s="1"/>
  <c r="J101" i="1"/>
  <c r="F125" i="1"/>
  <c r="F10" i="1"/>
  <c r="E10" i="1"/>
  <c r="D10" i="1"/>
  <c r="C10" i="1"/>
  <c r="K13" i="1"/>
  <c r="F9" i="1"/>
  <c r="F8" i="1"/>
  <c r="F13" i="1" l="1"/>
  <c r="I101" i="1"/>
  <c r="H37" i="1"/>
  <c r="F12" i="1"/>
  <c r="H101" i="1" l="1"/>
  <c r="G37" i="1"/>
  <c r="C115" i="1"/>
  <c r="D115" i="1"/>
  <c r="E115" i="1"/>
  <c r="F115" i="1"/>
  <c r="G96" i="1"/>
  <c r="H96" i="1" s="1"/>
  <c r="I96" i="1" s="1"/>
  <c r="J96" i="1" s="1"/>
  <c r="K96" i="1" s="1"/>
  <c r="F101" i="1"/>
  <c r="G110" i="1"/>
  <c r="G109" i="1" s="1"/>
  <c r="H109" i="1" s="1"/>
  <c r="I109" i="1" s="1"/>
  <c r="J109" i="1" s="1"/>
  <c r="K109" i="1" s="1"/>
  <c r="L109" i="1" s="1"/>
  <c r="D98" i="1"/>
  <c r="E98" i="1"/>
  <c r="C98" i="1"/>
  <c r="E103" i="1"/>
  <c r="F103" i="1"/>
  <c r="D103" i="1"/>
  <c r="D93" i="1"/>
  <c r="E93" i="1"/>
  <c r="F93" i="1"/>
  <c r="C93" i="1"/>
  <c r="G95" i="1"/>
  <c r="D81" i="1"/>
  <c r="E81" i="1"/>
  <c r="F81" i="1"/>
  <c r="C81" i="1"/>
  <c r="D65" i="1"/>
  <c r="D15" i="1" s="1"/>
  <c r="E65" i="1"/>
  <c r="E15" i="1" s="1"/>
  <c r="C65" i="1"/>
  <c r="C15" i="1" s="1"/>
  <c r="G55" i="1"/>
  <c r="G44" i="1"/>
  <c r="E20" i="1"/>
  <c r="F20" i="1"/>
  <c r="D20" i="1"/>
  <c r="F110" i="1"/>
  <c r="F91" i="1"/>
  <c r="F60" i="1"/>
  <c r="F82" i="1" s="1"/>
  <c r="E60" i="1"/>
  <c r="E82" i="1" s="1"/>
  <c r="D60" i="1"/>
  <c r="D82" i="1" s="1"/>
  <c r="E43" i="1"/>
  <c r="D43" i="1"/>
  <c r="D9" i="1" s="1"/>
  <c r="C43" i="1"/>
  <c r="C9" i="1" s="1"/>
  <c r="E41" i="1"/>
  <c r="D41" i="1"/>
  <c r="C41" i="1"/>
  <c r="E18" i="1"/>
  <c r="E1" i="1" s="1"/>
  <c r="F18" i="1"/>
  <c r="F1" i="1" s="1"/>
  <c r="E26" i="1"/>
  <c r="D26" i="1"/>
  <c r="E30" i="1"/>
  <c r="D30" i="1"/>
  <c r="D91" i="1"/>
  <c r="E91" i="1"/>
  <c r="C91" i="1"/>
  <c r="D37" i="1"/>
  <c r="E37" i="1"/>
  <c r="C37" i="1"/>
  <c r="E32" i="1"/>
  <c r="E51" i="1" s="1"/>
  <c r="E73" i="1" s="1"/>
  <c r="E121" i="1" s="1"/>
  <c r="F32" i="1"/>
  <c r="F51" i="1" s="1"/>
  <c r="F73" i="1" s="1"/>
  <c r="F121" i="1" s="1"/>
  <c r="E110" i="1"/>
  <c r="D110" i="1"/>
  <c r="G22" i="1"/>
  <c r="H22" i="1" s="1"/>
  <c r="H32" i="1" s="1"/>
  <c r="H51" i="1" s="1"/>
  <c r="H73" i="1" s="1"/>
  <c r="H121" i="1" s="1"/>
  <c r="E36" i="1"/>
  <c r="D36" i="1"/>
  <c r="C27" i="1"/>
  <c r="D27" i="1"/>
  <c r="E27" i="1"/>
  <c r="F27" i="1" s="1"/>
  <c r="F44" i="1" l="1"/>
  <c r="E9" i="1"/>
  <c r="D38" i="1"/>
  <c r="D8" i="1"/>
  <c r="C38" i="1"/>
  <c r="C8" i="1"/>
  <c r="F42" i="1"/>
  <c r="E8" i="1"/>
  <c r="F116" i="1"/>
  <c r="G103" i="1"/>
  <c r="E116" i="1"/>
  <c r="G93" i="1"/>
  <c r="D116" i="1"/>
  <c r="G101" i="1"/>
  <c r="H95" i="1"/>
  <c r="E66" i="1"/>
  <c r="D66" i="1"/>
  <c r="E62" i="1"/>
  <c r="H62" i="1"/>
  <c r="F62" i="1"/>
  <c r="E44" i="1"/>
  <c r="D28" i="1"/>
  <c r="D44" i="1"/>
  <c r="D48" i="1"/>
  <c r="E48" i="1"/>
  <c r="H18" i="1"/>
  <c r="H1" i="1" s="1"/>
  <c r="G18" i="1"/>
  <c r="G1" i="1" s="1"/>
  <c r="E38" i="1"/>
  <c r="E56" i="1" s="1"/>
  <c r="E42" i="1"/>
  <c r="D42" i="1"/>
  <c r="C48" i="1"/>
  <c r="E28" i="1"/>
  <c r="I22" i="1"/>
  <c r="J22" i="1" s="1"/>
  <c r="G32" i="1"/>
  <c r="G51" i="1" s="1"/>
  <c r="D22" i="1"/>
  <c r="D18" i="1" s="1"/>
  <c r="D1" i="1" s="1"/>
  <c r="K22" i="1" l="1"/>
  <c r="J18" i="1"/>
  <c r="J1" i="1" s="1"/>
  <c r="J32" i="1"/>
  <c r="J51" i="1" s="1"/>
  <c r="D56" i="1"/>
  <c r="D54" i="1" s="1"/>
  <c r="C56" i="1"/>
  <c r="C54" i="1" s="1"/>
  <c r="D78" i="1"/>
  <c r="D7" i="1"/>
  <c r="E78" i="1"/>
  <c r="E7" i="1"/>
  <c r="C78" i="1"/>
  <c r="C7" i="1"/>
  <c r="D67" i="1"/>
  <c r="D39" i="1"/>
  <c r="C67" i="1"/>
  <c r="C101" i="1"/>
  <c r="H93" i="1"/>
  <c r="I95" i="1"/>
  <c r="E67" i="1"/>
  <c r="G73" i="1"/>
  <c r="G121" i="1" s="1"/>
  <c r="G62" i="1"/>
  <c r="C85" i="1"/>
  <c r="E49" i="1"/>
  <c r="E79" i="1" s="1"/>
  <c r="E54" i="1"/>
  <c r="D49" i="1"/>
  <c r="D79" i="1" s="1"/>
  <c r="I32" i="1"/>
  <c r="I51" i="1" s="1"/>
  <c r="I18" i="1"/>
  <c r="I1" i="1" s="1"/>
  <c r="E39" i="1"/>
  <c r="C89" i="1"/>
  <c r="C22" i="1"/>
  <c r="C18" i="1" s="1"/>
  <c r="C1" i="1" s="1"/>
  <c r="D32" i="1"/>
  <c r="D51" i="1" s="1"/>
  <c r="I93" i="1" l="1"/>
  <c r="J95" i="1"/>
  <c r="J62" i="1"/>
  <c r="J73" i="1"/>
  <c r="J121" i="1" s="1"/>
  <c r="K18" i="1"/>
  <c r="K1" i="1" s="1"/>
  <c r="K32" i="1"/>
  <c r="K51" i="1" s="1"/>
  <c r="D57" i="1"/>
  <c r="D55" i="1"/>
  <c r="E55" i="1"/>
  <c r="E70" i="1"/>
  <c r="E76" i="1" s="1"/>
  <c r="E16" i="1"/>
  <c r="D68" i="1"/>
  <c r="D16" i="1"/>
  <c r="C70" i="1"/>
  <c r="C16" i="1"/>
  <c r="D70" i="1"/>
  <c r="C105" i="1"/>
  <c r="C112" i="1" s="1"/>
  <c r="C117" i="1" s="1"/>
  <c r="C99" i="1"/>
  <c r="C86" i="1"/>
  <c r="C94" i="1"/>
  <c r="D85" i="1"/>
  <c r="D89" i="1"/>
  <c r="D101" i="1"/>
  <c r="E68" i="1"/>
  <c r="D73" i="1"/>
  <c r="D121" i="1" s="1"/>
  <c r="D62" i="1"/>
  <c r="I73" i="1"/>
  <c r="I121" i="1" s="1"/>
  <c r="I62" i="1"/>
  <c r="E57" i="1"/>
  <c r="C32" i="1"/>
  <c r="C51" i="1" s="1"/>
  <c r="J93" i="1" l="1"/>
  <c r="K95" i="1"/>
  <c r="K93" i="1" s="1"/>
  <c r="K62" i="1"/>
  <c r="K73" i="1"/>
  <c r="C76" i="1"/>
  <c r="C6" i="1" s="1"/>
  <c r="D76" i="1"/>
  <c r="E77" i="1" s="1"/>
  <c r="E71" i="1"/>
  <c r="D71" i="1"/>
  <c r="E80" i="1"/>
  <c r="E6" i="1"/>
  <c r="D94" i="1"/>
  <c r="D105" i="1"/>
  <c r="D107" i="1" s="1"/>
  <c r="D99" i="1"/>
  <c r="D86" i="1"/>
  <c r="D87" i="1"/>
  <c r="C73" i="1"/>
  <c r="C121" i="1" s="1"/>
  <c r="C62" i="1"/>
  <c r="D80" i="1" l="1"/>
  <c r="K121" i="1"/>
  <c r="G91" i="1"/>
  <c r="L93" i="1"/>
  <c r="G28" i="1"/>
  <c r="G26" i="1"/>
  <c r="H26" i="1" s="1"/>
  <c r="I26" i="1" s="1"/>
  <c r="J26" i="1" s="1"/>
  <c r="D77" i="1"/>
  <c r="C80" i="1"/>
  <c r="C106" i="1"/>
  <c r="D6" i="1"/>
  <c r="D106" i="1"/>
  <c r="D112" i="1"/>
  <c r="D117" i="1" s="1"/>
  <c r="E89" i="1"/>
  <c r="E101" i="1"/>
  <c r="E85" i="1"/>
  <c r="F25" i="1"/>
  <c r="H91" i="1" l="1"/>
  <c r="F29" i="1"/>
  <c r="F35" i="1" s="1"/>
  <c r="G25" i="1"/>
  <c r="H25" i="1" s="1"/>
  <c r="I25" i="1" s="1"/>
  <c r="J25" i="1" s="1"/>
  <c r="K25" i="1" s="1"/>
  <c r="L25" i="1" s="1"/>
  <c r="H28" i="1"/>
  <c r="I28" i="1" s="1"/>
  <c r="J28" i="1" s="1"/>
  <c r="G27" i="1"/>
  <c r="D113" i="1"/>
  <c r="E94" i="1"/>
  <c r="E105" i="1"/>
  <c r="E107" i="1" s="1"/>
  <c r="E99" i="1"/>
  <c r="E86" i="1"/>
  <c r="E87" i="1"/>
  <c r="F30" i="1" l="1"/>
  <c r="I91" i="1"/>
  <c r="H27" i="1"/>
  <c r="I27" i="1" s="1"/>
  <c r="J27" i="1" s="1"/>
  <c r="F65" i="1"/>
  <c r="F38" i="1"/>
  <c r="E112" i="1"/>
  <c r="E117" i="1" s="1"/>
  <c r="E106" i="1"/>
  <c r="G29" i="1"/>
  <c r="G35" i="1" s="1"/>
  <c r="F36" i="1"/>
  <c r="J91" i="1" l="1"/>
  <c r="F15" i="1"/>
  <c r="K27" i="1"/>
  <c r="J29" i="1"/>
  <c r="J35" i="1" s="1"/>
  <c r="F56" i="1"/>
  <c r="E113" i="1"/>
  <c r="F66" i="1"/>
  <c r="F39" i="1"/>
  <c r="G39" i="1" s="1"/>
  <c r="H39" i="1" s="1"/>
  <c r="I39" i="1" s="1"/>
  <c r="J39" i="1" s="1"/>
  <c r="F67" i="1"/>
  <c r="G30" i="1"/>
  <c r="H29" i="1"/>
  <c r="H35" i="1" s="1"/>
  <c r="F16" i="1" l="1"/>
  <c r="K29" i="1"/>
  <c r="K35" i="1" s="1"/>
  <c r="L27" i="1"/>
  <c r="G38" i="1"/>
  <c r="F68" i="1"/>
  <c r="I29" i="1"/>
  <c r="I35" i="1" s="1"/>
  <c r="J36" i="1" s="1"/>
  <c r="F57" i="1"/>
  <c r="G57" i="1" s="1"/>
  <c r="H57" i="1" s="1"/>
  <c r="I57" i="1" s="1"/>
  <c r="J57" i="1" s="1"/>
  <c r="F54" i="1"/>
  <c r="F85" i="1"/>
  <c r="G36" i="1"/>
  <c r="H30" i="1"/>
  <c r="G56" i="1" l="1"/>
  <c r="H56" i="1" s="1"/>
  <c r="I56" i="1" s="1"/>
  <c r="J56" i="1" s="1"/>
  <c r="G41" i="1"/>
  <c r="H38" i="1"/>
  <c r="I38" i="1" s="1"/>
  <c r="J38" i="1" s="1"/>
  <c r="K30" i="1"/>
  <c r="I30" i="1"/>
  <c r="L29" i="1"/>
  <c r="J30" i="1"/>
  <c r="F55" i="1"/>
  <c r="G54" i="1"/>
  <c r="H54" i="1" s="1"/>
  <c r="I54" i="1" s="1"/>
  <c r="J54" i="1" s="1"/>
  <c r="F87" i="1"/>
  <c r="F94" i="1"/>
  <c r="H36" i="1"/>
  <c r="K38" i="1" l="1"/>
  <c r="J41" i="1"/>
  <c r="K56" i="1"/>
  <c r="J59" i="1"/>
  <c r="K54" i="1"/>
  <c r="J65" i="1"/>
  <c r="J67" i="1" s="1"/>
  <c r="H41" i="1"/>
  <c r="L35" i="1"/>
  <c r="K36" i="1"/>
  <c r="I41" i="1"/>
  <c r="I8" i="1" s="1"/>
  <c r="I36" i="1"/>
  <c r="H59" i="1"/>
  <c r="G65" i="1"/>
  <c r="G15" i="1" s="1"/>
  <c r="G59" i="1"/>
  <c r="F98" i="1"/>
  <c r="G8" i="1"/>
  <c r="J16" i="1" l="1"/>
  <c r="G10" i="1"/>
  <c r="G90" i="1"/>
  <c r="G102" i="1" s="1"/>
  <c r="H10" i="1"/>
  <c r="H90" i="1"/>
  <c r="H102" i="1" s="1"/>
  <c r="L56" i="1"/>
  <c r="K59" i="1"/>
  <c r="H8" i="1"/>
  <c r="J81" i="1"/>
  <c r="J10" i="1"/>
  <c r="J90" i="1"/>
  <c r="J8" i="1"/>
  <c r="J15" i="1"/>
  <c r="L54" i="1"/>
  <c r="K65" i="1"/>
  <c r="K67" i="1" s="1"/>
  <c r="K41" i="1"/>
  <c r="L38" i="1"/>
  <c r="J42" i="1"/>
  <c r="G66" i="1"/>
  <c r="G67" i="1"/>
  <c r="G16" i="1" s="1"/>
  <c r="H81" i="1"/>
  <c r="H60" i="1"/>
  <c r="H82" i="1" s="1"/>
  <c r="G81" i="1"/>
  <c r="G60" i="1"/>
  <c r="G82" i="1" s="1"/>
  <c r="H65" i="1"/>
  <c r="H15" i="1" s="1"/>
  <c r="F99" i="1"/>
  <c r="F105" i="1"/>
  <c r="G42" i="1"/>
  <c r="K68" i="1" l="1"/>
  <c r="K16" i="1"/>
  <c r="L16" i="1" s="1"/>
  <c r="L67" i="1"/>
  <c r="K15" i="1"/>
  <c r="K66" i="1"/>
  <c r="L65" i="1"/>
  <c r="J102" i="1"/>
  <c r="K8" i="1"/>
  <c r="L8" i="1" s="1"/>
  <c r="L41" i="1"/>
  <c r="K42" i="1"/>
  <c r="K81" i="1"/>
  <c r="K60" i="1"/>
  <c r="K82" i="1" s="1"/>
  <c r="K10" i="1"/>
  <c r="L10" i="1" s="1"/>
  <c r="K90" i="1"/>
  <c r="G68" i="1"/>
  <c r="H66" i="1"/>
  <c r="H67" i="1"/>
  <c r="H16" i="1" s="1"/>
  <c r="F107" i="1"/>
  <c r="I65" i="1"/>
  <c r="I59" i="1"/>
  <c r="F112" i="1"/>
  <c r="H42" i="1"/>
  <c r="L81" i="1" l="1"/>
  <c r="I15" i="1"/>
  <c r="L15" i="1" s="1"/>
  <c r="J66" i="1"/>
  <c r="L90" i="1"/>
  <c r="K102" i="1"/>
  <c r="L102" i="1" s="1"/>
  <c r="L59" i="1"/>
  <c r="I10" i="1"/>
  <c r="I90" i="1"/>
  <c r="I102" i="1" s="1"/>
  <c r="J60" i="1"/>
  <c r="J82" i="1" s="1"/>
  <c r="H68" i="1"/>
  <c r="I66" i="1"/>
  <c r="I67" i="1"/>
  <c r="F119" i="1"/>
  <c r="F113" i="1"/>
  <c r="F117" i="1"/>
  <c r="I81" i="1"/>
  <c r="I60" i="1"/>
  <c r="I82" i="1" s="1"/>
  <c r="I42" i="1"/>
  <c r="F70" i="1"/>
  <c r="I16" i="1" l="1"/>
  <c r="J68" i="1"/>
  <c r="F76" i="1"/>
  <c r="I68" i="1"/>
  <c r="F71" i="1"/>
  <c r="F6" i="1"/>
  <c r="F48" i="1"/>
  <c r="F7" i="1" s="1"/>
  <c r="G43" i="1"/>
  <c r="H43" i="1" s="1"/>
  <c r="H9" i="1" l="1"/>
  <c r="I43" i="1"/>
  <c r="H46" i="1"/>
  <c r="G9" i="1"/>
  <c r="G46" i="1"/>
  <c r="G48" i="1" s="1"/>
  <c r="G70" i="1"/>
  <c r="F106" i="1"/>
  <c r="F77" i="1"/>
  <c r="F49" i="1"/>
  <c r="F79" i="1" s="1"/>
  <c r="F89" i="1"/>
  <c r="G89" i="1" s="1"/>
  <c r="H89" i="1" s="1"/>
  <c r="I89" i="1" s="1"/>
  <c r="J89" i="1" s="1"/>
  <c r="F78" i="1"/>
  <c r="J43" i="1" l="1"/>
  <c r="I9" i="1"/>
  <c r="I46" i="1"/>
  <c r="G76" i="1"/>
  <c r="G6" i="1" s="1"/>
  <c r="H48" i="1"/>
  <c r="H70" i="1"/>
  <c r="F80" i="1"/>
  <c r="F86" i="1"/>
  <c r="G71" i="1"/>
  <c r="K43" i="1" l="1"/>
  <c r="J9" i="1"/>
  <c r="J46" i="1"/>
  <c r="J48" i="1" s="1"/>
  <c r="J70" i="1"/>
  <c r="J71" i="1" s="1"/>
  <c r="H7" i="1"/>
  <c r="H88" i="1"/>
  <c r="H100" i="1" s="1"/>
  <c r="H98" i="1" s="1"/>
  <c r="I48" i="1"/>
  <c r="H76" i="1"/>
  <c r="H6" i="1" s="1"/>
  <c r="I70" i="1"/>
  <c r="L70" i="1" s="1"/>
  <c r="G77" i="1"/>
  <c r="G83" i="1"/>
  <c r="H78" i="1"/>
  <c r="H71" i="1"/>
  <c r="J78" i="1" l="1"/>
  <c r="J7" i="1"/>
  <c r="J88" i="1"/>
  <c r="J76" i="1"/>
  <c r="K9" i="1"/>
  <c r="L9" i="1" s="1"/>
  <c r="K46" i="1"/>
  <c r="K48" i="1" s="1"/>
  <c r="K70" i="1"/>
  <c r="L43" i="1"/>
  <c r="I7" i="1"/>
  <c r="I88" i="1"/>
  <c r="I100" i="1" s="1"/>
  <c r="I98" i="1" s="1"/>
  <c r="L48" i="1"/>
  <c r="J49" i="1"/>
  <c r="J79" i="1" s="1"/>
  <c r="I76" i="1"/>
  <c r="H85" i="1"/>
  <c r="H80" i="1"/>
  <c r="H77" i="1"/>
  <c r="H83" i="1"/>
  <c r="I71" i="1"/>
  <c r="I49" i="1"/>
  <c r="I79" i="1" s="1"/>
  <c r="I78" i="1"/>
  <c r="J100" i="1" l="1"/>
  <c r="J98" i="1" s="1"/>
  <c r="J85" i="1"/>
  <c r="K7" i="1"/>
  <c r="L7" i="1" s="1"/>
  <c r="K88" i="1"/>
  <c r="K49" i="1"/>
  <c r="K79" i="1" s="1"/>
  <c r="K78" i="1"/>
  <c r="J6" i="1"/>
  <c r="J83" i="1"/>
  <c r="K71" i="1"/>
  <c r="K76" i="1"/>
  <c r="J80" i="1"/>
  <c r="L76" i="1"/>
  <c r="I6" i="1"/>
  <c r="L6" i="1" s="1"/>
  <c r="J77" i="1"/>
  <c r="H86" i="1"/>
  <c r="H99" i="1"/>
  <c r="H94" i="1"/>
  <c r="H105" i="1"/>
  <c r="H112" i="1" s="1"/>
  <c r="H115" i="1" s="1"/>
  <c r="I85" i="1"/>
  <c r="I83" i="1"/>
  <c r="I77" i="1"/>
  <c r="I80" i="1"/>
  <c r="K77" i="1" l="1"/>
  <c r="K6" i="1"/>
  <c r="K83" i="1"/>
  <c r="J105" i="1"/>
  <c r="J86" i="1"/>
  <c r="J94" i="1"/>
  <c r="K80" i="1"/>
  <c r="L78" i="1"/>
  <c r="L88" i="1"/>
  <c r="K100" i="1"/>
  <c r="K85" i="1"/>
  <c r="J99" i="1"/>
  <c r="L85" i="1"/>
  <c r="I99" i="1"/>
  <c r="J87" i="1"/>
  <c r="H106" i="1"/>
  <c r="I94" i="1"/>
  <c r="I87" i="1"/>
  <c r="I86" i="1"/>
  <c r="K86" i="1" l="1"/>
  <c r="K87" i="1"/>
  <c r="K94" i="1"/>
  <c r="K98" i="1"/>
  <c r="L100" i="1"/>
  <c r="J112" i="1"/>
  <c r="J115" i="1" s="1"/>
  <c r="J106" i="1"/>
  <c r="I105" i="1"/>
  <c r="K99" i="1" l="1"/>
  <c r="L98" i="1"/>
  <c r="K105" i="1"/>
  <c r="I112" i="1"/>
  <c r="L105" i="1"/>
  <c r="J107" i="1"/>
  <c r="I106" i="1"/>
  <c r="I107" i="1"/>
  <c r="K107" i="1" l="1"/>
  <c r="K112" i="1"/>
  <c r="K106" i="1"/>
  <c r="I115" i="1"/>
  <c r="L112" i="1"/>
  <c r="J113" i="1"/>
  <c r="I113" i="1"/>
  <c r="K113" i="1" l="1"/>
  <c r="K124" i="1"/>
  <c r="K115" i="1"/>
  <c r="I116" i="1"/>
  <c r="J116" i="1"/>
  <c r="G88" i="1"/>
  <c r="G85" i="1" s="1"/>
  <c r="G78" i="1"/>
  <c r="G80" i="1" s="1"/>
  <c r="H49" i="1"/>
  <c r="H79" i="1" s="1"/>
  <c r="G49" i="1"/>
  <c r="G79" i="1" s="1"/>
  <c r="G7" i="1"/>
  <c r="L124" i="1" l="1"/>
  <c r="K130" i="1"/>
  <c r="L130" i="1" s="1"/>
  <c r="L115" i="1"/>
  <c r="K116" i="1"/>
  <c r="G86" i="1"/>
  <c r="G87" i="1"/>
  <c r="H87" i="1"/>
  <c r="G94" i="1"/>
  <c r="G100" i="1"/>
  <c r="G98" i="1" s="1"/>
  <c r="G99" i="1" s="1"/>
  <c r="G105" i="1" l="1"/>
  <c r="G112" i="1" s="1"/>
  <c r="G106" i="1" l="1"/>
  <c r="H107" i="1"/>
  <c r="G107" i="1"/>
  <c r="G115" i="1" l="1"/>
  <c r="H113" i="1"/>
  <c r="G113" i="1"/>
  <c r="H116" i="1" l="1"/>
  <c r="K126" i="1"/>
  <c r="K127" i="1" s="1"/>
  <c r="G116" i="1"/>
  <c r="K12" i="1" l="1"/>
  <c r="L12" i="1" s="1"/>
  <c r="K128" i="1"/>
  <c r="L127" i="1"/>
</calcChain>
</file>

<file path=xl/sharedStrings.xml><?xml version="1.0" encoding="utf-8"?>
<sst xmlns="http://schemas.openxmlformats.org/spreadsheetml/2006/main" count="152" uniqueCount="75">
  <si>
    <t>Gross ton-miles</t>
  </si>
  <si>
    <t>Train miles</t>
  </si>
  <si>
    <t>Definition</t>
  </si>
  <si>
    <t>A GTM is defined as the movement of one ton of train weight over one mile. GTMs are calculated by multiplying total train weight by the distance the train moved</t>
  </si>
  <si>
    <t>Train miles are defined as the sum of the distance moved by all trains operated on the network. Train miles provide a measure of the productive utilization of our network.</t>
  </si>
  <si>
    <t>Average train weight is defined as the average gross weight of CP trains, both loaded and empty. This excludes trains in short-haul service, work trains used to move CP’s track equipment and materials, and the haulage of other railways’ trains on CP’s network.</t>
  </si>
  <si>
    <t>Key Terms</t>
  </si>
  <si>
    <t>Freight revenues</t>
  </si>
  <si>
    <t>Revenue ton-miles</t>
  </si>
  <si>
    <t>Freight revenue per revenue ton-mile</t>
  </si>
  <si>
    <t>RTMs are defined as the movement of one revenue-producing ton of freight over a distance of one mile. RTMs measure the relative weight and distance of rail freight moved by the Company.</t>
  </si>
  <si>
    <t>Freight Revenue per RTM</t>
  </si>
  <si>
    <t>Revenue ton-miles (RTM)</t>
  </si>
  <si>
    <t>Freight revenue per RTM is defined as freight revenue per revenue-producing ton of freight over a distance of one mile.</t>
  </si>
  <si>
    <t>Non-freight revenues</t>
  </si>
  <si>
    <t xml:space="preserve">  % Growth</t>
  </si>
  <si>
    <t>Total Revenue</t>
  </si>
  <si>
    <t xml:space="preserve">  % of Sales</t>
  </si>
  <si>
    <t xml:space="preserve">  % of EBIT</t>
  </si>
  <si>
    <t>EPS</t>
  </si>
  <si>
    <t>Shares outstanding</t>
  </si>
  <si>
    <t>CP Revenue Build</t>
  </si>
  <si>
    <t>KCS Revenue Build</t>
  </si>
  <si>
    <t>Total CP Revenue</t>
  </si>
  <si>
    <t>Consolidated EBIT</t>
  </si>
  <si>
    <t>Consolidated revenues</t>
  </si>
  <si>
    <t>Valuation Model</t>
  </si>
  <si>
    <t>Total KCS Revenue</t>
  </si>
  <si>
    <t xml:space="preserve">  As % of Gross ton-miles</t>
  </si>
  <si>
    <t>RTM Drivers</t>
  </si>
  <si>
    <t>FX</t>
  </si>
  <si>
    <t>CAN - USD</t>
  </si>
  <si>
    <t>P/E Multiple</t>
  </si>
  <si>
    <t>Implied Share Price</t>
  </si>
  <si>
    <t xml:space="preserve">  Date</t>
  </si>
  <si>
    <t>Consolidated Revenue Build</t>
  </si>
  <si>
    <t xml:space="preserve">  CP Revenue</t>
  </si>
  <si>
    <t xml:space="preserve">  KCS Revenue</t>
  </si>
  <si>
    <t xml:space="preserve">  % of Consolidated Sales</t>
  </si>
  <si>
    <t xml:space="preserve">  CP EBIT</t>
  </si>
  <si>
    <t xml:space="preserve">  KCS EBIT</t>
  </si>
  <si>
    <t>Consolidated net interest expense</t>
  </si>
  <si>
    <t xml:space="preserve">  CP net interest</t>
  </si>
  <si>
    <t xml:space="preserve">  KCS net interest</t>
  </si>
  <si>
    <t xml:space="preserve">  CP Taxes</t>
  </si>
  <si>
    <t xml:space="preserve">  % of CP EBIT</t>
  </si>
  <si>
    <t xml:space="preserve">  KCS Taxes</t>
  </si>
  <si>
    <t xml:space="preserve">  % of KCS EBIT</t>
  </si>
  <si>
    <t>Dividend per Share</t>
  </si>
  <si>
    <t xml:space="preserve">  % Payout Ratio</t>
  </si>
  <si>
    <t>Implied Value per Share</t>
  </si>
  <si>
    <t xml:space="preserve">  Premium to Current</t>
  </si>
  <si>
    <t>CAGR</t>
  </si>
  <si>
    <t>Output</t>
  </si>
  <si>
    <t>Summary</t>
  </si>
  <si>
    <t>Switches</t>
  </si>
  <si>
    <t>Base</t>
  </si>
  <si>
    <t>Bull</t>
  </si>
  <si>
    <t>Bear</t>
  </si>
  <si>
    <t>in millions or millions USD unless denoted otherwise.</t>
  </si>
  <si>
    <t xml:space="preserve">    Non-freight revenue</t>
  </si>
  <si>
    <t xml:space="preserve">    Freight revenue</t>
  </si>
  <si>
    <t xml:space="preserve">  Canadian Pacific revenue</t>
  </si>
  <si>
    <t>Average train weight (tons)</t>
  </si>
  <si>
    <t>Consolidated taxes</t>
  </si>
  <si>
    <t xml:space="preserve">  Kansas City Southern revenue</t>
  </si>
  <si>
    <t>Total revenue ton-miles</t>
  </si>
  <si>
    <t>Consolidated Net income</t>
  </si>
  <si>
    <t xml:space="preserve">  Freight revenue per revenue ton-mile</t>
  </si>
  <si>
    <t>1 = bear case, 2 = base / street case, 3 = bull case</t>
  </si>
  <si>
    <t>key editable inputs / drivers are denoted in red, and assumptions are in orange cell</t>
  </si>
  <si>
    <t>Total Revenue (excl. FX gains / losses)</t>
  </si>
  <si>
    <t>FX gains / losses</t>
  </si>
  <si>
    <t xml:space="preserve">  Plus: 5-Years of Dividend</t>
  </si>
  <si>
    <t>Implied Market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</si>
</sst>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7" formatCode="&quot;$&quot;#,##0.00_);\(&quot;$&quot;#,##0.00\)"/>
    <numFmt numFmtId="164" formatCode="General\A"/>
    <numFmt numFmtId="165" formatCode="&quot;$&quot;#,##0.00"/>
    <numFmt numFmtId="166" formatCode="&quot;$&quot;#,##0.000"/>
    <numFmt numFmtId="167" formatCode="General\E"/>
    <numFmt numFmtId="168" formatCode="General\x"/>
    <numFmt numFmtId="169" formatCode="0\x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2"/>
      <color rgb="FF7030A0"/>
      <name val="Calibri"/>
      <family val="2"/>
      <scheme val="minor"/>
    </font>
    <font>
      <i/>
      <sz val="12"/>
      <color rgb="FF7030A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73">
    <xf numFmtId="0" fontId="0" fillId="0" borderId="0" xfId="0"/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37" fontId="0" fillId="0" borderId="0" xfId="0" applyNumberFormat="1"/>
    <xf numFmtId="0" fontId="0" fillId="0" borderId="2" xfId="0" applyBorder="1" applyAlignment="1">
      <alignment horizontal="center" vertical="center" wrapText="1"/>
    </xf>
    <xf numFmtId="165" fontId="0" fillId="0" borderId="0" xfId="0" applyNumberFormat="1"/>
    <xf numFmtId="166" fontId="0" fillId="0" borderId="0" xfId="0" applyNumberFormat="1"/>
    <xf numFmtId="0" fontId="5" fillId="0" borderId="2" xfId="0" applyFont="1" applyBorder="1" applyAlignment="1">
      <alignment horizontal="center" vertical="center"/>
    </xf>
    <xf numFmtId="0" fontId="7" fillId="0" borderId="0" xfId="0" applyFont="1"/>
    <xf numFmtId="37" fontId="7" fillId="0" borderId="0" xfId="0" applyNumberFormat="1" applyFont="1"/>
    <xf numFmtId="9" fontId="7" fillId="0" borderId="0" xfId="1" applyFont="1"/>
    <xf numFmtId="0" fontId="5" fillId="0" borderId="0" xfId="0" applyFont="1"/>
    <xf numFmtId="37" fontId="5" fillId="0" borderId="0" xfId="0" applyNumberFormat="1" applyFont="1"/>
    <xf numFmtId="9" fontId="1" fillId="0" borderId="0" xfId="1" applyFont="1"/>
    <xf numFmtId="9" fontId="0" fillId="0" borderId="0" xfId="1" applyFont="1"/>
    <xf numFmtId="1" fontId="0" fillId="0" borderId="0" xfId="0" applyNumberFormat="1"/>
    <xf numFmtId="0" fontId="0" fillId="3" borderId="0" xfId="0" applyFill="1"/>
    <xf numFmtId="0" fontId="6" fillId="3" borderId="0" xfId="0" applyFont="1" applyFill="1"/>
    <xf numFmtId="164" fontId="6" fillId="3" borderId="0" xfId="0" applyNumberFormat="1" applyFont="1" applyFill="1"/>
    <xf numFmtId="167" fontId="6" fillId="3" borderId="0" xfId="0" applyNumberFormat="1" applyFont="1" applyFill="1"/>
    <xf numFmtId="0" fontId="3" fillId="3" borderId="0" xfId="0" applyFont="1" applyFill="1"/>
    <xf numFmtId="3" fontId="0" fillId="0" borderId="0" xfId="0" applyNumberFormat="1"/>
    <xf numFmtId="37" fontId="7" fillId="0" borderId="0" xfId="1" applyNumberFormat="1" applyFont="1"/>
    <xf numFmtId="37" fontId="1" fillId="0" borderId="0" xfId="1" applyNumberFormat="1" applyFont="1"/>
    <xf numFmtId="9" fontId="8" fillId="0" borderId="0" xfId="1" applyFont="1"/>
    <xf numFmtId="2" fontId="0" fillId="0" borderId="0" xfId="0" applyNumberFormat="1"/>
    <xf numFmtId="9" fontId="9" fillId="0" borderId="0" xfId="0" applyNumberFormat="1" applyFont="1"/>
    <xf numFmtId="1" fontId="7" fillId="0" borderId="0" xfId="0" applyNumberFormat="1" applyFont="1"/>
    <xf numFmtId="1" fontId="7" fillId="0" borderId="0" xfId="1" applyNumberFormat="1" applyFont="1"/>
    <xf numFmtId="168" fontId="4" fillId="0" borderId="0" xfId="0" applyNumberFormat="1" applyFont="1"/>
    <xf numFmtId="14" fontId="7" fillId="0" borderId="0" xfId="0" applyNumberFormat="1" applyFont="1"/>
    <xf numFmtId="7" fontId="1" fillId="0" borderId="0" xfId="1" applyNumberFormat="1" applyFont="1"/>
    <xf numFmtId="165" fontId="1" fillId="0" borderId="0" xfId="1" applyNumberFormat="1" applyFont="1"/>
    <xf numFmtId="0" fontId="6" fillId="3" borderId="0" xfId="0" applyFont="1" applyFill="1" applyAlignment="1">
      <alignment horizontal="right"/>
    </xf>
    <xf numFmtId="9" fontId="5" fillId="0" borderId="0" xfId="1" applyFont="1"/>
    <xf numFmtId="0" fontId="11" fillId="0" borderId="0" xfId="0" applyFont="1"/>
    <xf numFmtId="169" fontId="0" fillId="0" borderId="0" xfId="0" applyNumberFormat="1"/>
    <xf numFmtId="0" fontId="3" fillId="3" borderId="0" xfId="0" applyFont="1" applyFill="1" applyAlignment="1">
      <alignment horizontal="center"/>
    </xf>
    <xf numFmtId="0" fontId="6" fillId="4" borderId="0" xfId="0" applyFont="1" applyFill="1"/>
    <xf numFmtId="164" fontId="6" fillId="4" borderId="0" xfId="0" applyNumberFormat="1" applyFont="1" applyFill="1"/>
    <xf numFmtId="167" fontId="6" fillId="4" borderId="0" xfId="0" applyNumberFormat="1" applyFont="1" applyFill="1"/>
    <xf numFmtId="0" fontId="6" fillId="4" borderId="0" xfId="0" applyFont="1" applyFill="1" applyAlignment="1">
      <alignment horizontal="right"/>
    </xf>
    <xf numFmtId="0" fontId="0" fillId="4" borderId="0" xfId="0" applyFill="1"/>
    <xf numFmtId="0" fontId="3" fillId="4" borderId="0" xfId="0" applyFont="1" applyFill="1" applyAlignment="1">
      <alignment horizontal="center"/>
    </xf>
    <xf numFmtId="0" fontId="7" fillId="4" borderId="0" xfId="0" applyFont="1" applyFill="1"/>
    <xf numFmtId="0" fontId="0" fillId="5" borderId="0" xfId="0" applyFill="1"/>
    <xf numFmtId="9" fontId="5" fillId="5" borderId="0" xfId="1" applyFont="1" applyFill="1"/>
    <xf numFmtId="165" fontId="0" fillId="5" borderId="0" xfId="0" applyNumberFormat="1" applyFill="1"/>
    <xf numFmtId="165" fontId="5" fillId="5" borderId="0" xfId="0" applyNumberFormat="1" applyFont="1" applyFill="1"/>
    <xf numFmtId="0" fontId="5" fillId="5" borderId="0" xfId="0" applyFont="1" applyFill="1"/>
    <xf numFmtId="37" fontId="5" fillId="5" borderId="0" xfId="0" applyNumberFormat="1" applyFont="1" applyFill="1"/>
    <xf numFmtId="9" fontId="1" fillId="5" borderId="0" xfId="1" applyFont="1" applyFill="1"/>
    <xf numFmtId="37" fontId="0" fillId="5" borderId="0" xfId="0" applyNumberFormat="1" applyFill="1"/>
    <xf numFmtId="0" fontId="6" fillId="0" borderId="0" xfId="0" applyFont="1"/>
    <xf numFmtId="164" fontId="6" fillId="0" borderId="0" xfId="0" applyNumberFormat="1" applyFont="1"/>
    <xf numFmtId="167" fontId="6" fillId="0" borderId="0" xfId="0" applyNumberFormat="1" applyFont="1"/>
    <xf numFmtId="0" fontId="6" fillId="0" borderId="0" xfId="0" applyFont="1" applyAlignment="1">
      <alignment horizontal="right"/>
    </xf>
    <xf numFmtId="0" fontId="0" fillId="0" borderId="0" xfId="0" applyAlignment="1">
      <alignment vertical="center"/>
    </xf>
    <xf numFmtId="9" fontId="2" fillId="2" borderId="1" xfId="2" applyNumberFormat="1" applyAlignment="1">
      <alignment horizontal="center" vertical="center"/>
    </xf>
    <xf numFmtId="0" fontId="2" fillId="2" borderId="1" xfId="2" applyAlignment="1">
      <alignment horizontal="center" vertical="center"/>
    </xf>
    <xf numFmtId="9" fontId="10" fillId="0" borderId="0" xfId="1" applyFont="1"/>
    <xf numFmtId="169" fontId="2" fillId="2" borderId="1" xfId="2" applyNumberFormat="1" applyAlignment="1">
      <alignment horizontal="center" vertical="center"/>
    </xf>
    <xf numFmtId="169" fontId="8" fillId="0" borderId="0" xfId="1" applyNumberFormat="1" applyFont="1"/>
    <xf numFmtId="37" fontId="5" fillId="5" borderId="0" xfId="1" applyNumberFormat="1" applyFont="1" applyFill="1"/>
    <xf numFmtId="9" fontId="10" fillId="0" borderId="0" xfId="0" applyNumberFormat="1" applyFont="1"/>
    <xf numFmtId="9" fontId="4" fillId="0" borderId="0" xfId="1" applyFont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</cellXfs>
  <cellStyles count="3">
    <cellStyle name="Input" xfId="2" builtinId="20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B4FF0-6D30-EF45-9860-F95DFB4AA7C7}">
  <dimension ref="B3:E8"/>
  <sheetViews>
    <sheetView showGridLines="0" workbookViewId="0">
      <selection activeCell="C8" sqref="B4:E8"/>
    </sheetView>
  </sheetViews>
  <sheetFormatPr baseColWidth="10" defaultRowHeight="16" x14ac:dyDescent="0.2"/>
  <cols>
    <col min="1" max="1" width="6.6640625" customWidth="1"/>
    <col min="2" max="2" width="20" customWidth="1"/>
    <col min="3" max="5" width="14.83203125" customWidth="1"/>
  </cols>
  <sheetData>
    <row r="3" spans="2:5" ht="31" customHeight="1" x14ac:dyDescent="0.2">
      <c r="B3" s="7" t="s">
        <v>6</v>
      </c>
      <c r="C3" s="72" t="s">
        <v>2</v>
      </c>
      <c r="D3" s="72"/>
      <c r="E3" s="72"/>
    </row>
    <row r="4" spans="2:5" ht="80" customHeight="1" x14ac:dyDescent="0.2">
      <c r="B4" s="1" t="s">
        <v>0</v>
      </c>
      <c r="C4" s="66" t="s">
        <v>3</v>
      </c>
      <c r="D4" s="67"/>
      <c r="E4" s="68"/>
    </row>
    <row r="5" spans="2:5" ht="80" customHeight="1" x14ac:dyDescent="0.2">
      <c r="B5" s="2" t="s">
        <v>1</v>
      </c>
      <c r="C5" s="69" t="s">
        <v>4</v>
      </c>
      <c r="D5" s="70"/>
      <c r="E5" s="71"/>
    </row>
    <row r="6" spans="2:5" ht="111" customHeight="1" x14ac:dyDescent="0.2">
      <c r="B6" s="2" t="s">
        <v>1</v>
      </c>
      <c r="C6" s="69" t="s">
        <v>5</v>
      </c>
      <c r="D6" s="70"/>
      <c r="E6" s="71"/>
    </row>
    <row r="7" spans="2:5" ht="97" customHeight="1" x14ac:dyDescent="0.2">
      <c r="B7" s="4" t="s">
        <v>12</v>
      </c>
      <c r="C7" s="66" t="s">
        <v>10</v>
      </c>
      <c r="D7" s="67"/>
      <c r="E7" s="68"/>
    </row>
    <row r="8" spans="2:5" ht="68" customHeight="1" x14ac:dyDescent="0.2">
      <c r="B8" s="4" t="s">
        <v>11</v>
      </c>
      <c r="C8" s="66" t="s">
        <v>13</v>
      </c>
      <c r="D8" s="67"/>
      <c r="E8" s="68"/>
    </row>
  </sheetData>
  <mergeCells count="6">
    <mergeCell ref="C8:E8"/>
    <mergeCell ref="C5:E5"/>
    <mergeCell ref="C4:E4"/>
    <mergeCell ref="C6:E6"/>
    <mergeCell ref="C3:E3"/>
    <mergeCell ref="C7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FA0A-524E-0F46-90F5-FFE270988E23}">
  <dimension ref="A1:R132"/>
  <sheetViews>
    <sheetView showGridLines="0" tabSelected="1" zoomScale="110" zoomScaleNormal="110" workbookViewId="0">
      <selection activeCell="K124" sqref="F124:K124"/>
    </sheetView>
  </sheetViews>
  <sheetFormatPr baseColWidth="10" defaultRowHeight="16" x14ac:dyDescent="0.2"/>
  <cols>
    <col min="1" max="1" width="6.5" customWidth="1"/>
    <col min="2" max="2" width="42.83203125" customWidth="1"/>
    <col min="3" max="5" width="10.83203125" hidden="1" customWidth="1"/>
    <col min="7" max="8" width="10.83203125" hidden="1" customWidth="1"/>
    <col min="9" max="10" width="0" hidden="1" customWidth="1"/>
    <col min="13" max="13" width="5.83203125" customWidth="1"/>
    <col min="15" max="15" width="2.83203125" customWidth="1"/>
  </cols>
  <sheetData>
    <row r="1" spans="1:18" s="16" customFormat="1" x14ac:dyDescent="0.2">
      <c r="B1" s="20" t="s">
        <v>54</v>
      </c>
      <c r="C1" s="18">
        <f>C18</f>
        <v>2019</v>
      </c>
      <c r="D1" s="18">
        <f t="shared" ref="D1:K1" si="0">D18</f>
        <v>2020</v>
      </c>
      <c r="E1" s="18">
        <f t="shared" si="0"/>
        <v>2021</v>
      </c>
      <c r="F1" s="18">
        <f t="shared" si="0"/>
        <v>2022</v>
      </c>
      <c r="G1" s="19">
        <f t="shared" si="0"/>
        <v>2023</v>
      </c>
      <c r="H1" s="19">
        <f t="shared" si="0"/>
        <v>2024</v>
      </c>
      <c r="I1" s="19">
        <f t="shared" si="0"/>
        <v>2025</v>
      </c>
      <c r="J1" s="19">
        <f t="shared" si="0"/>
        <v>2026</v>
      </c>
      <c r="K1" s="19">
        <f t="shared" si="0"/>
        <v>2027</v>
      </c>
      <c r="L1" s="33" t="s">
        <v>52</v>
      </c>
      <c r="N1" s="37" t="s">
        <v>55</v>
      </c>
      <c r="P1" s="37" t="s">
        <v>58</v>
      </c>
      <c r="Q1" s="37" t="s">
        <v>56</v>
      </c>
      <c r="R1" s="37" t="s">
        <v>57</v>
      </c>
    </row>
    <row r="2" spans="1:18" s="42" customFormat="1" x14ac:dyDescent="0.2">
      <c r="B2" s="44" t="s">
        <v>59</v>
      </c>
      <c r="C2" s="39"/>
      <c r="D2" s="39"/>
      <c r="E2" s="39"/>
      <c r="F2" s="39"/>
      <c r="G2" s="40"/>
      <c r="H2" s="40"/>
      <c r="I2" s="40"/>
      <c r="J2" s="40"/>
      <c r="K2" s="40"/>
      <c r="L2" s="41"/>
      <c r="N2" s="43"/>
      <c r="P2" s="43"/>
      <c r="Q2" s="43"/>
      <c r="R2" s="43"/>
    </row>
    <row r="3" spans="1:18" s="42" customFormat="1" x14ac:dyDescent="0.2">
      <c r="B3" s="44" t="s">
        <v>70</v>
      </c>
      <c r="C3" s="39"/>
      <c r="D3" s="39"/>
      <c r="E3" s="39"/>
      <c r="F3" s="39"/>
      <c r="G3" s="40"/>
      <c r="H3" s="40"/>
      <c r="I3" s="40"/>
      <c r="J3" s="40"/>
      <c r="K3" s="40"/>
      <c r="L3" s="41"/>
      <c r="N3" s="43"/>
      <c r="P3" s="43"/>
      <c r="Q3" s="43"/>
      <c r="R3" s="43"/>
    </row>
    <row r="4" spans="1:18" s="42" customFormat="1" x14ac:dyDescent="0.2">
      <c r="B4" s="44" t="s">
        <v>69</v>
      </c>
      <c r="C4" s="39"/>
      <c r="D4" s="39"/>
      <c r="E4" s="39"/>
      <c r="F4" s="39"/>
      <c r="G4" s="40"/>
      <c r="H4" s="40"/>
      <c r="I4" s="40"/>
      <c r="J4" s="40"/>
      <c r="K4" s="40"/>
      <c r="L4" s="41"/>
      <c r="N4" s="43"/>
      <c r="P4" s="43"/>
      <c r="Q4" s="43"/>
      <c r="R4" s="43"/>
    </row>
    <row r="5" spans="1:18" s="42" customFormat="1" x14ac:dyDescent="0.2">
      <c r="A5" s="44"/>
      <c r="B5" s="38"/>
      <c r="C5" s="39"/>
      <c r="D5" s="39"/>
      <c r="E5" s="39"/>
      <c r="F5" s="39"/>
      <c r="G5" s="40"/>
      <c r="H5" s="40"/>
      <c r="I5" s="40"/>
      <c r="J5" s="40"/>
      <c r="K5" s="40"/>
      <c r="L5" s="41"/>
      <c r="N5" s="43"/>
      <c r="P5" s="43"/>
      <c r="Q5" s="43"/>
      <c r="R5" s="43"/>
    </row>
    <row r="6" spans="1:18" x14ac:dyDescent="0.2">
      <c r="A6" s="49"/>
      <c r="B6" s="49" t="s">
        <v>16</v>
      </c>
      <c r="C6" s="50">
        <f>C76</f>
        <v>5999.84</v>
      </c>
      <c r="D6" s="50">
        <f t="shared" ref="D6:K6" si="1">D76</f>
        <v>5936.7</v>
      </c>
      <c r="E6" s="50">
        <f t="shared" si="1"/>
        <v>6316.05</v>
      </c>
      <c r="F6" s="50">
        <f t="shared" si="1"/>
        <v>6509.7999999999993</v>
      </c>
      <c r="G6" s="50">
        <f t="shared" si="1"/>
        <v>10667.980072852893</v>
      </c>
      <c r="H6" s="50">
        <f t="shared" si="1"/>
        <v>11735.25610000461</v>
      </c>
      <c r="I6" s="50">
        <f t="shared" si="1"/>
        <v>13118.924110640042</v>
      </c>
      <c r="J6" s="50">
        <f t="shared" si="1"/>
        <v>14899.197635381061</v>
      </c>
      <c r="K6" s="50">
        <f t="shared" si="1"/>
        <v>17195.039200276282</v>
      </c>
      <c r="L6" s="46">
        <f>_xlfn.RRI(5,F6,I6)</f>
        <v>0.15044567240452711</v>
      </c>
    </row>
    <row r="7" spans="1:18" x14ac:dyDescent="0.2">
      <c r="B7" t="s">
        <v>62</v>
      </c>
      <c r="C7" s="3">
        <f>C48</f>
        <v>5999.84</v>
      </c>
      <c r="D7" s="3">
        <f t="shared" ref="D7:G7" si="2">D48</f>
        <v>5936.7</v>
      </c>
      <c r="E7" s="3">
        <f t="shared" si="2"/>
        <v>6316.05</v>
      </c>
      <c r="F7" s="3">
        <f t="shared" si="2"/>
        <v>6509.8</v>
      </c>
      <c r="G7" s="3">
        <f t="shared" si="2"/>
        <v>6877.8196942834047</v>
      </c>
      <c r="H7" s="3">
        <f t="shared" ref="H7:K7" si="3">H48</f>
        <v>7483.994683349556</v>
      </c>
      <c r="I7" s="3">
        <f t="shared" si="3"/>
        <v>8362.733587833578</v>
      </c>
      <c r="J7" s="3">
        <f t="shared" si="3"/>
        <v>9591.8321768988189</v>
      </c>
      <c r="K7" s="3">
        <f t="shared" si="3"/>
        <v>11287.941444985549</v>
      </c>
      <c r="L7" s="34">
        <f>_xlfn.RRI(5,F7,K7)</f>
        <v>0.11637324690786888</v>
      </c>
    </row>
    <row r="8" spans="1:18" x14ac:dyDescent="0.2">
      <c r="B8" t="s">
        <v>61</v>
      </c>
      <c r="C8" s="3">
        <f>C41</f>
        <v>5862.01</v>
      </c>
      <c r="D8" s="3">
        <f t="shared" ref="D8:G8" si="4">D41</f>
        <v>5806.57</v>
      </c>
      <c r="E8" s="3">
        <f t="shared" si="4"/>
        <v>6174.64</v>
      </c>
      <c r="F8" s="3">
        <f t="shared" si="4"/>
        <v>6371.7</v>
      </c>
      <c r="G8" s="3">
        <f t="shared" si="4"/>
        <v>6735.5766942834043</v>
      </c>
      <c r="H8" s="3">
        <f t="shared" ref="H8:K8" si="5">H41</f>
        <v>7337.4843933495558</v>
      </c>
      <c r="I8" s="3">
        <f t="shared" si="5"/>
        <v>8211.8279891335787</v>
      </c>
      <c r="J8" s="3">
        <f t="shared" si="5"/>
        <v>9436.3994102378183</v>
      </c>
      <c r="K8" s="3">
        <f t="shared" si="5"/>
        <v>11127.845695324719</v>
      </c>
      <c r="L8" s="34">
        <f>_xlfn.RRI(5,F8,K8)</f>
        <v>0.1179725879948621</v>
      </c>
    </row>
    <row r="9" spans="1:18" x14ac:dyDescent="0.2">
      <c r="B9" t="s">
        <v>60</v>
      </c>
      <c r="C9" s="3">
        <f>C43</f>
        <v>137.83000000000001</v>
      </c>
      <c r="D9" s="3">
        <f t="shared" ref="D9:G9" si="6">D43</f>
        <v>130.13</v>
      </c>
      <c r="E9" s="3">
        <f t="shared" si="6"/>
        <v>141.41</v>
      </c>
      <c r="F9" s="3">
        <f t="shared" si="6"/>
        <v>138.1</v>
      </c>
      <c r="G9" s="3">
        <f t="shared" si="6"/>
        <v>142.24299999999999</v>
      </c>
      <c r="H9" s="3">
        <f t="shared" ref="H9:K9" si="7">H43</f>
        <v>146.51029</v>
      </c>
      <c r="I9" s="3">
        <f t="shared" si="7"/>
        <v>150.90559870000001</v>
      </c>
      <c r="J9" s="3">
        <f t="shared" si="7"/>
        <v>155.43276666100002</v>
      </c>
      <c r="K9" s="3">
        <f t="shared" si="7"/>
        <v>160.09574966083002</v>
      </c>
      <c r="L9" s="34">
        <f>_xlfn.RRI(5,F9,K9)</f>
        <v>3.0000000000000027E-2</v>
      </c>
    </row>
    <row r="10" spans="1:18" x14ac:dyDescent="0.2">
      <c r="B10" t="s">
        <v>65</v>
      </c>
      <c r="C10" s="3">
        <f>C59</f>
        <v>2866</v>
      </c>
      <c r="D10" s="3">
        <f t="shared" ref="D10:G10" si="8">D59</f>
        <v>2632.6</v>
      </c>
      <c r="E10" s="3">
        <f t="shared" si="8"/>
        <v>2947.3</v>
      </c>
      <c r="F10" s="3">
        <f t="shared" si="8"/>
        <v>3370.4</v>
      </c>
      <c r="G10" s="3">
        <f t="shared" si="8"/>
        <v>3790.1603785694879</v>
      </c>
      <c r="H10" s="3">
        <f t="shared" ref="H10:K10" si="9">H59</f>
        <v>4251.2614166550529</v>
      </c>
      <c r="I10" s="3">
        <f t="shared" si="9"/>
        <v>4756.1905228064634</v>
      </c>
      <c r="J10" s="3">
        <f t="shared" si="9"/>
        <v>5307.3654584822389</v>
      </c>
      <c r="K10" s="3">
        <f t="shared" si="9"/>
        <v>5907.0977552907325</v>
      </c>
      <c r="L10" s="34">
        <f>_xlfn.RRI(5,F10,K10)</f>
        <v>0.11876415284304542</v>
      </c>
    </row>
    <row r="11" spans="1:18" x14ac:dyDescent="0.2">
      <c r="C11" s="3"/>
      <c r="D11" s="3"/>
      <c r="E11" s="3"/>
      <c r="F11" s="3"/>
      <c r="G11" s="3"/>
      <c r="H11" s="3"/>
      <c r="I11" s="3"/>
      <c r="J11" s="3"/>
      <c r="K11" s="3"/>
      <c r="L11" s="34"/>
    </row>
    <row r="12" spans="1:18" x14ac:dyDescent="0.2">
      <c r="A12" s="45"/>
      <c r="B12" s="49" t="s">
        <v>50</v>
      </c>
      <c r="C12" s="45"/>
      <c r="D12" s="45"/>
      <c r="E12" s="45"/>
      <c r="F12" s="48">
        <f>F124</f>
        <v>79.319999999999993</v>
      </c>
      <c r="G12" s="49"/>
      <c r="H12" s="49"/>
      <c r="I12" s="49"/>
      <c r="J12" s="48"/>
      <c r="K12" s="48">
        <f>K127</f>
        <v>142.90847659119618</v>
      </c>
      <c r="L12" s="46">
        <f>_xlfn.RRI(5,F12,K12)</f>
        <v>0.12495475781656906</v>
      </c>
    </row>
    <row r="13" spans="1:18" s="8" customFormat="1" x14ac:dyDescent="0.2">
      <c r="B13" s="8" t="s">
        <v>34</v>
      </c>
      <c r="F13" s="30">
        <f ca="1">F125</f>
        <v>44973</v>
      </c>
      <c r="J13" s="30"/>
      <c r="K13" s="30">
        <f>K125</f>
        <v>46752</v>
      </c>
    </row>
    <row r="15" spans="1:18" x14ac:dyDescent="0.2">
      <c r="A15" s="49"/>
      <c r="B15" s="49" t="s">
        <v>66</v>
      </c>
      <c r="C15" s="50">
        <f>C65</f>
        <v>154891</v>
      </c>
      <c r="D15" s="50">
        <f t="shared" ref="D15:F15" si="10">D65</f>
        <v>151891</v>
      </c>
      <c r="E15" s="50">
        <f t="shared" si="10"/>
        <v>149686</v>
      </c>
      <c r="F15" s="50">
        <f t="shared" si="10"/>
        <v>143855</v>
      </c>
      <c r="G15" s="50">
        <f t="shared" ref="G15:K15" si="11">G65</f>
        <v>224953.22340752068</v>
      </c>
      <c r="H15" s="50">
        <f t="shared" si="11"/>
        <v>231377.12288700254</v>
      </c>
      <c r="I15" s="50">
        <f t="shared" si="11"/>
        <v>242151.74241378711</v>
      </c>
      <c r="J15" s="50">
        <f t="shared" si="11"/>
        <v>257747.84409595339</v>
      </c>
      <c r="K15" s="50">
        <f t="shared" si="11"/>
        <v>279044.23351578426</v>
      </c>
      <c r="L15" s="46">
        <f>_xlfn.RRI(5,F15,I15)</f>
        <v>0.10976884214749782</v>
      </c>
    </row>
    <row r="16" spans="1:18" x14ac:dyDescent="0.2">
      <c r="B16" t="s">
        <v>68</v>
      </c>
      <c r="C16" s="6">
        <f>C67</f>
        <v>3.7846033662381935E-2</v>
      </c>
      <c r="D16" s="6">
        <f t="shared" ref="D16:F16" si="12">D67</f>
        <v>3.8228532302769749E-2</v>
      </c>
      <c r="E16" s="6">
        <f t="shared" si="12"/>
        <v>4.125061796026349E-2</v>
      </c>
      <c r="F16" s="6">
        <f t="shared" si="12"/>
        <v>4.4292516770359038E-2</v>
      </c>
      <c r="G16" s="6">
        <f t="shared" ref="G16:K16" si="13">G67</f>
        <v>4.6790781271823262E-2</v>
      </c>
      <c r="H16" s="6">
        <f t="shared" si="13"/>
        <v>5.0085962109850404E-2</v>
      </c>
      <c r="I16" s="6">
        <f t="shared" si="13"/>
        <v>5.3553273590657827E-2</v>
      </c>
      <c r="J16" s="6">
        <f t="shared" si="13"/>
        <v>5.7202282022701639E-2</v>
      </c>
      <c r="K16" s="6">
        <f t="shared" si="13"/>
        <v>6.1047466331719993E-2</v>
      </c>
      <c r="L16" s="34">
        <f>_xlfn.RRI(5,F16,K16)</f>
        <v>6.6270655153402913E-2</v>
      </c>
    </row>
    <row r="18" spans="1:18" s="16" customFormat="1" x14ac:dyDescent="0.2">
      <c r="B18" s="20" t="s">
        <v>30</v>
      </c>
      <c r="C18" s="18">
        <f t="shared" ref="C18:K18" si="14">C22</f>
        <v>2019</v>
      </c>
      <c r="D18" s="18">
        <f t="shared" si="14"/>
        <v>2020</v>
      </c>
      <c r="E18" s="18">
        <f t="shared" si="14"/>
        <v>2021</v>
      </c>
      <c r="F18" s="18">
        <f t="shared" si="14"/>
        <v>2022</v>
      </c>
      <c r="G18" s="19">
        <f t="shared" si="14"/>
        <v>2023</v>
      </c>
      <c r="H18" s="19">
        <f t="shared" si="14"/>
        <v>2024</v>
      </c>
      <c r="I18" s="19">
        <f t="shared" si="14"/>
        <v>2025</v>
      </c>
      <c r="J18" s="19">
        <f t="shared" si="14"/>
        <v>2026</v>
      </c>
      <c r="K18" s="19">
        <f t="shared" si="14"/>
        <v>2027</v>
      </c>
      <c r="L18" s="33" t="s">
        <v>52</v>
      </c>
      <c r="N18" s="37" t="s">
        <v>55</v>
      </c>
      <c r="P18" s="37" t="s">
        <v>58</v>
      </c>
      <c r="Q18" s="37" t="s">
        <v>56</v>
      </c>
      <c r="R18" s="37" t="s">
        <v>57</v>
      </c>
    </row>
    <row r="19" spans="1:18" x14ac:dyDescent="0.2">
      <c r="B19" t="s">
        <v>31</v>
      </c>
      <c r="C19">
        <v>0.77</v>
      </c>
      <c r="D19">
        <v>0.77</v>
      </c>
      <c r="E19">
        <v>0.79</v>
      </c>
      <c r="F19">
        <v>0.73</v>
      </c>
      <c r="G19" s="25">
        <f>F19*(1+G20)</f>
        <v>0.73</v>
      </c>
      <c r="H19" s="25">
        <f>G19*(1+H20)</f>
        <v>0.73</v>
      </c>
      <c r="I19" s="25">
        <f t="shared" ref="I19:K19" si="15">H19*(1+I20)</f>
        <v>0.73</v>
      </c>
      <c r="J19" s="25">
        <f t="shared" si="15"/>
        <v>0.73</v>
      </c>
      <c r="K19" s="25">
        <f t="shared" si="15"/>
        <v>0.73</v>
      </c>
      <c r="L19" s="34">
        <f>_xlfn.RRI(5,F19,K19)</f>
        <v>0</v>
      </c>
    </row>
    <row r="20" spans="1:18" x14ac:dyDescent="0.2">
      <c r="B20" s="8" t="s">
        <v>15</v>
      </c>
      <c r="D20" s="10">
        <f>D19/C19-1</f>
        <v>0</v>
      </c>
      <c r="E20" s="10">
        <f t="shared" ref="E20:F20" si="16">E19/D19-1</f>
        <v>2.5974025974025983E-2</v>
      </c>
      <c r="F20" s="10">
        <f t="shared" si="16"/>
        <v>-7.5949367088607667E-2</v>
      </c>
      <c r="G20" s="64">
        <f>H20</f>
        <v>0</v>
      </c>
      <c r="H20" s="64">
        <f>K20</f>
        <v>0</v>
      </c>
      <c r="I20" s="64">
        <f>H20</f>
        <v>0</v>
      </c>
      <c r="J20" s="64">
        <f>I20</f>
        <v>0</v>
      </c>
      <c r="K20" s="24">
        <f>CHOOSE(N20,P20,Q20,R20)</f>
        <v>0</v>
      </c>
      <c r="L20" s="34"/>
      <c r="N20" s="59">
        <v>2</v>
      </c>
      <c r="O20" s="57"/>
      <c r="P20" s="58">
        <v>-0.03</v>
      </c>
      <c r="Q20" s="58">
        <v>0</v>
      </c>
      <c r="R20" s="58">
        <v>0.03</v>
      </c>
    </row>
    <row r="22" spans="1:18" s="17" customFormat="1" x14ac:dyDescent="0.2">
      <c r="B22" s="20" t="s">
        <v>29</v>
      </c>
      <c r="C22" s="18">
        <f t="shared" ref="C22" si="17">D22-1</f>
        <v>2019</v>
      </c>
      <c r="D22" s="18">
        <f>E22-1</f>
        <v>2020</v>
      </c>
      <c r="E22" s="18">
        <v>2021</v>
      </c>
      <c r="F22" s="18">
        <v>2022</v>
      </c>
      <c r="G22" s="19">
        <f>F22+1</f>
        <v>2023</v>
      </c>
      <c r="H22" s="19">
        <f>G22+1</f>
        <v>2024</v>
      </c>
      <c r="I22" s="19">
        <f>H22+1</f>
        <v>2025</v>
      </c>
      <c r="J22" s="19">
        <f t="shared" ref="J22:K22" si="18">I22+1</f>
        <v>2026</v>
      </c>
      <c r="K22" s="19">
        <f t="shared" si="18"/>
        <v>2027</v>
      </c>
      <c r="L22" s="33" t="s">
        <v>52</v>
      </c>
      <c r="N22" s="37" t="s">
        <v>55</v>
      </c>
      <c r="O22" s="16"/>
      <c r="P22" s="37" t="s">
        <v>58</v>
      </c>
      <c r="Q22" s="37" t="s">
        <v>56</v>
      </c>
      <c r="R22" s="37" t="s">
        <v>57</v>
      </c>
    </row>
    <row r="23" spans="1:18" s="38" customFormat="1" x14ac:dyDescent="0.2">
      <c r="B23" s="44" t="s">
        <v>59</v>
      </c>
      <c r="C23" s="39"/>
      <c r="D23" s="39"/>
      <c r="E23" s="39"/>
      <c r="F23" s="39"/>
      <c r="G23" s="40"/>
      <c r="H23" s="40"/>
      <c r="I23" s="40"/>
      <c r="J23" s="40"/>
      <c r="K23" s="40"/>
      <c r="L23" s="41"/>
      <c r="N23" s="43"/>
      <c r="O23" s="42"/>
      <c r="P23" s="43"/>
      <c r="Q23" s="43"/>
      <c r="R23" s="43"/>
    </row>
    <row r="24" spans="1:18" s="38" customFormat="1" x14ac:dyDescent="0.2">
      <c r="B24" s="44"/>
      <c r="C24" s="39"/>
      <c r="D24" s="39"/>
      <c r="E24" s="39"/>
      <c r="F24" s="39"/>
      <c r="G24" s="40"/>
      <c r="H24" s="40"/>
      <c r="I24" s="40"/>
      <c r="J24" s="40"/>
      <c r="K24" s="40"/>
      <c r="L24" s="41"/>
      <c r="N24" s="43"/>
      <c r="O24" s="42"/>
      <c r="P24" s="43"/>
      <c r="Q24" s="43"/>
      <c r="R24" s="43"/>
    </row>
    <row r="25" spans="1:18" x14ac:dyDescent="0.2">
      <c r="B25" t="s">
        <v>1</v>
      </c>
      <c r="C25" s="3">
        <v>32.923999999999999</v>
      </c>
      <c r="D25" s="3">
        <v>30.324000000000002</v>
      </c>
      <c r="E25" s="3">
        <v>29.396999999999998</v>
      </c>
      <c r="F25" s="3">
        <f>E25*(1+F26)</f>
        <v>27.927149999999997</v>
      </c>
      <c r="G25" s="3">
        <f>F25*(1+G26)</f>
        <v>27.201044099999997</v>
      </c>
      <c r="H25" s="3">
        <f t="shared" ref="H25:K25" si="19">G25*(1+H26)</f>
        <v>27.146642011799997</v>
      </c>
      <c r="I25" s="3">
        <f t="shared" si="19"/>
        <v>27.743868136059596</v>
      </c>
      <c r="J25" s="3">
        <f t="shared" si="19"/>
        <v>29.020086070318339</v>
      </c>
      <c r="K25" s="3">
        <f t="shared" si="19"/>
        <v>31.051492095240626</v>
      </c>
      <c r="L25" s="34">
        <f>_xlfn.RRI(5,F25,K25)</f>
        <v>2.1436025766874867E-2</v>
      </c>
    </row>
    <row r="26" spans="1:18" x14ac:dyDescent="0.2">
      <c r="B26" s="8" t="s">
        <v>15</v>
      </c>
      <c r="C26" s="9"/>
      <c r="D26" s="10">
        <f>D25/C25-1</f>
        <v>-7.8969748511723892E-2</v>
      </c>
      <c r="E26" s="10">
        <f>E25/D25-1</f>
        <v>-3.0569845666798656E-2</v>
      </c>
      <c r="F26" s="24">
        <v>-0.05</v>
      </c>
      <c r="G26" s="10">
        <f>F26-($F$26-$K$26)/($K$73-$F$73)</f>
        <v>-2.6000000000000002E-2</v>
      </c>
      <c r="H26" s="10">
        <f t="shared" ref="H26:J26" si="20">G26-($F$26-$K$26)/($K$73-$F$73)</f>
        <v>-2.0000000000000018E-3</v>
      </c>
      <c r="I26" s="10">
        <f t="shared" si="20"/>
        <v>2.1999999999999999E-2</v>
      </c>
      <c r="J26" s="10">
        <f t="shared" si="20"/>
        <v>4.5999999999999999E-2</v>
      </c>
      <c r="K26" s="24">
        <f>CHOOSE(N26,P26,Q26,R26)</f>
        <v>7.0000000000000007E-2</v>
      </c>
      <c r="L26" s="11"/>
      <c r="N26" s="59">
        <v>3</v>
      </c>
      <c r="O26" s="57"/>
      <c r="P26" s="58">
        <v>0.05</v>
      </c>
      <c r="Q26" s="58">
        <v>0.06</v>
      </c>
      <c r="R26" s="58">
        <v>7.0000000000000007E-2</v>
      </c>
    </row>
    <row r="27" spans="1:18" x14ac:dyDescent="0.2">
      <c r="B27" t="s">
        <v>63</v>
      </c>
      <c r="C27" s="3">
        <f>C29/C25</f>
        <v>8526.4244927712316</v>
      </c>
      <c r="D27" s="3">
        <f>D29/D25</f>
        <v>8981.6646880358785</v>
      </c>
      <c r="E27" s="3">
        <f>E29/E25</f>
        <v>9249.9574786542853</v>
      </c>
      <c r="F27" s="3">
        <f>E27*(1+F28)</f>
        <v>9342.4570534408285</v>
      </c>
      <c r="G27" s="3">
        <f t="shared" ref="G27" si="21">F27*(1+G28)</f>
        <v>9473.2514521890007</v>
      </c>
      <c r="H27" s="3">
        <f t="shared" ref="H27" si="22">G27*(1+H28)</f>
        <v>9643.7699783284024</v>
      </c>
      <c r="I27" s="3">
        <f t="shared" ref="I27" si="23">H27*(1+I28)</f>
        <v>9855.9329178516273</v>
      </c>
      <c r="J27" s="3">
        <f t="shared" ref="J27" si="24">I27*(1+J28)</f>
        <v>10112.187173715769</v>
      </c>
      <c r="K27" s="3">
        <f t="shared" ref="K27" si="25">J27*(1+K28)</f>
        <v>10415.552788927242</v>
      </c>
      <c r="L27" s="34">
        <f>_xlfn.RRI(5,F27,K27)</f>
        <v>2.1984344134905021E-2</v>
      </c>
    </row>
    <row r="28" spans="1:18" x14ac:dyDescent="0.2">
      <c r="B28" s="8" t="s">
        <v>15</v>
      </c>
      <c r="C28" s="9"/>
      <c r="D28" s="10">
        <f>D27/C27-1</f>
        <v>5.3391687881667593E-2</v>
      </c>
      <c r="E28" s="10">
        <f>E27/D27-1</f>
        <v>2.9871165305891401E-2</v>
      </c>
      <c r="F28" s="24">
        <v>0.01</v>
      </c>
      <c r="G28" s="10">
        <f>F28-($F$28-$K$28)/($K$73-$F$73)</f>
        <v>1.3999999999999999E-2</v>
      </c>
      <c r="H28" s="10">
        <f t="shared" ref="H28:J28" si="26">G28-($F$28-$K$28)/($K$73-$F$73)</f>
        <v>1.7999999999999999E-2</v>
      </c>
      <c r="I28" s="10">
        <f t="shared" si="26"/>
        <v>2.1999999999999999E-2</v>
      </c>
      <c r="J28" s="10">
        <f t="shared" si="26"/>
        <v>2.5999999999999999E-2</v>
      </c>
      <c r="K28" s="24">
        <f>CHOOSE(N28,P28,Q28,R28)</f>
        <v>0.03</v>
      </c>
      <c r="L28" s="11"/>
      <c r="N28" s="59">
        <v>2</v>
      </c>
      <c r="O28" s="57"/>
      <c r="P28" s="58">
        <v>0.02</v>
      </c>
      <c r="Q28" s="58">
        <v>0.03</v>
      </c>
      <c r="R28" s="58">
        <v>0.04</v>
      </c>
    </row>
    <row r="29" spans="1:18" x14ac:dyDescent="0.2">
      <c r="A29" s="45"/>
      <c r="B29" s="45" t="s">
        <v>0</v>
      </c>
      <c r="C29" s="52">
        <v>280724</v>
      </c>
      <c r="D29" s="52">
        <v>272360</v>
      </c>
      <c r="E29" s="52">
        <v>271921</v>
      </c>
      <c r="F29" s="52">
        <f>F27*F25</f>
        <v>260908.19950000002</v>
      </c>
      <c r="G29" s="52">
        <f t="shared" ref="G29:K29" si="27">G27*G25</f>
        <v>257682.33052138201</v>
      </c>
      <c r="H29" s="52">
        <f t="shared" si="27"/>
        <v>261795.97124582535</v>
      </c>
      <c r="I29" s="52">
        <f t="shared" si="27"/>
        <v>273441.70323072467</v>
      </c>
      <c r="J29" s="52">
        <f t="shared" si="27"/>
        <v>293456.54214040074</v>
      </c>
      <c r="K29" s="52">
        <f t="shared" si="27"/>
        <v>323418.45509293571</v>
      </c>
      <c r="L29" s="51">
        <f>_xlfn.RRI(5,F29,I29)</f>
        <v>9.4281332239884996E-3</v>
      </c>
    </row>
    <row r="30" spans="1:18" x14ac:dyDescent="0.2">
      <c r="B30" s="8" t="s">
        <v>15</v>
      </c>
      <c r="C30" s="9"/>
      <c r="D30" s="10">
        <f>D29/C29-1</f>
        <v>-2.9794388794687987E-2</v>
      </c>
      <c r="E30" s="10">
        <f>E29/D29-1</f>
        <v>-1.6118372741958931E-3</v>
      </c>
      <c r="F30" s="10">
        <f t="shared" ref="F30:I30" si="28">F29/E29-1</f>
        <v>-4.049999999999998E-2</v>
      </c>
      <c r="G30" s="10">
        <f t="shared" si="28"/>
        <v>-1.2364000000000042E-2</v>
      </c>
      <c r="H30" s="10">
        <f t="shared" si="28"/>
        <v>1.5963999999999867E-2</v>
      </c>
      <c r="I30" s="10">
        <f t="shared" si="28"/>
        <v>4.448400000000019E-2</v>
      </c>
      <c r="J30" s="10">
        <f t="shared" ref="J30" si="29">J29/I29-1</f>
        <v>7.3195999999999817E-2</v>
      </c>
      <c r="K30" s="10">
        <f t="shared" ref="K30" si="30">K29/J29-1</f>
        <v>0.10210000000000008</v>
      </c>
      <c r="L30" s="11"/>
    </row>
    <row r="31" spans="1:18" x14ac:dyDescent="0.2">
      <c r="C31" s="3"/>
      <c r="D31" s="3"/>
      <c r="E31" s="3"/>
    </row>
    <row r="32" spans="1:18" s="17" customFormat="1" x14ac:dyDescent="0.2">
      <c r="B32" s="20" t="s">
        <v>21</v>
      </c>
      <c r="C32" s="18">
        <f t="shared" ref="C32:K32" si="31">C22</f>
        <v>2019</v>
      </c>
      <c r="D32" s="18">
        <f t="shared" si="31"/>
        <v>2020</v>
      </c>
      <c r="E32" s="18">
        <f t="shared" si="31"/>
        <v>2021</v>
      </c>
      <c r="F32" s="18">
        <f t="shared" si="31"/>
        <v>2022</v>
      </c>
      <c r="G32" s="19">
        <f t="shared" si="31"/>
        <v>2023</v>
      </c>
      <c r="H32" s="19">
        <f t="shared" si="31"/>
        <v>2024</v>
      </c>
      <c r="I32" s="19">
        <f t="shared" si="31"/>
        <v>2025</v>
      </c>
      <c r="J32" s="19">
        <f t="shared" si="31"/>
        <v>2026</v>
      </c>
      <c r="K32" s="19">
        <f t="shared" si="31"/>
        <v>2027</v>
      </c>
      <c r="L32" s="33" t="s">
        <v>52</v>
      </c>
      <c r="N32" s="37" t="s">
        <v>55</v>
      </c>
      <c r="O32" s="16"/>
      <c r="P32" s="37" t="s">
        <v>58</v>
      </c>
      <c r="Q32" s="37" t="s">
        <v>56</v>
      </c>
      <c r="R32" s="37" t="s">
        <v>57</v>
      </c>
    </row>
    <row r="33" spans="1:18" s="38" customFormat="1" x14ac:dyDescent="0.2">
      <c r="B33" s="44" t="s">
        <v>59</v>
      </c>
      <c r="C33" s="39"/>
      <c r="D33" s="39"/>
      <c r="E33" s="39"/>
      <c r="F33" s="39"/>
      <c r="G33" s="40"/>
      <c r="H33" s="40"/>
      <c r="I33" s="40"/>
      <c r="J33" s="40"/>
      <c r="K33" s="40"/>
      <c r="L33" s="41"/>
    </row>
    <row r="34" spans="1:18" s="38" customFormat="1" x14ac:dyDescent="0.2">
      <c r="B34" s="44"/>
      <c r="C34" s="39"/>
      <c r="D34" s="39"/>
      <c r="E34" s="39"/>
      <c r="F34" s="39"/>
      <c r="G34" s="40"/>
      <c r="H34" s="40"/>
      <c r="I34" s="40"/>
      <c r="J34" s="40"/>
      <c r="K34" s="40"/>
      <c r="L34" s="41"/>
    </row>
    <row r="35" spans="1:18" x14ac:dyDescent="0.2">
      <c r="B35" t="s">
        <v>8</v>
      </c>
      <c r="C35" s="3">
        <v>154891</v>
      </c>
      <c r="D35" s="3">
        <v>151891</v>
      </c>
      <c r="E35" s="3">
        <v>149686</v>
      </c>
      <c r="F35" s="3">
        <f>F37*F29</f>
        <v>143855</v>
      </c>
      <c r="G35" s="3">
        <f t="shared" ref="G35:K35" si="32">G37*G29</f>
        <v>141725.28178676011</v>
      </c>
      <c r="H35" s="3">
        <f t="shared" si="32"/>
        <v>143987.78418520396</v>
      </c>
      <c r="I35" s="3">
        <f t="shared" si="32"/>
        <v>150392.93677689857</v>
      </c>
      <c r="J35" s="3">
        <f t="shared" si="32"/>
        <v>161401.09817722041</v>
      </c>
      <c r="K35" s="3">
        <f t="shared" si="32"/>
        <v>177880.15030111466</v>
      </c>
      <c r="L35" s="34">
        <f>_xlfn.RRI(5,F35,K35)</f>
        <v>4.3375189233565425E-2</v>
      </c>
    </row>
    <row r="36" spans="1:18" x14ac:dyDescent="0.2">
      <c r="B36" s="8" t="s">
        <v>15</v>
      </c>
      <c r="C36" s="9"/>
      <c r="D36" s="10">
        <f>D35/C35-1</f>
        <v>-1.9368459109954772E-2</v>
      </c>
      <c r="E36" s="10">
        <f>E35/D35-1</f>
        <v>-1.4516989156697857E-2</v>
      </c>
      <c r="F36" s="10">
        <f>F35/E35-1</f>
        <v>-3.8954878879788324E-2</v>
      </c>
      <c r="G36" s="10">
        <f t="shared" ref="G36:I36" si="33">G35/F35-1</f>
        <v>-1.4804617241249041E-2</v>
      </c>
      <c r="H36" s="10">
        <f t="shared" si="33"/>
        <v>1.5964000000000089E-2</v>
      </c>
      <c r="I36" s="10">
        <f t="shared" si="33"/>
        <v>4.4483999999999968E-2</v>
      </c>
      <c r="J36" s="10">
        <f t="shared" ref="J36" si="34">J35/I35-1</f>
        <v>7.3195999999999817E-2</v>
      </c>
      <c r="K36" s="10">
        <f t="shared" ref="K36" si="35">K35/J35-1</f>
        <v>0.1021000000000003</v>
      </c>
      <c r="L36" s="11"/>
    </row>
    <row r="37" spans="1:18" x14ac:dyDescent="0.2">
      <c r="B37" s="8" t="s">
        <v>28</v>
      </c>
      <c r="C37" s="10">
        <f>C35/C29</f>
        <v>0.55175546087972527</v>
      </c>
      <c r="D37" s="10">
        <f>D35/D29</f>
        <v>0.55768468203847843</v>
      </c>
      <c r="E37" s="10">
        <f>E35/E29</f>
        <v>0.55047605738431382</v>
      </c>
      <c r="F37" s="24">
        <v>0.5513625109355752</v>
      </c>
      <c r="G37" s="26">
        <f>H37</f>
        <v>0.55000000000000004</v>
      </c>
      <c r="H37" s="26">
        <f t="shared" ref="H37:I37" si="36">I37</f>
        <v>0.55000000000000004</v>
      </c>
      <c r="I37" s="26">
        <f t="shared" si="36"/>
        <v>0.55000000000000004</v>
      </c>
      <c r="J37" s="26">
        <f>K37</f>
        <v>0.55000000000000004</v>
      </c>
      <c r="K37" s="24">
        <f>CHOOSE(N37,P37,Q37,R37)</f>
        <v>0.55000000000000004</v>
      </c>
      <c r="N37" s="59">
        <v>2</v>
      </c>
      <c r="O37" s="57"/>
      <c r="P37" s="58">
        <v>0.54</v>
      </c>
      <c r="Q37" s="58">
        <v>0.55000000000000004</v>
      </c>
      <c r="R37" s="58">
        <v>0.56000000000000005</v>
      </c>
    </row>
    <row r="38" spans="1:18" x14ac:dyDescent="0.2">
      <c r="B38" t="s">
        <v>9</v>
      </c>
      <c r="C38" s="6">
        <f>C41/C35</f>
        <v>3.7846033662381935E-2</v>
      </c>
      <c r="D38" s="6">
        <f>D41/D35</f>
        <v>3.8228532302769749E-2</v>
      </c>
      <c r="E38" s="6">
        <f>E41/E35</f>
        <v>4.125061796026349E-2</v>
      </c>
      <c r="F38" s="6">
        <f>F41/F35</f>
        <v>4.4292516770359038E-2</v>
      </c>
      <c r="G38" s="6">
        <f t="shared" ref="G38" si="37">F38*(1+G39)</f>
        <v>4.7525583363579087E-2</v>
      </c>
      <c r="H38" s="6">
        <f t="shared" ref="H38" si="38">G38*(1+H39)</f>
        <v>5.0959075694308437E-2</v>
      </c>
      <c r="I38" s="6">
        <f t="shared" ref="I38" si="39">H38*(1+I39)</f>
        <v>5.4602484432599858E-2</v>
      </c>
      <c r="J38" s="6">
        <f t="shared" ref="J38" si="40">I38*(1+J39)</f>
        <v>5.8465521714582976E-2</v>
      </c>
      <c r="K38" s="6">
        <f t="shared" ref="K38" si="41">J38*(1+K39)</f>
        <v>6.2558108234603782E-2</v>
      </c>
      <c r="L38" s="34">
        <f>_xlfn.RRI(5,F38,K38)</f>
        <v>7.1496235995504254E-2</v>
      </c>
    </row>
    <row r="39" spans="1:18" x14ac:dyDescent="0.2">
      <c r="B39" s="8" t="s">
        <v>15</v>
      </c>
      <c r="C39" s="9"/>
      <c r="D39" s="10">
        <f>D38/C38-1</f>
        <v>1.0106703487081869E-2</v>
      </c>
      <c r="E39" s="10">
        <f>E38/D38-1</f>
        <v>7.9053143697980444E-2</v>
      </c>
      <c r="F39" s="10">
        <f>F38/E38-1</f>
        <v>7.374189674020859E-2</v>
      </c>
      <c r="G39" s="10">
        <f>F39-($F$39-$K$39)/($K$73-$F$73)</f>
        <v>7.2993517392166876E-2</v>
      </c>
      <c r="H39" s="10">
        <f t="shared" ref="H39:J39" si="42">G39-($F$39-$K$39)/($K$73-$F$73)</f>
        <v>7.2245138044125162E-2</v>
      </c>
      <c r="I39" s="10">
        <f t="shared" si="42"/>
        <v>7.1496758696083448E-2</v>
      </c>
      <c r="J39" s="10">
        <f t="shared" si="42"/>
        <v>7.0748379348041734E-2</v>
      </c>
      <c r="K39" s="24">
        <f>CHOOSE(N39,P39,Q39,R39)</f>
        <v>7.0000000000000007E-2</v>
      </c>
      <c r="L39" s="11"/>
      <c r="N39" s="59">
        <v>2</v>
      </c>
      <c r="O39" s="57"/>
      <c r="P39" s="58">
        <v>0.05</v>
      </c>
      <c r="Q39" s="58">
        <v>7.0000000000000007E-2</v>
      </c>
      <c r="R39" s="58">
        <v>0.08</v>
      </c>
    </row>
    <row r="40" spans="1:18" x14ac:dyDescent="0.2">
      <c r="C40" s="3"/>
      <c r="D40" s="13"/>
      <c r="E40" s="13"/>
      <c r="F40" s="13"/>
      <c r="G40" s="32"/>
      <c r="H40" s="13"/>
      <c r="I40" s="65"/>
      <c r="J40" s="65"/>
      <c r="K40" s="65"/>
      <c r="L40" s="11"/>
    </row>
    <row r="41" spans="1:18" x14ac:dyDescent="0.2">
      <c r="B41" t="s">
        <v>7</v>
      </c>
      <c r="C41" s="3">
        <f>7613*C19</f>
        <v>5862.01</v>
      </c>
      <c r="D41" s="3">
        <f>7541*D19</f>
        <v>5806.57</v>
      </c>
      <c r="E41" s="3">
        <f>7816*E19</f>
        <v>6174.64</v>
      </c>
      <c r="F41" s="3">
        <v>6371.7</v>
      </c>
      <c r="G41" s="3">
        <f>G38*G35</f>
        <v>6735.5766942834043</v>
      </c>
      <c r="H41" s="3">
        <f>H38*H35</f>
        <v>7337.4843933495558</v>
      </c>
      <c r="I41" s="3">
        <f>I38*I35</f>
        <v>8211.8279891335787</v>
      </c>
      <c r="J41" s="3">
        <f t="shared" ref="J41:K41" si="43">J38*J35</f>
        <v>9436.3994102378183</v>
      </c>
      <c r="K41" s="3">
        <f t="shared" si="43"/>
        <v>11127.845695324719</v>
      </c>
      <c r="L41" s="34">
        <f>_xlfn.RRI(5,F41,K41)</f>
        <v>0.1179725879948621</v>
      </c>
    </row>
    <row r="42" spans="1:18" s="8" customFormat="1" x14ac:dyDescent="0.2">
      <c r="B42" s="8" t="s">
        <v>15</v>
      </c>
      <c r="C42" s="9"/>
      <c r="D42" s="10">
        <f>D41/C41-1</f>
        <v>-9.4575068960988107E-3</v>
      </c>
      <c r="E42" s="10">
        <f>E41/D41-1</f>
        <v>6.338854091141588E-2</v>
      </c>
      <c r="F42" s="10">
        <f>F41/E41-1</f>
        <v>3.191441120453975E-2</v>
      </c>
      <c r="G42" s="10">
        <f t="shared" ref="G42:I42" si="44">G41/F41-1</f>
        <v>5.7108259064834188E-2</v>
      </c>
      <c r="H42" s="10">
        <f t="shared" si="44"/>
        <v>8.9362459427861696E-2</v>
      </c>
      <c r="I42" s="10">
        <f t="shared" si="44"/>
        <v>0.11916122050991995</v>
      </c>
      <c r="J42" s="10">
        <f t="shared" ref="J42" si="45">J41/I41-1</f>
        <v>0.14912287772280086</v>
      </c>
      <c r="K42" s="10">
        <f t="shared" ref="K42" si="46">K41/J41-1</f>
        <v>0.17924700000000016</v>
      </c>
      <c r="L42" s="35"/>
    </row>
    <row r="43" spans="1:18" x14ac:dyDescent="0.2">
      <c r="B43" t="s">
        <v>14</v>
      </c>
      <c r="C43" s="15">
        <f>179*C19</f>
        <v>137.83000000000001</v>
      </c>
      <c r="D43" s="15">
        <f>169*D19</f>
        <v>130.13</v>
      </c>
      <c r="E43" s="15">
        <f>179*E19</f>
        <v>141.41</v>
      </c>
      <c r="F43" s="15">
        <v>138.1</v>
      </c>
      <c r="G43" s="15">
        <f t="shared" ref="G43" si="47">F43*(1+G44)</f>
        <v>142.24299999999999</v>
      </c>
      <c r="H43" s="15">
        <f t="shared" ref="H43" si="48">G43*(1+H44)</f>
        <v>146.51029</v>
      </c>
      <c r="I43" s="15">
        <f t="shared" ref="I43" si="49">H43*(1+I44)</f>
        <v>150.90559870000001</v>
      </c>
      <c r="J43" s="15">
        <f t="shared" ref="J43" si="50">I43*(1+J44)</f>
        <v>155.43276666100002</v>
      </c>
      <c r="K43" s="15">
        <f>J43*(1+K44)</f>
        <v>160.09574966083002</v>
      </c>
      <c r="L43" s="34">
        <f>_xlfn.RRI(5,F43,K43)</f>
        <v>3.0000000000000027E-2</v>
      </c>
    </row>
    <row r="44" spans="1:18" x14ac:dyDescent="0.2">
      <c r="B44" s="8" t="s">
        <v>15</v>
      </c>
      <c r="C44" s="9"/>
      <c r="D44" s="10">
        <f>D43/C43-1</f>
        <v>-5.586592178770966E-2</v>
      </c>
      <c r="E44" s="10">
        <f>E43/D43-1</f>
        <v>8.6682548221009847E-2</v>
      </c>
      <c r="F44" s="10">
        <f>F43/E43-1</f>
        <v>-2.3407114065483348E-2</v>
      </c>
      <c r="G44" s="26">
        <f>H44</f>
        <v>0.03</v>
      </c>
      <c r="H44" s="26">
        <f t="shared" ref="H44:J44" si="51">I44</f>
        <v>0.03</v>
      </c>
      <c r="I44" s="26">
        <f t="shared" si="51"/>
        <v>0.03</v>
      </c>
      <c r="J44" s="26">
        <f t="shared" si="51"/>
        <v>0.03</v>
      </c>
      <c r="K44" s="24">
        <f>CHOOSE(N44,P44,Q44,R44)</f>
        <v>0.03</v>
      </c>
      <c r="L44" s="11"/>
      <c r="N44" s="59">
        <v>2</v>
      </c>
      <c r="O44" s="57"/>
      <c r="P44" s="58">
        <v>0.02</v>
      </c>
      <c r="Q44" s="58">
        <v>0.03</v>
      </c>
      <c r="R44" s="58">
        <v>0.04</v>
      </c>
    </row>
    <row r="45" spans="1:18" x14ac:dyDescent="0.2">
      <c r="B45" s="8"/>
      <c r="C45" s="9"/>
      <c r="D45" s="10"/>
      <c r="E45" s="10"/>
      <c r="L45" s="11"/>
    </row>
    <row r="46" spans="1:18" x14ac:dyDescent="0.2">
      <c r="B46" t="s">
        <v>72</v>
      </c>
      <c r="C46" s="3"/>
      <c r="D46" s="13"/>
      <c r="E46" s="13"/>
      <c r="G46" s="15">
        <f>(G41+G43)*(1+G20)-(G41+G43)</f>
        <v>0</v>
      </c>
      <c r="H46" s="15">
        <f>(H41+H43)*(1+H20)-(H41+H43)</f>
        <v>0</v>
      </c>
      <c r="I46" s="15">
        <f t="shared" ref="I46:K46" si="52">(I41+I43)*(1+I20)-(I41+I43)</f>
        <v>0</v>
      </c>
      <c r="J46" s="15">
        <f t="shared" si="52"/>
        <v>0</v>
      </c>
      <c r="K46" s="15">
        <f t="shared" si="52"/>
        <v>0</v>
      </c>
      <c r="L46" s="11"/>
    </row>
    <row r="47" spans="1:18" x14ac:dyDescent="0.2">
      <c r="B47" s="8"/>
      <c r="C47" s="9"/>
      <c r="D47" s="10"/>
      <c r="E47" s="10"/>
      <c r="L47" s="11"/>
    </row>
    <row r="48" spans="1:18" x14ac:dyDescent="0.2">
      <c r="A48" s="45"/>
      <c r="B48" s="45" t="s">
        <v>23</v>
      </c>
      <c r="C48" s="52">
        <f>SUM(C41+C43)</f>
        <v>5999.84</v>
      </c>
      <c r="D48" s="52">
        <f t="shared" ref="D48:F48" si="53">SUM(D41+D43)</f>
        <v>5936.7</v>
      </c>
      <c r="E48" s="52">
        <f t="shared" si="53"/>
        <v>6316.05</v>
      </c>
      <c r="F48" s="52">
        <f t="shared" si="53"/>
        <v>6509.8</v>
      </c>
      <c r="G48" s="52">
        <f>SUM(G41+G43)+G46</f>
        <v>6877.8196942834047</v>
      </c>
      <c r="H48" s="52">
        <f t="shared" ref="H48:K48" si="54">SUM(H41+H43)+H46</f>
        <v>7483.994683349556</v>
      </c>
      <c r="I48" s="52">
        <f t="shared" si="54"/>
        <v>8362.733587833578</v>
      </c>
      <c r="J48" s="52">
        <f t="shared" si="54"/>
        <v>9591.8321768988189</v>
      </c>
      <c r="K48" s="52">
        <f t="shared" si="54"/>
        <v>11287.941444985549</v>
      </c>
      <c r="L48" s="51">
        <f>_xlfn.RRI(5,F48,I48)</f>
        <v>5.1371313371567195E-2</v>
      </c>
    </row>
    <row r="49" spans="1:18" x14ac:dyDescent="0.2">
      <c r="B49" s="8" t="s">
        <v>15</v>
      </c>
      <c r="C49" s="9"/>
      <c r="D49" s="10">
        <f>D48/C48-1</f>
        <v>-1.0523613963039025E-2</v>
      </c>
      <c r="E49" s="10">
        <f>E48/D48-1</f>
        <v>6.3899135883571656E-2</v>
      </c>
      <c r="F49" s="10">
        <f>F48/E48-1</f>
        <v>3.0675817955842621E-2</v>
      </c>
      <c r="G49" s="10">
        <f t="shared" ref="G49:I49" si="55">G48/F48-1</f>
        <v>5.6533179864727723E-2</v>
      </c>
      <c r="H49" s="10">
        <f t="shared" si="55"/>
        <v>8.8134760143535384E-2</v>
      </c>
      <c r="I49" s="10">
        <f t="shared" si="55"/>
        <v>0.11741575744823107</v>
      </c>
      <c r="J49" s="10">
        <f t="shared" ref="J49" si="56">J48/I48-1</f>
        <v>0.14697330438140233</v>
      </c>
      <c r="K49" s="10">
        <f t="shared" ref="K49" si="57">K48/J48-1</f>
        <v>0.17682849708022164</v>
      </c>
    </row>
    <row r="50" spans="1:18" x14ac:dyDescent="0.2">
      <c r="B50" s="8"/>
      <c r="C50" s="9"/>
      <c r="D50" s="10"/>
      <c r="E50" s="10"/>
    </row>
    <row r="51" spans="1:18" s="17" customFormat="1" x14ac:dyDescent="0.2">
      <c r="B51" s="20" t="s">
        <v>22</v>
      </c>
      <c r="C51" s="18">
        <f t="shared" ref="C51:K51" si="58">C32</f>
        <v>2019</v>
      </c>
      <c r="D51" s="18">
        <f t="shared" si="58"/>
        <v>2020</v>
      </c>
      <c r="E51" s="18">
        <f t="shared" si="58"/>
        <v>2021</v>
      </c>
      <c r="F51" s="18">
        <f t="shared" si="58"/>
        <v>2022</v>
      </c>
      <c r="G51" s="19">
        <f t="shared" si="58"/>
        <v>2023</v>
      </c>
      <c r="H51" s="19">
        <f t="shared" si="58"/>
        <v>2024</v>
      </c>
      <c r="I51" s="19">
        <f t="shared" si="58"/>
        <v>2025</v>
      </c>
      <c r="J51" s="19">
        <f t="shared" si="58"/>
        <v>2026</v>
      </c>
      <c r="K51" s="19">
        <f t="shared" si="58"/>
        <v>2027</v>
      </c>
      <c r="L51" s="33" t="s">
        <v>52</v>
      </c>
      <c r="N51" s="37" t="s">
        <v>55</v>
      </c>
      <c r="O51" s="16"/>
      <c r="P51" s="37" t="s">
        <v>58</v>
      </c>
      <c r="Q51" s="37" t="s">
        <v>56</v>
      </c>
      <c r="R51" s="37" t="s">
        <v>57</v>
      </c>
    </row>
    <row r="52" spans="1:18" s="38" customFormat="1" x14ac:dyDescent="0.2">
      <c r="B52" s="44" t="s">
        <v>59</v>
      </c>
      <c r="C52" s="39"/>
      <c r="D52" s="39"/>
      <c r="E52" s="39"/>
      <c r="F52" s="39"/>
      <c r="G52" s="40"/>
      <c r="H52" s="40"/>
      <c r="I52" s="40"/>
      <c r="J52" s="40"/>
      <c r="K52" s="40"/>
      <c r="L52" s="41"/>
    </row>
    <row r="53" spans="1:18" s="38" customFormat="1" x14ac:dyDescent="0.2">
      <c r="B53" s="44"/>
      <c r="C53" s="39"/>
      <c r="D53" s="39"/>
      <c r="E53" s="39"/>
      <c r="F53" s="39"/>
      <c r="G53" s="40"/>
      <c r="H53" s="40"/>
      <c r="I53" s="40"/>
      <c r="J53" s="40"/>
      <c r="K53" s="40"/>
      <c r="L53" s="41"/>
    </row>
    <row r="54" spans="1:18" x14ac:dyDescent="0.2">
      <c r="B54" t="s">
        <v>8</v>
      </c>
      <c r="C54" s="3">
        <f t="shared" ref="C54:D54" si="59">C59/C56</f>
        <v>78883.211205144078</v>
      </c>
      <c r="D54" s="3">
        <f t="shared" si="59"/>
        <v>71734.160363461851</v>
      </c>
      <c r="E54" s="3">
        <f>E59/E56</f>
        <v>74425.652716865545</v>
      </c>
      <c r="F54" s="3">
        <f>F59/F56</f>
        <v>79264.706305486252</v>
      </c>
      <c r="G54" s="3">
        <f>F54*(1+G55)</f>
        <v>83227.941620760568</v>
      </c>
      <c r="H54" s="3">
        <f t="shared" ref="H54:K54" si="60">G54*(1+H55)</f>
        <v>87389.338701798595</v>
      </c>
      <c r="I54" s="3">
        <f t="shared" si="60"/>
        <v>91758.80563688853</v>
      </c>
      <c r="J54" s="3">
        <f t="shared" si="60"/>
        <v>96346.745918732966</v>
      </c>
      <c r="K54" s="3">
        <f t="shared" si="60"/>
        <v>101164.08321466962</v>
      </c>
      <c r="L54" s="34">
        <f>_xlfn.RRI(5,F54,K54)</f>
        <v>5.0000000000000044E-2</v>
      </c>
    </row>
    <row r="55" spans="1:18" x14ac:dyDescent="0.2">
      <c r="B55" s="8" t="s">
        <v>15</v>
      </c>
      <c r="D55" s="10">
        <f>D54/C54-1</f>
        <v>-9.0628293808810212E-2</v>
      </c>
      <c r="E55" s="10">
        <f>E54/D54-1</f>
        <v>3.7520371602127511E-2</v>
      </c>
      <c r="F55" s="10">
        <f>F54/E54-1</f>
        <v>6.5018624788280022E-2</v>
      </c>
      <c r="G55" s="26">
        <f>H55</f>
        <v>0.05</v>
      </c>
      <c r="H55" s="26">
        <f t="shared" ref="H55:J55" si="61">I55</f>
        <v>0.05</v>
      </c>
      <c r="I55" s="26">
        <f t="shared" si="61"/>
        <v>0.05</v>
      </c>
      <c r="J55" s="26">
        <f t="shared" si="61"/>
        <v>0.05</v>
      </c>
      <c r="K55" s="24">
        <f>CHOOSE(N55,P55,Q55,R55)</f>
        <v>0.05</v>
      </c>
      <c r="L55" s="11"/>
      <c r="N55" s="59">
        <v>2</v>
      </c>
      <c r="O55" s="57"/>
      <c r="P55" s="58">
        <v>0.04</v>
      </c>
      <c r="Q55" s="58">
        <v>0.05</v>
      </c>
      <c r="R55" s="58">
        <v>0.06</v>
      </c>
    </row>
    <row r="56" spans="1:18" x14ac:dyDescent="0.2">
      <c r="B56" t="s">
        <v>9</v>
      </c>
      <c r="C56" s="6">
        <f>C38*96%</f>
        <v>3.6332192315886656E-2</v>
      </c>
      <c r="D56" s="6">
        <f>D38*96%</f>
        <v>3.6699391010658958E-2</v>
      </c>
      <c r="E56" s="6">
        <f>E38*96%</f>
        <v>3.9600593241852951E-2</v>
      </c>
      <c r="F56" s="6">
        <f>F38*96%</f>
        <v>4.2520816099544674E-2</v>
      </c>
      <c r="G56" s="6">
        <f>F56*(1+G57)</f>
        <v>4.5539518396836835E-2</v>
      </c>
      <c r="H56" s="6">
        <f t="shared" ref="H56:K56" si="62">G56*(1+H57)</f>
        <v>4.8647369116291944E-2</v>
      </c>
      <c r="I56" s="6">
        <f t="shared" si="62"/>
        <v>5.1833614112501022E-2</v>
      </c>
      <c r="J56" s="6">
        <f t="shared" si="62"/>
        <v>5.5086089393812245E-2</v>
      </c>
      <c r="K56" s="6">
        <f t="shared" si="62"/>
        <v>5.8391254757440982E-2</v>
      </c>
      <c r="L56" s="34">
        <f>_xlfn.RRI(5,F56,K56)</f>
        <v>6.5489669374328985E-2</v>
      </c>
    </row>
    <row r="57" spans="1:18" x14ac:dyDescent="0.2">
      <c r="B57" s="8" t="s">
        <v>15</v>
      </c>
      <c r="D57" s="10">
        <f>D56/C56-1</f>
        <v>1.0106703487081869E-2</v>
      </c>
      <c r="E57" s="10">
        <f>E56/D56-1</f>
        <v>7.9053143697980444E-2</v>
      </c>
      <c r="F57" s="10">
        <f>F56/E56-1</f>
        <v>7.374189674020859E-2</v>
      </c>
      <c r="G57" s="10">
        <f>F57-($F$57-$K$57)/($K$73-$F$73)</f>
        <v>7.0993517392166874E-2</v>
      </c>
      <c r="H57" s="10">
        <f t="shared" ref="H57:J57" si="63">G57-($F$57-$K$57)/($K$73-$F$73)</f>
        <v>6.8245138044125159E-2</v>
      </c>
      <c r="I57" s="10">
        <f t="shared" si="63"/>
        <v>6.5496758696083443E-2</v>
      </c>
      <c r="J57" s="10">
        <f t="shared" si="63"/>
        <v>6.2748379348041727E-2</v>
      </c>
      <c r="K57" s="24">
        <f>CHOOSE(N57,P57,Q57,R57)</f>
        <v>0.06</v>
      </c>
      <c r="L57" s="11"/>
      <c r="N57" s="59">
        <v>2</v>
      </c>
      <c r="O57" s="57"/>
      <c r="P57" s="58">
        <v>0.04</v>
      </c>
      <c r="Q57" s="58">
        <v>0.06</v>
      </c>
      <c r="R57" s="58">
        <v>0.08</v>
      </c>
    </row>
    <row r="58" spans="1:18" x14ac:dyDescent="0.2">
      <c r="C58" s="3"/>
      <c r="D58" s="3"/>
      <c r="E58" s="3"/>
      <c r="L58" s="11"/>
    </row>
    <row r="59" spans="1:18" x14ac:dyDescent="0.2">
      <c r="A59" s="45"/>
      <c r="B59" s="45" t="s">
        <v>27</v>
      </c>
      <c r="C59" s="52">
        <v>2866</v>
      </c>
      <c r="D59" s="52">
        <v>2632.6</v>
      </c>
      <c r="E59" s="52">
        <v>2947.3</v>
      </c>
      <c r="F59" s="52">
        <v>3370.4</v>
      </c>
      <c r="G59" s="52">
        <f>G56*G54</f>
        <v>3790.1603785694879</v>
      </c>
      <c r="H59" s="52">
        <f t="shared" ref="H59:K59" si="64">H56*H54</f>
        <v>4251.2614166550529</v>
      </c>
      <c r="I59" s="52">
        <f t="shared" si="64"/>
        <v>4756.1905228064634</v>
      </c>
      <c r="J59" s="52">
        <f t="shared" si="64"/>
        <v>5307.3654584822389</v>
      </c>
      <c r="K59" s="52">
        <f t="shared" si="64"/>
        <v>5907.0977552907325</v>
      </c>
      <c r="L59" s="51">
        <f>_xlfn.RRI(5,F59,I59)</f>
        <v>7.1310988246480189E-2</v>
      </c>
    </row>
    <row r="60" spans="1:18" s="11" customFormat="1" x14ac:dyDescent="0.2">
      <c r="B60" s="8" t="s">
        <v>15</v>
      </c>
      <c r="C60" s="12"/>
      <c r="D60" s="10">
        <f>D59/C59-1</f>
        <v>-8.1437543614794161E-2</v>
      </c>
      <c r="E60" s="10">
        <f>E59/D59-1</f>
        <v>0.11953961862797247</v>
      </c>
      <c r="F60" s="10">
        <f>F59/E59-1</f>
        <v>0.14355511824381639</v>
      </c>
      <c r="G60" s="10">
        <f t="shared" ref="G60:I60" si="65">G59/F59-1</f>
        <v>0.12454319326177532</v>
      </c>
      <c r="H60" s="10">
        <f t="shared" si="65"/>
        <v>0.12165739494633132</v>
      </c>
      <c r="I60" s="10">
        <f t="shared" si="65"/>
        <v>0.11877159663088777</v>
      </c>
      <c r="J60" s="10">
        <f t="shared" ref="J60" si="66">J59/I59-1</f>
        <v>0.11588579831544399</v>
      </c>
      <c r="K60" s="10">
        <f t="shared" ref="K60" si="67">K59/J59-1</f>
        <v>0.11300000000000021</v>
      </c>
    </row>
    <row r="61" spans="1:18" s="11" customFormat="1" x14ac:dyDescent="0.2">
      <c r="B61" s="8"/>
      <c r="C61" s="12"/>
      <c r="D61" s="10"/>
      <c r="E61" s="10"/>
      <c r="F61" s="10"/>
      <c r="G61" s="10"/>
      <c r="H61" s="10"/>
      <c r="I61" s="10"/>
      <c r="J61" s="10"/>
      <c r="K61" s="10"/>
      <c r="L61"/>
    </row>
    <row r="62" spans="1:18" s="17" customFormat="1" x14ac:dyDescent="0.2">
      <c r="B62" s="20" t="s">
        <v>35</v>
      </c>
      <c r="C62" s="18">
        <f t="shared" ref="C62:K62" si="68">C51</f>
        <v>2019</v>
      </c>
      <c r="D62" s="18">
        <f t="shared" si="68"/>
        <v>2020</v>
      </c>
      <c r="E62" s="18">
        <f t="shared" si="68"/>
        <v>2021</v>
      </c>
      <c r="F62" s="18">
        <f t="shared" si="68"/>
        <v>2022</v>
      </c>
      <c r="G62" s="19">
        <f t="shared" si="68"/>
        <v>2023</v>
      </c>
      <c r="H62" s="19">
        <f t="shared" si="68"/>
        <v>2024</v>
      </c>
      <c r="I62" s="19">
        <f t="shared" si="68"/>
        <v>2025</v>
      </c>
      <c r="J62" s="19">
        <f t="shared" si="68"/>
        <v>2026</v>
      </c>
      <c r="K62" s="19">
        <f t="shared" si="68"/>
        <v>2027</v>
      </c>
      <c r="L62" s="33" t="s">
        <v>52</v>
      </c>
      <c r="N62" s="37" t="s">
        <v>55</v>
      </c>
      <c r="O62" s="16"/>
      <c r="P62" s="37" t="s">
        <v>58</v>
      </c>
      <c r="Q62" s="37" t="s">
        <v>56</v>
      </c>
      <c r="R62" s="37" t="s">
        <v>57</v>
      </c>
    </row>
    <row r="63" spans="1:18" s="38" customFormat="1" x14ac:dyDescent="0.2">
      <c r="B63" s="44" t="s">
        <v>59</v>
      </c>
      <c r="C63" s="39"/>
      <c r="D63" s="39"/>
      <c r="E63" s="39"/>
      <c r="F63" s="39"/>
      <c r="G63" s="40"/>
      <c r="H63" s="40"/>
      <c r="I63" s="40"/>
      <c r="J63" s="40"/>
      <c r="K63" s="40"/>
      <c r="L63" s="41"/>
    </row>
    <row r="64" spans="1:18" s="38" customFormat="1" x14ac:dyDescent="0.2">
      <c r="B64" s="44"/>
      <c r="C64" s="39"/>
      <c r="D64" s="39"/>
      <c r="E64" s="39"/>
      <c r="F64" s="39"/>
      <c r="G64" s="40"/>
      <c r="H64" s="40"/>
      <c r="I64" s="40"/>
      <c r="J64" s="40"/>
      <c r="K64" s="40"/>
      <c r="L64" s="41"/>
    </row>
    <row r="65" spans="1:18" s="11" customFormat="1" x14ac:dyDescent="0.2">
      <c r="B65" t="s">
        <v>8</v>
      </c>
      <c r="C65" s="3">
        <f>C35</f>
        <v>154891</v>
      </c>
      <c r="D65" s="3">
        <f>D35</f>
        <v>151891</v>
      </c>
      <c r="E65" s="3">
        <f>E35</f>
        <v>149686</v>
      </c>
      <c r="F65" s="3">
        <f>F35</f>
        <v>143855</v>
      </c>
      <c r="G65" s="3">
        <f>G54+G35</f>
        <v>224953.22340752068</v>
      </c>
      <c r="H65" s="3">
        <f>H54+H35</f>
        <v>231377.12288700254</v>
      </c>
      <c r="I65" s="3">
        <f>I54+I35</f>
        <v>242151.74241378711</v>
      </c>
      <c r="J65" s="3">
        <f t="shared" ref="J65:K65" si="69">J54+J35</f>
        <v>257747.84409595339</v>
      </c>
      <c r="K65" s="3">
        <f t="shared" si="69"/>
        <v>279044.23351578426</v>
      </c>
      <c r="L65" s="34">
        <f>_xlfn.RRI(5,F65,K65)</f>
        <v>0.14169373573738131</v>
      </c>
    </row>
    <row r="66" spans="1:18" s="11" customFormat="1" x14ac:dyDescent="0.2">
      <c r="B66" s="8" t="s">
        <v>15</v>
      </c>
      <c r="C66" s="12"/>
      <c r="D66" s="10">
        <f>D65/C65-1</f>
        <v>-1.9368459109954772E-2</v>
      </c>
      <c r="E66" s="10">
        <f t="shared" ref="E66:I66" si="70">E65/D65-1</f>
        <v>-1.4516989156697857E-2</v>
      </c>
      <c r="F66" s="10">
        <f t="shared" si="70"/>
        <v>-3.8954878879788324E-2</v>
      </c>
      <c r="G66" s="10">
        <f t="shared" si="70"/>
        <v>0.56374977169733875</v>
      </c>
      <c r="H66" s="10">
        <f t="shared" si="70"/>
        <v>2.855660115545211E-2</v>
      </c>
      <c r="I66" s="10">
        <f t="shared" si="70"/>
        <v>4.6567350273633457E-2</v>
      </c>
      <c r="J66" s="10">
        <f t="shared" ref="J66" si="71">J65/I65-1</f>
        <v>6.4406316166479405E-2</v>
      </c>
      <c r="K66" s="10">
        <f t="shared" ref="K66" si="72">K65/J65-1</f>
        <v>8.262489835570741E-2</v>
      </c>
    </row>
    <row r="67" spans="1:18" s="11" customFormat="1" x14ac:dyDescent="0.2">
      <c r="B67" t="s">
        <v>9</v>
      </c>
      <c r="C67" s="6">
        <f>C38</f>
        <v>3.7846033662381935E-2</v>
      </c>
      <c r="D67" s="6">
        <f>D38</f>
        <v>3.8228532302769749E-2</v>
      </c>
      <c r="E67" s="6">
        <f>E38</f>
        <v>4.125061796026349E-2</v>
      </c>
      <c r="F67" s="6">
        <f>F38</f>
        <v>4.4292516770359038E-2</v>
      </c>
      <c r="G67" s="6">
        <f>G54/G65*G56+G35/G65*G38</f>
        <v>4.6790781271823262E-2</v>
      </c>
      <c r="H67" s="6">
        <f>H54/H65*H56+H35/H65*H38</f>
        <v>5.0085962109850404E-2</v>
      </c>
      <c r="I67" s="6">
        <f>I54/I65*I56+I35/I65*I38</f>
        <v>5.3553273590657827E-2</v>
      </c>
      <c r="J67" s="6">
        <f t="shared" ref="J67:K67" si="73">J54/J65*J56+J35/J65*J38</f>
        <v>5.7202282022701639E-2</v>
      </c>
      <c r="K67" s="6">
        <f t="shared" si="73"/>
        <v>6.1047466331719993E-2</v>
      </c>
      <c r="L67" s="34">
        <f>_xlfn.RRI(5,F67,K67)</f>
        <v>6.6270655153402913E-2</v>
      </c>
    </row>
    <row r="68" spans="1:18" s="11" customFormat="1" x14ac:dyDescent="0.2">
      <c r="B68" s="8" t="s">
        <v>15</v>
      </c>
      <c r="C68" s="12"/>
      <c r="D68" s="10">
        <f>D67/C67-1</f>
        <v>1.0106703487081869E-2</v>
      </c>
      <c r="E68" s="10">
        <f t="shared" ref="E68" si="74">E67/D67-1</f>
        <v>7.9053143697980444E-2</v>
      </c>
      <c r="F68" s="10">
        <f t="shared" ref="F68" si="75">F67/E67-1</f>
        <v>7.374189674020859E-2</v>
      </c>
      <c r="G68" s="10">
        <f t="shared" ref="G68" si="76">G67/F67-1</f>
        <v>5.6403760355656418E-2</v>
      </c>
      <c r="H68" s="10">
        <f t="shared" ref="H68" si="77">H67/G67-1</f>
        <v>7.0423719127157502E-2</v>
      </c>
      <c r="I68" s="10">
        <f t="shared" ref="I68" si="78">I67/H67-1</f>
        <v>6.9227211273346079E-2</v>
      </c>
      <c r="J68" s="10">
        <f t="shared" ref="J68" si="79">J67/I67-1</f>
        <v>6.8137915525678938E-2</v>
      </c>
      <c r="K68" s="10">
        <f t="shared" ref="K68" si="80">K67/J67-1</f>
        <v>6.7220820097567691E-2</v>
      </c>
    </row>
    <row r="69" spans="1:18" s="11" customFormat="1" x14ac:dyDescent="0.2">
      <c r="B69" s="8"/>
      <c r="C69" s="12"/>
      <c r="D69" s="10"/>
      <c r="E69" s="10"/>
      <c r="F69" s="10"/>
      <c r="G69" s="10"/>
      <c r="H69" s="10"/>
      <c r="I69" s="10"/>
      <c r="J69" s="10"/>
      <c r="K69" s="10"/>
    </row>
    <row r="70" spans="1:18" x14ac:dyDescent="0.2">
      <c r="A70" s="45"/>
      <c r="B70" s="45" t="s">
        <v>71</v>
      </c>
      <c r="C70" s="52">
        <f>C65*C67+C43</f>
        <v>5999.84</v>
      </c>
      <c r="D70" s="52">
        <f t="shared" ref="D70:I70" si="81">D65*D67+D43</f>
        <v>5936.7</v>
      </c>
      <c r="E70" s="52">
        <f t="shared" si="81"/>
        <v>6316.05</v>
      </c>
      <c r="F70" s="52">
        <f t="shared" si="81"/>
        <v>6509.7999999999993</v>
      </c>
      <c r="G70" s="52">
        <f>G65*G67+G43</f>
        <v>10667.980072852893</v>
      </c>
      <c r="H70" s="52">
        <f t="shared" si="81"/>
        <v>11735.25610000461</v>
      </c>
      <c r="I70" s="52">
        <f t="shared" si="81"/>
        <v>13118.924110640042</v>
      </c>
      <c r="J70" s="52">
        <f t="shared" ref="J70:K70" si="82">J65*J67+J43</f>
        <v>14899.197635381061</v>
      </c>
      <c r="K70" s="52">
        <f t="shared" si="82"/>
        <v>17195.039200276282</v>
      </c>
      <c r="L70" s="51">
        <f>_xlfn.RRI(5,F70,I70)</f>
        <v>0.15044567240452711</v>
      </c>
    </row>
    <row r="71" spans="1:18" s="11" customFormat="1" x14ac:dyDescent="0.2">
      <c r="B71" s="8" t="s">
        <v>15</v>
      </c>
      <c r="C71" s="12"/>
      <c r="D71" s="10">
        <f>D70/C70-1</f>
        <v>-1.0523613963039025E-2</v>
      </c>
      <c r="E71" s="10">
        <f t="shared" ref="E71" si="83">E70/D70-1</f>
        <v>6.3899135883571656E-2</v>
      </c>
      <c r="F71" s="10">
        <f t="shared" ref="F71" si="84">F70/E70-1</f>
        <v>3.0675817955842399E-2</v>
      </c>
      <c r="G71" s="10">
        <f t="shared" ref="G71" si="85">G70/F70-1</f>
        <v>0.63875696224966894</v>
      </c>
      <c r="H71" s="10">
        <f t="shared" ref="H71" si="86">H70/G70-1</f>
        <v>0.10004480884508249</v>
      </c>
      <c r="I71" s="10">
        <f t="shared" ref="I71" si="87">I70/H70-1</f>
        <v>0.11790692924331569</v>
      </c>
      <c r="J71" s="10">
        <f t="shared" ref="J71" si="88">J70/I70-1</f>
        <v>0.13570270776222682</v>
      </c>
      <c r="K71" s="10">
        <f t="shared" ref="K71" si="89">K70/J70-1</f>
        <v>0.15409162433306456</v>
      </c>
      <c r="L71"/>
    </row>
    <row r="72" spans="1:18" x14ac:dyDescent="0.2">
      <c r="C72" s="3"/>
      <c r="D72" s="3"/>
      <c r="E72" s="3"/>
    </row>
    <row r="73" spans="1:18" s="17" customFormat="1" x14ac:dyDescent="0.2">
      <c r="B73" s="20" t="s">
        <v>26</v>
      </c>
      <c r="C73" s="18">
        <f t="shared" ref="C73:K73" si="90">C51</f>
        <v>2019</v>
      </c>
      <c r="D73" s="18">
        <f t="shared" si="90"/>
        <v>2020</v>
      </c>
      <c r="E73" s="18">
        <f t="shared" si="90"/>
        <v>2021</v>
      </c>
      <c r="F73" s="18">
        <f t="shared" si="90"/>
        <v>2022</v>
      </c>
      <c r="G73" s="19">
        <f t="shared" si="90"/>
        <v>2023</v>
      </c>
      <c r="H73" s="19">
        <f t="shared" si="90"/>
        <v>2024</v>
      </c>
      <c r="I73" s="19">
        <f t="shared" si="90"/>
        <v>2025</v>
      </c>
      <c r="J73" s="19">
        <f t="shared" si="90"/>
        <v>2026</v>
      </c>
      <c r="K73" s="19">
        <f t="shared" si="90"/>
        <v>2027</v>
      </c>
      <c r="L73" s="33" t="s">
        <v>52</v>
      </c>
      <c r="N73" s="37" t="s">
        <v>55</v>
      </c>
      <c r="O73" s="16"/>
      <c r="P73" s="37" t="s">
        <v>58</v>
      </c>
      <c r="Q73" s="37" t="s">
        <v>56</v>
      </c>
      <c r="R73" s="37" t="s">
        <v>57</v>
      </c>
    </row>
    <row r="74" spans="1:18" s="38" customFormat="1" x14ac:dyDescent="0.2">
      <c r="B74" s="44" t="s">
        <v>59</v>
      </c>
      <c r="C74" s="39"/>
      <c r="D74" s="39"/>
      <c r="E74" s="39"/>
      <c r="F74" s="39"/>
      <c r="G74" s="40"/>
      <c r="H74" s="40"/>
      <c r="I74" s="40"/>
      <c r="J74" s="40"/>
      <c r="K74" s="40"/>
      <c r="L74" s="41"/>
    </row>
    <row r="75" spans="1:18" s="38" customFormat="1" x14ac:dyDescent="0.2">
      <c r="C75" s="39"/>
      <c r="D75" s="39"/>
      <c r="E75" s="39"/>
      <c r="F75" s="39"/>
      <c r="G75" s="40"/>
      <c r="H75" s="40"/>
      <c r="I75" s="40"/>
      <c r="J75" s="40"/>
      <c r="K75" s="40"/>
      <c r="L75" s="41"/>
    </row>
    <row r="76" spans="1:18" x14ac:dyDescent="0.2">
      <c r="A76" s="45"/>
      <c r="B76" s="49" t="s">
        <v>25</v>
      </c>
      <c r="C76" s="50">
        <f>C70+C46</f>
        <v>5999.84</v>
      </c>
      <c r="D76" s="50">
        <f t="shared" ref="D76:K76" si="91">D70+D46</f>
        <v>5936.7</v>
      </c>
      <c r="E76" s="50">
        <f t="shared" si="91"/>
        <v>6316.05</v>
      </c>
      <c r="F76" s="50">
        <f t="shared" si="91"/>
        <v>6509.7999999999993</v>
      </c>
      <c r="G76" s="50">
        <f t="shared" si="91"/>
        <v>10667.980072852893</v>
      </c>
      <c r="H76" s="50">
        <f t="shared" si="91"/>
        <v>11735.25610000461</v>
      </c>
      <c r="I76" s="50">
        <f t="shared" si="91"/>
        <v>13118.924110640042</v>
      </c>
      <c r="J76" s="50">
        <f t="shared" si="91"/>
        <v>14899.197635381061</v>
      </c>
      <c r="K76" s="50">
        <f t="shared" si="91"/>
        <v>17195.039200276282</v>
      </c>
      <c r="L76" s="46">
        <f>_xlfn.RRI(5,F76,I76)</f>
        <v>0.15044567240452711</v>
      </c>
    </row>
    <row r="77" spans="1:18" x14ac:dyDescent="0.2">
      <c r="B77" s="8" t="s">
        <v>15</v>
      </c>
      <c r="C77" s="9"/>
      <c r="D77" s="10">
        <f>D76/C76-1</f>
        <v>-1.0523613963039025E-2</v>
      </c>
      <c r="E77" s="10">
        <f>E76/D76-1</f>
        <v>6.3899135883571656E-2</v>
      </c>
      <c r="F77" s="10">
        <f>F76/E76-1</f>
        <v>3.0675817955842399E-2</v>
      </c>
      <c r="G77" s="10">
        <f t="shared" ref="G77:I77" si="92">G76/F76-1</f>
        <v>0.63875696224966894</v>
      </c>
      <c r="H77" s="10">
        <f t="shared" si="92"/>
        <v>0.10004480884508249</v>
      </c>
      <c r="I77" s="10">
        <f t="shared" si="92"/>
        <v>0.11790692924331569</v>
      </c>
      <c r="J77" s="10">
        <f t="shared" ref="J77" si="93">J76/I76-1</f>
        <v>0.13570270776222682</v>
      </c>
      <c r="K77" s="10">
        <f t="shared" ref="K77" si="94">K76/J76-1</f>
        <v>0.15409162433306456</v>
      </c>
      <c r="L77" s="11"/>
    </row>
    <row r="78" spans="1:18" s="8" customFormat="1" x14ac:dyDescent="0.2">
      <c r="B78" s="8" t="s">
        <v>36</v>
      </c>
      <c r="C78" s="9">
        <f t="shared" ref="C78:I78" si="95">C48</f>
        <v>5999.84</v>
      </c>
      <c r="D78" s="9">
        <f t="shared" si="95"/>
        <v>5936.7</v>
      </c>
      <c r="E78" s="9">
        <f t="shared" si="95"/>
        <v>6316.05</v>
      </c>
      <c r="F78" s="9">
        <f t="shared" si="95"/>
        <v>6509.8</v>
      </c>
      <c r="G78" s="9">
        <f t="shared" si="95"/>
        <v>6877.8196942834047</v>
      </c>
      <c r="H78" s="9">
        <f t="shared" si="95"/>
        <v>7483.994683349556</v>
      </c>
      <c r="I78" s="9">
        <f t="shared" si="95"/>
        <v>8362.733587833578</v>
      </c>
      <c r="J78" s="9">
        <f t="shared" ref="J78:K78" si="96">J48</f>
        <v>9591.8321768988189</v>
      </c>
      <c r="K78" s="9">
        <f t="shared" si="96"/>
        <v>11287.941444985549</v>
      </c>
      <c r="L78" s="34">
        <f>_xlfn.RRI(5,F78,K78)</f>
        <v>0.11637324690786888</v>
      </c>
    </row>
    <row r="79" spans="1:18" s="8" customFormat="1" hidden="1" x14ac:dyDescent="0.2">
      <c r="B79" s="8" t="s">
        <v>15</v>
      </c>
      <c r="C79" s="9"/>
      <c r="D79" s="10">
        <f t="shared" ref="D79:I79" si="97">D49</f>
        <v>-1.0523613963039025E-2</v>
      </c>
      <c r="E79" s="10">
        <f t="shared" si="97"/>
        <v>6.3899135883571656E-2</v>
      </c>
      <c r="F79" s="10">
        <f t="shared" si="97"/>
        <v>3.0675817955842621E-2</v>
      </c>
      <c r="G79" s="10">
        <f t="shared" si="97"/>
        <v>5.6533179864727723E-2</v>
      </c>
      <c r="H79" s="10">
        <f t="shared" si="97"/>
        <v>8.8134760143535384E-2</v>
      </c>
      <c r="I79" s="10">
        <f t="shared" si="97"/>
        <v>0.11741575744823107</v>
      </c>
      <c r="J79" s="10">
        <f t="shared" ref="J79:K79" si="98">J49</f>
        <v>0.14697330438140233</v>
      </c>
      <c r="K79" s="10">
        <f t="shared" si="98"/>
        <v>0.17682849708022164</v>
      </c>
      <c r="L79" s="35"/>
    </row>
    <row r="80" spans="1:18" s="8" customFormat="1" x14ac:dyDescent="0.2">
      <c r="B80" s="8" t="s">
        <v>38</v>
      </c>
      <c r="C80" s="10">
        <f>C78/C76</f>
        <v>1</v>
      </c>
      <c r="D80" s="10">
        <f t="shared" ref="D80:F80" si="99">D78/D76</f>
        <v>1</v>
      </c>
      <c r="E80" s="10">
        <f t="shared" si="99"/>
        <v>1</v>
      </c>
      <c r="F80" s="10">
        <f t="shared" si="99"/>
        <v>1.0000000000000002</v>
      </c>
      <c r="G80" s="10">
        <f>G78/G76</f>
        <v>0.6447162112521736</v>
      </c>
      <c r="H80" s="10">
        <f t="shared" ref="H80:I80" si="100">H78/H76</f>
        <v>0.63773594880018136</v>
      </c>
      <c r="I80" s="10">
        <f t="shared" si="100"/>
        <v>0.63745574845204123</v>
      </c>
      <c r="J80" s="10">
        <f t="shared" ref="J80:K80" si="101">J78/J76</f>
        <v>0.64378179359948462</v>
      </c>
      <c r="K80" s="10">
        <f t="shared" si="101"/>
        <v>0.65646500211550429</v>
      </c>
      <c r="L80" s="35"/>
    </row>
    <row r="81" spans="1:18" s="8" customFormat="1" x14ac:dyDescent="0.2">
      <c r="B81" s="8" t="s">
        <v>37</v>
      </c>
      <c r="C81" s="9">
        <f t="shared" ref="C81:I81" si="102">C59</f>
        <v>2866</v>
      </c>
      <c r="D81" s="9">
        <f t="shared" si="102"/>
        <v>2632.6</v>
      </c>
      <c r="E81" s="9">
        <f t="shared" si="102"/>
        <v>2947.3</v>
      </c>
      <c r="F81" s="9">
        <f t="shared" si="102"/>
        <v>3370.4</v>
      </c>
      <c r="G81" s="9">
        <f t="shared" si="102"/>
        <v>3790.1603785694879</v>
      </c>
      <c r="H81" s="9">
        <f t="shared" si="102"/>
        <v>4251.2614166550529</v>
      </c>
      <c r="I81" s="9">
        <f t="shared" si="102"/>
        <v>4756.1905228064634</v>
      </c>
      <c r="J81" s="9">
        <f t="shared" ref="J81:K81" si="103">J59</f>
        <v>5307.3654584822389</v>
      </c>
      <c r="K81" s="9">
        <f t="shared" si="103"/>
        <v>5907.0977552907325</v>
      </c>
      <c r="L81" s="34">
        <f>_xlfn.RRI(5,F81,K81)</f>
        <v>0.11876415284304542</v>
      </c>
    </row>
    <row r="82" spans="1:18" s="8" customFormat="1" hidden="1" x14ac:dyDescent="0.2">
      <c r="B82" s="8" t="s">
        <v>15</v>
      </c>
      <c r="C82" s="9"/>
      <c r="D82" s="10">
        <f t="shared" ref="D82:I82" si="104">D60</f>
        <v>-8.1437543614794161E-2</v>
      </c>
      <c r="E82" s="10">
        <f t="shared" si="104"/>
        <v>0.11953961862797247</v>
      </c>
      <c r="F82" s="10">
        <f t="shared" si="104"/>
        <v>0.14355511824381639</v>
      </c>
      <c r="G82" s="10">
        <f t="shared" si="104"/>
        <v>0.12454319326177532</v>
      </c>
      <c r="H82" s="10">
        <f t="shared" si="104"/>
        <v>0.12165739494633132</v>
      </c>
      <c r="I82" s="10">
        <f t="shared" si="104"/>
        <v>0.11877159663088777</v>
      </c>
      <c r="J82" s="10">
        <f t="shared" ref="J82:K82" si="105">J60</f>
        <v>0.11588579831544399</v>
      </c>
      <c r="K82" s="10">
        <f t="shared" si="105"/>
        <v>0.11300000000000021</v>
      </c>
      <c r="L82" s="35"/>
    </row>
    <row r="83" spans="1:18" x14ac:dyDescent="0.2">
      <c r="B83" s="8" t="s">
        <v>38</v>
      </c>
      <c r="C83" s="10">
        <v>0</v>
      </c>
      <c r="D83" s="10">
        <v>0</v>
      </c>
      <c r="E83" s="10">
        <v>0</v>
      </c>
      <c r="F83" s="10">
        <v>0</v>
      </c>
      <c r="G83" s="10">
        <f>G81/G76</f>
        <v>0.35528378874782629</v>
      </c>
      <c r="H83" s="10">
        <f t="shared" ref="H83:I83" si="106">H81/H76</f>
        <v>0.36226405119981853</v>
      </c>
      <c r="I83" s="10">
        <f t="shared" si="106"/>
        <v>0.36254425154795866</v>
      </c>
      <c r="J83" s="10">
        <f t="shared" ref="J83:K83" si="107">J81/J76</f>
        <v>0.35621820640051521</v>
      </c>
      <c r="K83" s="10">
        <f t="shared" si="107"/>
        <v>0.34353499788449565</v>
      </c>
      <c r="L83" s="11"/>
    </row>
    <row r="84" spans="1:18" x14ac:dyDescent="0.2">
      <c r="L84" s="11"/>
    </row>
    <row r="85" spans="1:18" x14ac:dyDescent="0.2">
      <c r="A85" s="45"/>
      <c r="B85" s="49" t="s">
        <v>24</v>
      </c>
      <c r="C85" s="63">
        <f>C88</f>
        <v>2699</v>
      </c>
      <c r="D85" s="63">
        <f>D88</f>
        <v>2870</v>
      </c>
      <c r="E85" s="63">
        <f>E88</f>
        <v>2986.1</v>
      </c>
      <c r="F85" s="63">
        <f>F88</f>
        <v>2788.9</v>
      </c>
      <c r="G85" s="50">
        <f>G90+G88</f>
        <v>4412.3267538949212</v>
      </c>
      <c r="H85" s="50">
        <f>H90+H88</f>
        <v>4943.7062334407183</v>
      </c>
      <c r="I85" s="50">
        <f>I90+I88</f>
        <v>5632.4209879705395</v>
      </c>
      <c r="J85" s="50">
        <f t="shared" ref="J85:K85" si="108">J90+J88</f>
        <v>6521.3898049005402</v>
      </c>
      <c r="K85" s="50">
        <f t="shared" si="108"/>
        <v>7673.4341219154603</v>
      </c>
      <c r="L85" s="46">
        <f>_xlfn.RRI(5,F85,I85)</f>
        <v>0.15093933556334682</v>
      </c>
    </row>
    <row r="86" spans="1:18" x14ac:dyDescent="0.2">
      <c r="B86" s="8" t="s">
        <v>17</v>
      </c>
      <c r="C86" s="13">
        <f>C85/C78</f>
        <v>0.4498453292087789</v>
      </c>
      <c r="D86" s="13">
        <f>D85/D78</f>
        <v>0.48343355736351845</v>
      </c>
      <c r="E86" s="13">
        <f>E85/E78</f>
        <v>0.47277966450550579</v>
      </c>
      <c r="F86" s="13">
        <f>F85/F78</f>
        <v>0.42841561952748164</v>
      </c>
      <c r="G86" s="13">
        <f>G85/G76</f>
        <v>0.41360470527340898</v>
      </c>
      <c r="H86" s="13">
        <f>H85/H76</f>
        <v>0.42126956508761459</v>
      </c>
      <c r="I86" s="13">
        <f>I85/I76</f>
        <v>0.429335587314084</v>
      </c>
      <c r="J86" s="13">
        <f t="shared" ref="J86:K86" si="109">J85/J76</f>
        <v>0.43770073828769301</v>
      </c>
      <c r="K86" s="13">
        <f t="shared" si="109"/>
        <v>0.44625860008462015</v>
      </c>
      <c r="L86" s="11"/>
    </row>
    <row r="87" spans="1:18" x14ac:dyDescent="0.2">
      <c r="B87" s="8" t="s">
        <v>15</v>
      </c>
      <c r="C87" s="13"/>
      <c r="D87" s="10">
        <f>D85/C85-1</f>
        <v>6.3356798814375725E-2</v>
      </c>
      <c r="E87" s="10">
        <f t="shared" ref="E87:I87" si="110">E85/D85-1</f>
        <v>4.0452961672473808E-2</v>
      </c>
      <c r="F87" s="10">
        <f t="shared" si="110"/>
        <v>-6.6039315495127315E-2</v>
      </c>
      <c r="G87" s="10">
        <f t="shared" si="110"/>
        <v>0.58210289142490623</v>
      </c>
      <c r="H87" s="10">
        <f t="shared" si="110"/>
        <v>0.12043067279111397</v>
      </c>
      <c r="I87" s="10">
        <f t="shared" si="110"/>
        <v>0.13931142386073581</v>
      </c>
      <c r="J87" s="10">
        <f t="shared" ref="J87" si="111">J85/I85-1</f>
        <v>0.15783067686677166</v>
      </c>
      <c r="K87" s="10">
        <f t="shared" ref="K87" si="112">K85/J85-1</f>
        <v>0.17665625755865855</v>
      </c>
      <c r="L87" s="11"/>
    </row>
    <row r="88" spans="1:18" s="8" customFormat="1" x14ac:dyDescent="0.2">
      <c r="B88" s="8" t="s">
        <v>39</v>
      </c>
      <c r="C88" s="9">
        <v>2699</v>
      </c>
      <c r="D88" s="9">
        <v>2870</v>
      </c>
      <c r="E88" s="9">
        <v>2986.1</v>
      </c>
      <c r="F88" s="9">
        <v>2788.9</v>
      </c>
      <c r="G88" s="9">
        <f>G89*G48</f>
        <v>2990.0117201338644</v>
      </c>
      <c r="H88" s="9">
        <f t="shared" ref="H88:K88" si="113">H89*H48</f>
        <v>3300.8111530208653</v>
      </c>
      <c r="I88" s="9">
        <f t="shared" si="113"/>
        <v>3741.2047466320678</v>
      </c>
      <c r="J88" s="9">
        <f>J89*J48</f>
        <v>4351.6523859927129</v>
      </c>
      <c r="K88" s="9">
        <f t="shared" si="113"/>
        <v>5192.4530646933526</v>
      </c>
      <c r="L88" s="34">
        <f>_xlfn.RRI(5,F88,K88)</f>
        <v>0.13236888514072653</v>
      </c>
    </row>
    <row r="89" spans="1:18" s="8" customFormat="1" x14ac:dyDescent="0.2">
      <c r="B89" s="8" t="s">
        <v>17</v>
      </c>
      <c r="C89" s="10">
        <f>C88/C48</f>
        <v>0.4498453292087789</v>
      </c>
      <c r="D89" s="10">
        <f>D88/D48</f>
        <v>0.48343355736351845</v>
      </c>
      <c r="E89" s="10">
        <f>E88/E48</f>
        <v>0.47277966450550579</v>
      </c>
      <c r="F89" s="10">
        <f>F88/F48</f>
        <v>0.42841561952748164</v>
      </c>
      <c r="G89" s="10">
        <f>F89-($F$89-$K$89)/($K$73-$F$73)</f>
        <v>0.43473249562198529</v>
      </c>
      <c r="H89" s="10">
        <f t="shared" ref="H89:J89" si="114">G89-($F$89-$K$89)/($K$73-$F$73)</f>
        <v>0.44104937171648895</v>
      </c>
      <c r="I89" s="10">
        <f t="shared" si="114"/>
        <v>0.4473662478109926</v>
      </c>
      <c r="J89" s="10">
        <f t="shared" si="114"/>
        <v>0.45368312390549626</v>
      </c>
      <c r="K89" s="24">
        <f>CHOOSE(N89,P89,Q89,R89)</f>
        <v>0.46</v>
      </c>
      <c r="L89" s="35"/>
      <c r="N89" s="59">
        <v>2</v>
      </c>
      <c r="O89" s="57"/>
      <c r="P89" s="58">
        <v>0.44</v>
      </c>
      <c r="Q89" s="58">
        <v>0.46</v>
      </c>
      <c r="R89" s="58">
        <v>0.49</v>
      </c>
    </row>
    <row r="90" spans="1:18" s="8" customFormat="1" x14ac:dyDescent="0.2">
      <c r="B90" s="8" t="s">
        <v>40</v>
      </c>
      <c r="C90" s="22">
        <v>886.3</v>
      </c>
      <c r="D90" s="22">
        <v>1003</v>
      </c>
      <c r="E90" s="22">
        <v>883.8</v>
      </c>
      <c r="F90" s="22">
        <v>1227.0999999999999</v>
      </c>
      <c r="G90" s="9">
        <f>G91*G59</f>
        <v>1422.3150337610566</v>
      </c>
      <c r="H90" s="9">
        <f t="shared" ref="H90:K90" si="115">H91*H59</f>
        <v>1642.8950804198532</v>
      </c>
      <c r="I90" s="9">
        <f t="shared" si="115"/>
        <v>1891.2162413384717</v>
      </c>
      <c r="J90" s="9">
        <f t="shared" si="115"/>
        <v>2169.7374189078273</v>
      </c>
      <c r="K90" s="9">
        <f t="shared" si="115"/>
        <v>2480.9810572221077</v>
      </c>
      <c r="L90" s="34">
        <f>_xlfn.RRI(5,F90,K90)</f>
        <v>0.1511944799141085</v>
      </c>
    </row>
    <row r="91" spans="1:18" s="8" customFormat="1" x14ac:dyDescent="0.2">
      <c r="B91" s="8" t="s">
        <v>17</v>
      </c>
      <c r="C91" s="10">
        <f>C90/C59</f>
        <v>0.30924633635729237</v>
      </c>
      <c r="D91" s="10">
        <f>D90/D59</f>
        <v>0.38099217503608601</v>
      </c>
      <c r="E91" s="10">
        <f>E90/E59</f>
        <v>0.2998676754996098</v>
      </c>
      <c r="F91" s="10">
        <f>F90/F59</f>
        <v>0.364081414668882</v>
      </c>
      <c r="G91" s="10">
        <f>F91-($F$91-$K$91)/($K$73-$F$73)</f>
        <v>0.37526513173510562</v>
      </c>
      <c r="H91" s="10">
        <f t="shared" ref="H91:J91" si="116">G91-($F$91-$K$91)/($K$73-$F$73)</f>
        <v>0.38644884880132924</v>
      </c>
      <c r="I91" s="10">
        <f t="shared" si="116"/>
        <v>0.39763256586755286</v>
      </c>
      <c r="J91" s="10">
        <f t="shared" si="116"/>
        <v>0.40881628293377648</v>
      </c>
      <c r="K91" s="24">
        <f>CHOOSE(N91,P91,Q91,R91)</f>
        <v>0.42</v>
      </c>
      <c r="L91" s="35"/>
      <c r="N91" s="59">
        <v>2</v>
      </c>
      <c r="O91" s="57"/>
      <c r="P91" s="58">
        <v>0.38</v>
      </c>
      <c r="Q91" s="58">
        <v>0.42</v>
      </c>
      <c r="R91" s="58">
        <v>0.46</v>
      </c>
    </row>
    <row r="92" spans="1:18" x14ac:dyDescent="0.2">
      <c r="B92" s="8"/>
      <c r="C92" s="23"/>
      <c r="D92" s="23"/>
      <c r="E92" s="23"/>
      <c r="F92" s="23"/>
      <c r="L92" s="11"/>
    </row>
    <row r="93" spans="1:18" x14ac:dyDescent="0.2">
      <c r="B93" t="s">
        <v>41</v>
      </c>
      <c r="C93">
        <f>C95</f>
        <v>448</v>
      </c>
      <c r="D93">
        <f t="shared" ref="D93:F93" si="117">D95</f>
        <v>458</v>
      </c>
      <c r="E93">
        <f t="shared" si="117"/>
        <v>440</v>
      </c>
      <c r="F93">
        <f t="shared" si="117"/>
        <v>481.6</v>
      </c>
      <c r="G93">
        <f>G95+G96</f>
        <v>638.20000000000005</v>
      </c>
      <c r="H93">
        <f t="shared" ref="H93:I93" si="118">H95+H96</f>
        <v>638.20000000000005</v>
      </c>
      <c r="I93">
        <f t="shared" si="118"/>
        <v>638.20000000000005</v>
      </c>
      <c r="J93">
        <f t="shared" ref="J93:K93" si="119">J95+J96</f>
        <v>638.20000000000005</v>
      </c>
      <c r="K93">
        <f t="shared" si="119"/>
        <v>638.20000000000005</v>
      </c>
      <c r="L93" s="34">
        <f>_xlfn.RRI(5,F93,K93)</f>
        <v>5.7923012705955124E-2</v>
      </c>
    </row>
    <row r="94" spans="1:18" x14ac:dyDescent="0.2">
      <c r="B94" s="8" t="s">
        <v>18</v>
      </c>
      <c r="C94" s="10">
        <f>C93/C85</f>
        <v>0.16598740274175622</v>
      </c>
      <c r="D94" s="10">
        <f t="shared" ref="D94:I94" si="120">D93/D85</f>
        <v>0.15958188153310104</v>
      </c>
      <c r="E94" s="10">
        <f t="shared" si="120"/>
        <v>0.14734938548608553</v>
      </c>
      <c r="F94" s="10">
        <f t="shared" si="120"/>
        <v>0.17268457097780487</v>
      </c>
      <c r="G94" s="10">
        <f t="shared" si="120"/>
        <v>0.14464023985454788</v>
      </c>
      <c r="H94" s="10">
        <f t="shared" si="120"/>
        <v>0.12909343109487836</v>
      </c>
      <c r="I94" s="10">
        <f t="shared" si="120"/>
        <v>0.11330829164990289</v>
      </c>
      <c r="J94" s="10">
        <f t="shared" ref="J94:K94" si="121">J93/J85</f>
        <v>9.7862575170774263E-2</v>
      </c>
      <c r="K94" s="10">
        <f t="shared" si="121"/>
        <v>8.3170063085221499E-2</v>
      </c>
      <c r="L94" s="11"/>
    </row>
    <row r="95" spans="1:18" s="8" customFormat="1" x14ac:dyDescent="0.2">
      <c r="B95" s="8" t="s">
        <v>42</v>
      </c>
      <c r="C95" s="8">
        <v>448</v>
      </c>
      <c r="D95" s="8">
        <v>458</v>
      </c>
      <c r="E95" s="8">
        <v>440</v>
      </c>
      <c r="F95" s="8">
        <v>481.6</v>
      </c>
      <c r="G95" s="8">
        <f>F95</f>
        <v>481.6</v>
      </c>
      <c r="H95" s="8">
        <f t="shared" ref="H95:I95" si="122">G95</f>
        <v>481.6</v>
      </c>
      <c r="I95" s="8">
        <f t="shared" si="122"/>
        <v>481.6</v>
      </c>
      <c r="J95" s="8">
        <f t="shared" ref="J95:J96" si="123">I95</f>
        <v>481.6</v>
      </c>
      <c r="K95" s="8">
        <f t="shared" ref="K95:K96" si="124">J95</f>
        <v>481.6</v>
      </c>
      <c r="L95" s="34"/>
    </row>
    <row r="96" spans="1:18" s="8" customFormat="1" x14ac:dyDescent="0.2">
      <c r="B96" s="8" t="s">
        <v>43</v>
      </c>
      <c r="D96" s="27">
        <v>150.9</v>
      </c>
      <c r="E96" s="27">
        <v>156</v>
      </c>
      <c r="F96" s="27">
        <v>156.6</v>
      </c>
      <c r="G96" s="27">
        <f>F96</f>
        <v>156.6</v>
      </c>
      <c r="H96" s="27">
        <f t="shared" ref="H96:I96" si="125">G96</f>
        <v>156.6</v>
      </c>
      <c r="I96" s="27">
        <f t="shared" si="125"/>
        <v>156.6</v>
      </c>
      <c r="J96" s="27">
        <f t="shared" si="123"/>
        <v>156.6</v>
      </c>
      <c r="K96" s="27">
        <f t="shared" si="124"/>
        <v>156.6</v>
      </c>
      <c r="L96" s="35"/>
    </row>
    <row r="97" spans="1:18" x14ac:dyDescent="0.2">
      <c r="L97" s="11"/>
    </row>
    <row r="98" spans="1:18" x14ac:dyDescent="0.2">
      <c r="B98" t="s">
        <v>64</v>
      </c>
      <c r="C98">
        <f>C100</f>
        <v>543.70000000000005</v>
      </c>
      <c r="D98" s="21">
        <f t="shared" ref="D98:F98" si="126">D100</f>
        <v>595.70000000000005</v>
      </c>
      <c r="E98" s="21">
        <f t="shared" si="126"/>
        <v>607.29999999999995</v>
      </c>
      <c r="F98" s="21">
        <f t="shared" si="126"/>
        <v>463.8</v>
      </c>
      <c r="G98" s="21">
        <f>G100+G102</f>
        <v>879.55771772674916</v>
      </c>
      <c r="H98" s="21">
        <f t="shared" ref="H98:K98" si="127">H100+H102</f>
        <v>988.44082684452042</v>
      </c>
      <c r="I98" s="21">
        <f t="shared" si="127"/>
        <v>1127.3087523150052</v>
      </c>
      <c r="J98" s="21">
        <f t="shared" si="127"/>
        <v>1304.0344100165667</v>
      </c>
      <c r="K98" s="21">
        <f t="shared" si="127"/>
        <v>1530.0770053781093</v>
      </c>
      <c r="L98" s="34">
        <f>_xlfn.RRI(5,F98,K98)</f>
        <v>0.26962805020748348</v>
      </c>
    </row>
    <row r="99" spans="1:18" x14ac:dyDescent="0.2">
      <c r="B99" s="8" t="s">
        <v>18</v>
      </c>
      <c r="C99" s="10">
        <f>C98/C85</f>
        <v>0.20144497962208227</v>
      </c>
      <c r="D99" s="10">
        <f t="shared" ref="D99:G99" si="128">D98/D85</f>
        <v>0.20756097560975612</v>
      </c>
      <c r="E99" s="10">
        <f t="shared" si="128"/>
        <v>0.2033756404674994</v>
      </c>
      <c r="F99" s="10">
        <f t="shared" si="128"/>
        <v>0.16630212628634947</v>
      </c>
      <c r="G99" s="10">
        <f t="shared" si="128"/>
        <v>0.19934102046053856</v>
      </c>
      <c r="H99" s="10">
        <f t="shared" ref="H99:K99" si="129">H98/H85</f>
        <v>0.19993923185775256</v>
      </c>
      <c r="I99" s="10">
        <f t="shared" si="129"/>
        <v>0.20014639436978493</v>
      </c>
      <c r="J99" s="10">
        <f t="shared" si="129"/>
        <v>0.1999626535185248</v>
      </c>
      <c r="K99" s="10">
        <f t="shared" si="129"/>
        <v>0.19939924954958341</v>
      </c>
      <c r="L99" s="11"/>
    </row>
    <row r="100" spans="1:18" s="8" customFormat="1" x14ac:dyDescent="0.2">
      <c r="B100" s="8" t="s">
        <v>44</v>
      </c>
      <c r="C100" s="27">
        <v>543.70000000000005</v>
      </c>
      <c r="D100" s="27">
        <v>595.70000000000005</v>
      </c>
      <c r="E100" s="27">
        <v>607.29999999999995</v>
      </c>
      <c r="F100" s="9">
        <v>463.8</v>
      </c>
      <c r="G100" s="27">
        <f>G101*G88</f>
        <v>538.20210962409556</v>
      </c>
      <c r="H100" s="27">
        <f t="shared" ref="H100:K100" si="130">H101*H88</f>
        <v>594.14600754375567</v>
      </c>
      <c r="I100" s="27">
        <f t="shared" si="130"/>
        <v>673.41685439377216</v>
      </c>
      <c r="J100" s="27">
        <f t="shared" si="130"/>
        <v>783.29742947868829</v>
      </c>
      <c r="K100" s="27">
        <f t="shared" si="130"/>
        <v>934.64155164480349</v>
      </c>
      <c r="L100" s="34">
        <f>_xlfn.RRI(5,F100,K100)</f>
        <v>0.15043707196472011</v>
      </c>
    </row>
    <row r="101" spans="1:18" x14ac:dyDescent="0.2">
      <c r="B101" s="8" t="s">
        <v>45</v>
      </c>
      <c r="C101" s="10">
        <f>C100/C88</f>
        <v>0.20144497962208227</v>
      </c>
      <c r="D101" s="10">
        <f>D100/D88</f>
        <v>0.20756097560975612</v>
      </c>
      <c r="E101" s="10">
        <f>E100/E88</f>
        <v>0.2033756404674994</v>
      </c>
      <c r="F101" s="10">
        <f>F100/F88</f>
        <v>0.16630212628634947</v>
      </c>
      <c r="G101" s="26">
        <f>H101</f>
        <v>0.18</v>
      </c>
      <c r="H101" s="26">
        <f t="shared" ref="H101:J101" si="131">I101</f>
        <v>0.18</v>
      </c>
      <c r="I101" s="26">
        <f t="shared" si="131"/>
        <v>0.18</v>
      </c>
      <c r="J101" s="26">
        <f t="shared" si="131"/>
        <v>0.18</v>
      </c>
      <c r="K101" s="24">
        <f>CHOOSE(N101,P101,Q101,R101)</f>
        <v>0.18</v>
      </c>
      <c r="L101" s="11"/>
      <c r="N101" s="59">
        <v>2</v>
      </c>
      <c r="O101" s="57"/>
      <c r="P101" s="58">
        <v>0.21</v>
      </c>
      <c r="Q101" s="58">
        <v>0.18</v>
      </c>
      <c r="R101" s="58">
        <v>0.15</v>
      </c>
    </row>
    <row r="102" spans="1:18" x14ac:dyDescent="0.2">
      <c r="B102" s="8" t="s">
        <v>46</v>
      </c>
      <c r="C102" s="10"/>
      <c r="D102" s="28">
        <v>204.1</v>
      </c>
      <c r="E102" s="28">
        <v>211.1</v>
      </c>
      <c r="F102" s="28">
        <v>325.89999999999998</v>
      </c>
      <c r="G102" s="27">
        <f>G103*G90</f>
        <v>341.35560810265355</v>
      </c>
      <c r="H102" s="27">
        <f t="shared" ref="H102:K102" si="132">H103*H90</f>
        <v>394.29481930076474</v>
      </c>
      <c r="I102" s="27">
        <f t="shared" si="132"/>
        <v>453.89189792123318</v>
      </c>
      <c r="J102" s="27">
        <f t="shared" si="132"/>
        <v>520.73698053787848</v>
      </c>
      <c r="K102" s="27">
        <f t="shared" si="132"/>
        <v>595.43545373330585</v>
      </c>
      <c r="L102" s="34">
        <f>_xlfn.RRI(5,F102,K102)</f>
        <v>0.12810640737735923</v>
      </c>
    </row>
    <row r="103" spans="1:18" x14ac:dyDescent="0.2">
      <c r="B103" s="8" t="s">
        <v>47</v>
      </c>
      <c r="C103" s="10"/>
      <c r="D103" s="10">
        <f>D102/D90</f>
        <v>0.20348953140578266</v>
      </c>
      <c r="E103" s="10">
        <f t="shared" ref="E103:F103" si="133">E102/E90</f>
        <v>0.23885494455759221</v>
      </c>
      <c r="F103" s="10">
        <f t="shared" si="133"/>
        <v>0.26558552685192732</v>
      </c>
      <c r="G103" s="26">
        <f>H103</f>
        <v>0.24</v>
      </c>
      <c r="H103" s="26">
        <f t="shared" ref="H103:J103" si="134">I103</f>
        <v>0.24</v>
      </c>
      <c r="I103" s="26">
        <f t="shared" si="134"/>
        <v>0.24</v>
      </c>
      <c r="J103" s="26">
        <f t="shared" si="134"/>
        <v>0.24</v>
      </c>
      <c r="K103" s="24">
        <f>CHOOSE(N103,P103,Q103,R103)</f>
        <v>0.24</v>
      </c>
      <c r="L103" s="11"/>
      <c r="N103" s="59">
        <v>2</v>
      </c>
      <c r="O103" s="57"/>
      <c r="P103" s="58">
        <v>0.27</v>
      </c>
      <c r="Q103" s="58">
        <v>0.24</v>
      </c>
      <c r="R103" s="58">
        <v>0.21</v>
      </c>
    </row>
    <row r="104" spans="1:18" x14ac:dyDescent="0.2">
      <c r="L104" s="11"/>
    </row>
    <row r="105" spans="1:18" x14ac:dyDescent="0.2">
      <c r="A105" s="45"/>
      <c r="B105" s="49" t="s">
        <v>67</v>
      </c>
      <c r="C105" s="50">
        <f>C85-C93-C98</f>
        <v>1707.3</v>
      </c>
      <c r="D105" s="50">
        <f t="shared" ref="D105:I105" si="135">D85-D93-D98</f>
        <v>1816.3</v>
      </c>
      <c r="E105" s="50">
        <f t="shared" si="135"/>
        <v>1938.8</v>
      </c>
      <c r="F105" s="50">
        <f t="shared" si="135"/>
        <v>1843.5000000000002</v>
      </c>
      <c r="G105" s="50">
        <f t="shared" si="135"/>
        <v>2894.5690361681723</v>
      </c>
      <c r="H105" s="50">
        <f t="shared" si="135"/>
        <v>3317.065406596198</v>
      </c>
      <c r="I105" s="50">
        <f t="shared" si="135"/>
        <v>3866.9122356555345</v>
      </c>
      <c r="J105" s="50">
        <f t="shared" ref="J105:K105" si="136">J85-J93-J98</f>
        <v>4579.1553948839737</v>
      </c>
      <c r="K105" s="50">
        <f t="shared" si="136"/>
        <v>5505.1571165373516</v>
      </c>
      <c r="L105" s="46">
        <f>_xlfn.RRI(5,F105,I105)</f>
        <v>0.15969620153740682</v>
      </c>
    </row>
    <row r="106" spans="1:18" x14ac:dyDescent="0.2">
      <c r="B106" s="8" t="s">
        <v>17</v>
      </c>
      <c r="C106" s="10">
        <f>C105/C76</f>
        <v>0.28455758820235205</v>
      </c>
      <c r="D106" s="10">
        <f>D105/D76</f>
        <v>0.30594437987434098</v>
      </c>
      <c r="E106" s="10">
        <f>E105/E76</f>
        <v>0.30696400440148508</v>
      </c>
      <c r="F106" s="10">
        <f>F105/F76</f>
        <v>0.28318842360748414</v>
      </c>
      <c r="G106" s="10">
        <f t="shared" ref="G106:I106" si="137">G105/G76</f>
        <v>0.27133243748121194</v>
      </c>
      <c r="H106" s="10">
        <f t="shared" si="137"/>
        <v>0.28265811826594012</v>
      </c>
      <c r="I106" s="10">
        <f t="shared" si="137"/>
        <v>0.29475833559546954</v>
      </c>
      <c r="J106" s="10">
        <f t="shared" ref="J106:K106" si="138">J105/J76</f>
        <v>0.3073424158096858</v>
      </c>
      <c r="K106" s="10">
        <f t="shared" si="138"/>
        <v>0.32015961420133882</v>
      </c>
      <c r="L106" s="11"/>
    </row>
    <row r="107" spans="1:18" x14ac:dyDescent="0.2">
      <c r="B107" s="8" t="s">
        <v>15</v>
      </c>
      <c r="C107" s="10"/>
      <c r="D107" s="10">
        <f>D105/C105-1</f>
        <v>6.3843495577812881E-2</v>
      </c>
      <c r="E107" s="10">
        <f t="shared" ref="E107:I107" si="139">E105/D105-1</f>
        <v>6.7444805373561678E-2</v>
      </c>
      <c r="F107" s="10">
        <f t="shared" si="139"/>
        <v>-4.9154115948008892E-2</v>
      </c>
      <c r="G107" s="10">
        <f t="shared" si="139"/>
        <v>0.57014864994205139</v>
      </c>
      <c r="H107" s="10">
        <f t="shared" si="139"/>
        <v>0.14596175290651425</v>
      </c>
      <c r="I107" s="10">
        <f t="shared" si="139"/>
        <v>0.16576303499048595</v>
      </c>
      <c r="J107" s="10">
        <f t="shared" ref="J107" si="140">J105/I105-1</f>
        <v>0.18418911933430437</v>
      </c>
      <c r="K107" s="10">
        <f t="shared" ref="K107" si="141">K105/J105-1</f>
        <v>0.202221073931657</v>
      </c>
      <c r="L107" s="11"/>
    </row>
    <row r="108" spans="1:18" x14ac:dyDescent="0.2">
      <c r="L108" s="11"/>
    </row>
    <row r="109" spans="1:18" x14ac:dyDescent="0.2">
      <c r="B109" t="s">
        <v>20</v>
      </c>
      <c r="C109" s="15">
        <v>693.8</v>
      </c>
      <c r="D109" s="15">
        <v>677.2</v>
      </c>
      <c r="E109" s="15">
        <v>679.7</v>
      </c>
      <c r="F109" s="15">
        <v>930</v>
      </c>
      <c r="G109" s="15">
        <f>F109*(1+G110)</f>
        <v>902.1</v>
      </c>
      <c r="H109" s="15">
        <f t="shared" ref="H109:K109" si="142">G109*(1+H110)</f>
        <v>875.03700000000003</v>
      </c>
      <c r="I109" s="15">
        <f t="shared" si="142"/>
        <v>848.78588999999999</v>
      </c>
      <c r="J109" s="15">
        <f t="shared" si="142"/>
        <v>823.32231330000002</v>
      </c>
      <c r="K109" s="15">
        <f t="shared" si="142"/>
        <v>798.62264390099995</v>
      </c>
      <c r="L109" s="34">
        <f>_xlfn.RRI(5,F109,K109)</f>
        <v>-3.0000000000000027E-2</v>
      </c>
    </row>
    <row r="110" spans="1:18" x14ac:dyDescent="0.2">
      <c r="B110" s="8" t="s">
        <v>15</v>
      </c>
      <c r="D110" s="10">
        <f>D109/C109-1</f>
        <v>-2.3926203516863476E-2</v>
      </c>
      <c r="E110" s="10">
        <f>E109/D109-1</f>
        <v>3.6916715888954954E-3</v>
      </c>
      <c r="F110" s="10">
        <f>F109/E109-1</f>
        <v>0.36825069883772232</v>
      </c>
      <c r="G110" s="26">
        <f>H110</f>
        <v>-0.03</v>
      </c>
      <c r="H110" s="26">
        <f t="shared" ref="H110:J110" si="143">I110</f>
        <v>-0.03</v>
      </c>
      <c r="I110" s="26">
        <f t="shared" si="143"/>
        <v>-0.03</v>
      </c>
      <c r="J110" s="26">
        <f t="shared" si="143"/>
        <v>-0.03</v>
      </c>
      <c r="K110" s="24">
        <f>CHOOSE(N110,P110,Q110,R110)</f>
        <v>-0.03</v>
      </c>
      <c r="L110" s="11"/>
      <c r="N110" s="59">
        <v>2</v>
      </c>
      <c r="O110" s="57"/>
      <c r="P110" s="58">
        <v>-0.02</v>
      </c>
      <c r="Q110" s="58">
        <v>-0.03</v>
      </c>
      <c r="R110" s="58">
        <v>-0.04</v>
      </c>
    </row>
    <row r="111" spans="1:18" x14ac:dyDescent="0.2">
      <c r="L111" s="11"/>
    </row>
    <row r="112" spans="1:18" x14ac:dyDescent="0.2">
      <c r="A112" s="45"/>
      <c r="B112" s="49" t="s">
        <v>19</v>
      </c>
      <c r="C112" s="48">
        <f t="shared" ref="C112:D112" si="144">C105/C109</f>
        <v>2.460795618333814</v>
      </c>
      <c r="D112" s="48">
        <f t="shared" si="144"/>
        <v>2.6820732427643232</v>
      </c>
      <c r="E112" s="48">
        <f>E105/E109</f>
        <v>2.8524348977490068</v>
      </c>
      <c r="F112" s="48">
        <f>F105/F109</f>
        <v>1.9822580645161292</v>
      </c>
      <c r="G112" s="48">
        <f>G105/G109</f>
        <v>3.208700849316231</v>
      </c>
      <c r="H112" s="48">
        <f t="shared" ref="H112:K112" si="145">H105/H109</f>
        <v>3.7907715977680918</v>
      </c>
      <c r="I112" s="48">
        <f t="shared" si="145"/>
        <v>4.5558158791441912</v>
      </c>
      <c r="J112" s="48">
        <f t="shared" si="145"/>
        <v>5.561801643064948</v>
      </c>
      <c r="K112" s="48">
        <f t="shared" si="145"/>
        <v>6.8933145817736046</v>
      </c>
      <c r="L112" s="46">
        <f>_xlfn.RRI(5,F112,I112)</f>
        <v>0.18108510931244881</v>
      </c>
    </row>
    <row r="113" spans="1:18" x14ac:dyDescent="0.2">
      <c r="B113" s="8" t="s">
        <v>15</v>
      </c>
      <c r="D113" s="10">
        <f>D112/C112-1</f>
        <v>8.9921171340647366E-2</v>
      </c>
      <c r="E113" s="10">
        <f t="shared" ref="E113:I113" si="146">E112/D112-1</f>
        <v>6.3518643811940612E-2</v>
      </c>
      <c r="F113" s="10">
        <f t="shared" si="146"/>
        <v>-0.30506457269877607</v>
      </c>
      <c r="G113" s="10">
        <f t="shared" si="146"/>
        <v>0.61870994839386739</v>
      </c>
      <c r="H113" s="10">
        <f t="shared" si="146"/>
        <v>0.18140386897578775</v>
      </c>
      <c r="I113" s="10">
        <f t="shared" si="146"/>
        <v>0.20181756184586219</v>
      </c>
      <c r="J113" s="10">
        <f t="shared" ref="J113" si="147">J112/I112-1</f>
        <v>0.22081352508691166</v>
      </c>
      <c r="K113" s="10">
        <f t="shared" ref="K113" si="148">K112/J112-1</f>
        <v>0.23940316900170822</v>
      </c>
      <c r="L113" s="11"/>
    </row>
    <row r="114" spans="1:18" x14ac:dyDescent="0.2">
      <c r="B114" s="8"/>
      <c r="D114" s="10"/>
      <c r="E114" s="10"/>
      <c r="F114" s="10"/>
      <c r="G114" s="10"/>
      <c r="H114" s="10"/>
      <c r="I114" s="10"/>
      <c r="J114" s="10"/>
      <c r="K114" s="10"/>
      <c r="L114" s="11"/>
    </row>
    <row r="115" spans="1:18" x14ac:dyDescent="0.2">
      <c r="B115" t="s">
        <v>48</v>
      </c>
      <c r="C115" s="5">
        <f>0.13*3+0.11</f>
        <v>0.5</v>
      </c>
      <c r="D115" s="31">
        <f>0.12+0.14+0.15*2</f>
        <v>0.56000000000000005</v>
      </c>
      <c r="E115" s="31">
        <f>0.15*4</f>
        <v>0.6</v>
      </c>
      <c r="F115" s="31">
        <f>0.14*4+0.01</f>
        <v>0.57000000000000006</v>
      </c>
      <c r="G115" s="32">
        <f>G117*G112</f>
        <v>0.67382717835640848</v>
      </c>
      <c r="H115" s="32">
        <f t="shared" ref="H115:K115" si="149">H117*H112</f>
        <v>0.79606203553129928</v>
      </c>
      <c r="I115" s="32">
        <f t="shared" si="149"/>
        <v>0.95672133462028008</v>
      </c>
      <c r="J115" s="32">
        <f t="shared" si="149"/>
        <v>1.167978345043639</v>
      </c>
      <c r="K115" s="32">
        <f t="shared" si="149"/>
        <v>1.4475960621724568</v>
      </c>
      <c r="L115" s="34">
        <f>_xlfn.RRI(5,F115,K115)</f>
        <v>0.20490971897374766</v>
      </c>
    </row>
    <row r="116" spans="1:18" x14ac:dyDescent="0.2">
      <c r="B116" s="8" t="s">
        <v>15</v>
      </c>
      <c r="C116" s="31"/>
      <c r="D116" s="10">
        <f>D115/C115-1</f>
        <v>0.12000000000000011</v>
      </c>
      <c r="E116" s="10">
        <f>E115/D115-1</f>
        <v>7.1428571428571397E-2</v>
      </c>
      <c r="F116" s="10">
        <f>F115/E115-1</f>
        <v>-4.9999999999999822E-2</v>
      </c>
      <c r="G116" s="10">
        <f t="shared" ref="G116" si="150">G115/F115-1</f>
        <v>0.18215294448492703</v>
      </c>
      <c r="H116" s="10">
        <f t="shared" ref="H116" si="151">H115/G115-1</f>
        <v>0.18140386897578797</v>
      </c>
      <c r="I116" s="10">
        <f t="shared" ref="I116" si="152">I115/H115-1</f>
        <v>0.20181756184586197</v>
      </c>
      <c r="J116" s="10">
        <f t="shared" ref="J116" si="153">J115/I115-1</f>
        <v>0.22081352508691166</v>
      </c>
      <c r="K116" s="10">
        <f t="shared" ref="K116" si="154">K115/J115-1</f>
        <v>0.23940316900170822</v>
      </c>
      <c r="L116" s="11"/>
    </row>
    <row r="117" spans="1:18" s="8" customFormat="1" x14ac:dyDescent="0.2">
      <c r="B117" s="8" t="s">
        <v>49</v>
      </c>
      <c r="C117" s="10">
        <f t="shared" ref="C117:D117" si="155">C115/C112</f>
        <v>0.20318631757746147</v>
      </c>
      <c r="D117" s="10">
        <f t="shared" si="155"/>
        <v>0.20879370148103293</v>
      </c>
      <c r="E117" s="10">
        <f>E115/E112</f>
        <v>0.21034660614813286</v>
      </c>
      <c r="F117" s="10">
        <f>F115/F112</f>
        <v>0.28755085435313266</v>
      </c>
      <c r="G117" s="60">
        <f>H117</f>
        <v>0.21</v>
      </c>
      <c r="H117" s="60">
        <f t="shared" ref="H117:J117" si="156">I117</f>
        <v>0.21</v>
      </c>
      <c r="I117" s="60">
        <f t="shared" si="156"/>
        <v>0.21</v>
      </c>
      <c r="J117" s="60">
        <f t="shared" si="156"/>
        <v>0.21</v>
      </c>
      <c r="K117" s="24">
        <f>CHOOSE(N117,P117,Q117,R117)</f>
        <v>0.21</v>
      </c>
      <c r="L117" s="35"/>
      <c r="N117" s="59">
        <v>2</v>
      </c>
      <c r="O117" s="57"/>
      <c r="P117" s="58">
        <v>0.18</v>
      </c>
      <c r="Q117" s="58">
        <v>0.21</v>
      </c>
      <c r="R117" s="58">
        <v>0.24</v>
      </c>
    </row>
    <row r="118" spans="1:18" x14ac:dyDescent="0.2">
      <c r="L118" s="11"/>
    </row>
    <row r="119" spans="1:18" x14ac:dyDescent="0.2">
      <c r="B119" t="s">
        <v>32</v>
      </c>
      <c r="F119" s="36">
        <f>F124/F112</f>
        <v>40.014971521562238</v>
      </c>
      <c r="J119" s="62"/>
      <c r="K119" s="62">
        <f>CHOOSE(N119,P119,Q119,R119)</f>
        <v>20</v>
      </c>
      <c r="L119" s="34"/>
      <c r="N119" s="59">
        <v>2</v>
      </c>
      <c r="O119" s="57"/>
      <c r="P119" s="61">
        <v>18</v>
      </c>
      <c r="Q119" s="61">
        <v>20</v>
      </c>
      <c r="R119" s="61">
        <v>22</v>
      </c>
    </row>
    <row r="120" spans="1:18" x14ac:dyDescent="0.2">
      <c r="F120" s="36"/>
      <c r="I120" s="29"/>
      <c r="J120" s="29"/>
      <c r="K120" s="29"/>
      <c r="L120" s="11"/>
    </row>
    <row r="121" spans="1:18" s="17" customFormat="1" x14ac:dyDescent="0.2">
      <c r="B121" s="20" t="s">
        <v>53</v>
      </c>
      <c r="C121" s="18">
        <f t="shared" ref="C121:E121" si="157">C73</f>
        <v>2019</v>
      </c>
      <c r="D121" s="18">
        <f t="shared" si="157"/>
        <v>2020</v>
      </c>
      <c r="E121" s="18">
        <f t="shared" si="157"/>
        <v>2021</v>
      </c>
      <c r="F121" s="18">
        <f>F73</f>
        <v>2022</v>
      </c>
      <c r="G121" s="19">
        <f t="shared" ref="G121:K121" si="158">G73</f>
        <v>2023</v>
      </c>
      <c r="H121" s="19">
        <f t="shared" si="158"/>
        <v>2024</v>
      </c>
      <c r="I121" s="19">
        <f t="shared" si="158"/>
        <v>2025</v>
      </c>
      <c r="J121" s="19">
        <f t="shared" si="158"/>
        <v>2026</v>
      </c>
      <c r="K121" s="19">
        <f t="shared" si="158"/>
        <v>2027</v>
      </c>
      <c r="L121" s="33" t="s">
        <v>52</v>
      </c>
      <c r="N121" s="37" t="s">
        <v>55</v>
      </c>
      <c r="O121" s="16"/>
      <c r="P121" s="37" t="s">
        <v>58</v>
      </c>
      <c r="Q121" s="37" t="s">
        <v>56</v>
      </c>
      <c r="R121" s="37" t="s">
        <v>57</v>
      </c>
    </row>
    <row r="122" spans="1:18" s="53" customFormat="1" x14ac:dyDescent="0.2">
      <c r="B122" s="44" t="s">
        <v>59</v>
      </c>
      <c r="C122" s="54"/>
      <c r="D122" s="54"/>
      <c r="E122" s="54"/>
      <c r="F122" s="54"/>
      <c r="G122" s="55"/>
      <c r="H122" s="55"/>
      <c r="I122" s="55"/>
      <c r="J122" s="55"/>
      <c r="K122" s="55"/>
      <c r="L122" s="56"/>
    </row>
    <row r="123" spans="1:18" s="53" customFormat="1" x14ac:dyDescent="0.2">
      <c r="C123" s="54"/>
      <c r="D123" s="54"/>
      <c r="E123" s="54"/>
      <c r="F123" s="54"/>
      <c r="G123" s="55"/>
      <c r="H123" s="55"/>
      <c r="I123" s="55"/>
      <c r="J123" s="55"/>
      <c r="K123" s="55"/>
      <c r="L123" s="56"/>
    </row>
    <row r="124" spans="1:18" s="42" customFormat="1" x14ac:dyDescent="0.2">
      <c r="A124" s="45"/>
      <c r="B124" s="45" t="s">
        <v>33</v>
      </c>
      <c r="C124" s="45"/>
      <c r="D124" s="45"/>
      <c r="E124" s="45"/>
      <c r="F124" s="47">
        <v>79.319999999999993</v>
      </c>
      <c r="G124" s="47"/>
      <c r="H124" s="47"/>
      <c r="I124" s="47"/>
      <c r="J124" s="47"/>
      <c r="K124" s="47">
        <f>K119*K112</f>
        <v>137.86629163547209</v>
      </c>
      <c r="L124" s="46">
        <f ca="1">_xlfn.RRI(($K$125-$F$125)/365,F124,K124)</f>
        <v>0.12009952811119007</v>
      </c>
    </row>
    <row r="125" spans="1:18" s="8" customFormat="1" x14ac:dyDescent="0.2">
      <c r="B125" s="8" t="s">
        <v>34</v>
      </c>
      <c r="F125" s="30">
        <f ca="1">TODAY()</f>
        <v>44973</v>
      </c>
      <c r="J125" s="30"/>
      <c r="K125" s="30">
        <v>46752</v>
      </c>
    </row>
    <row r="126" spans="1:18" x14ac:dyDescent="0.2">
      <c r="B126" t="s">
        <v>73</v>
      </c>
      <c r="J126" s="5"/>
      <c r="K126" s="5">
        <f>SUM(G115:K115)</f>
        <v>5.0421849557240837</v>
      </c>
    </row>
    <row r="127" spans="1:18" x14ac:dyDescent="0.2">
      <c r="A127" s="45"/>
      <c r="B127" s="45" t="s">
        <v>50</v>
      </c>
      <c r="C127" s="45"/>
      <c r="D127" s="45"/>
      <c r="E127" s="45"/>
      <c r="F127" s="45"/>
      <c r="G127" s="45"/>
      <c r="H127" s="45"/>
      <c r="I127" s="45"/>
      <c r="J127" s="47"/>
      <c r="K127" s="47">
        <f>K124+K126</f>
        <v>142.90847659119618</v>
      </c>
      <c r="L127" s="46">
        <f ca="1">_xlfn.RRI(($K$125-$F$125)/365,F124,K127)</f>
        <v>0.12838490412763526</v>
      </c>
    </row>
    <row r="128" spans="1:18" x14ac:dyDescent="0.2">
      <c r="B128" t="s">
        <v>51</v>
      </c>
      <c r="J128" s="14"/>
      <c r="K128" s="14">
        <f>K127/F124</f>
        <v>1.8016701536963715</v>
      </c>
    </row>
    <row r="130" spans="2:12" x14ac:dyDescent="0.2">
      <c r="B130" t="s">
        <v>74</v>
      </c>
      <c r="F130" s="3">
        <f>F124*F109</f>
        <v>73767.599999999991</v>
      </c>
      <c r="K130" s="3">
        <f>K124*K109</f>
        <v>110103.14233074704</v>
      </c>
      <c r="L130" s="34">
        <f>_xlfn.RRI(5,F130,K130)</f>
        <v>8.339496263363122E-2</v>
      </c>
    </row>
    <row r="132" spans="2:12" s="16" customFormat="1" x14ac:dyDescent="0.2"/>
  </sheetData>
  <pageMargins left="0.7" right="0.7" top="0.75" bottom="0.75" header="0.3" footer="0.3"/>
  <ignoredErrors>
    <ignoredError sqref="D38:E38 D27:E27 D43:E43 G55 D67:I67 G102 F121 D56:F56 G48 G26:I26 J26:K26 K27 H55:K55 K56 J67:K67 K90 G101 H101:K101 H102:K102 K3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KPI Definition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2023-02-16T03:49:15Z</dcterms:created>
  <dcterms:modified xsi:type="dcterms:W3CDTF">2023-02-16T16:34:15Z</dcterms:modified>
</cp:coreProperties>
</file>