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eremyjiao/Desktop/GitHub/"/>
    </mc:Choice>
  </mc:AlternateContent>
  <xr:revisionPtr revIDLastSave="0" documentId="13_ncr:1_{A619E5F8-740D-4440-9CA0-BE63C65C4F87}" xr6:coauthVersionLast="47" xr6:coauthVersionMax="47" xr10:uidLastSave="{00000000-0000-0000-0000-000000000000}"/>
  <bookViews>
    <workbookView xWindow="19200" yWindow="500" windowWidth="19200" windowHeight="19240" xr2:uid="{2E5D1925-16E4-6343-BB2A-99E1D0854617}"/>
  </bookViews>
  <sheets>
    <sheet name="DCF" sheetId="2" r:id="rId1"/>
    <sheet name="Financials + KPIs" sheetId="6" r:id="rId2"/>
    <sheet name="WACC"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9" i="2" l="1"/>
  <c r="D28" i="2"/>
  <c r="D30" i="2"/>
  <c r="T11" i="2"/>
  <c r="G5" i="2" a="1"/>
  <c r="G5" i="2" s="1"/>
  <c r="T51" i="6"/>
  <c r="U51" i="6"/>
  <c r="V51" i="6"/>
  <c r="W51" i="6"/>
  <c r="S51" i="6"/>
  <c r="H51" i="6"/>
  <c r="I51" i="6"/>
  <c r="J51" i="6"/>
  <c r="K51" i="6"/>
  <c r="L51" i="6"/>
  <c r="G51" i="6"/>
  <c r="M10" i="6"/>
  <c r="L52" i="6"/>
  <c r="T52" i="6"/>
  <c r="U52" i="6"/>
  <c r="V52" i="6"/>
  <c r="W52" i="6"/>
  <c r="T53" i="6"/>
  <c r="U53" i="6"/>
  <c r="V53" i="6"/>
  <c r="W53" i="6"/>
  <c r="T54" i="6"/>
  <c r="U54" i="6"/>
  <c r="V54" i="6"/>
  <c r="W54" i="6"/>
  <c r="T55" i="6"/>
  <c r="U55" i="6"/>
  <c r="V55" i="6"/>
  <c r="W55" i="6"/>
  <c r="S55" i="6"/>
  <c r="S53" i="6"/>
  <c r="S54" i="6"/>
  <c r="S52" i="6"/>
  <c r="H52" i="6"/>
  <c r="I52" i="6"/>
  <c r="K52" i="6"/>
  <c r="H53" i="6"/>
  <c r="I53" i="6"/>
  <c r="K53" i="6"/>
  <c r="L53" i="6"/>
  <c r="H54" i="6"/>
  <c r="I54" i="6"/>
  <c r="K54" i="6"/>
  <c r="L54" i="6"/>
  <c r="H55" i="6"/>
  <c r="I55" i="6"/>
  <c r="K55" i="6"/>
  <c r="L55" i="6"/>
  <c r="G55" i="6"/>
  <c r="G53" i="6"/>
  <c r="G54" i="6"/>
  <c r="G52" i="6"/>
  <c r="L32" i="6"/>
  <c r="L116" i="2" l="1"/>
  <c r="H15" i="6"/>
  <c r="V15" i="6"/>
  <c r="V19" i="6"/>
  <c r="F11" i="6"/>
  <c r="V36" i="6"/>
  <c r="L37" i="6"/>
  <c r="L33" i="6"/>
  <c r="J7" i="6"/>
  <c r="J6" i="6"/>
  <c r="F4" i="6"/>
  <c r="V4" i="6" s="1"/>
  <c r="F3" i="6"/>
  <c r="V3" i="6" s="1"/>
  <c r="S34" i="6"/>
  <c r="L13" i="6"/>
  <c r="G33" i="6"/>
  <c r="L34" i="6"/>
  <c r="C17" i="6"/>
  <c r="C47" i="6" s="1"/>
  <c r="R17" i="6"/>
  <c r="R18" i="6" s="1"/>
  <c r="K34" i="6"/>
  <c r="L30" i="6"/>
  <c r="L31" i="6"/>
  <c r="L35" i="6"/>
  <c r="L36" i="6"/>
  <c r="L38" i="6"/>
  <c r="W18" i="6"/>
  <c r="K13" i="6"/>
  <c r="K14" i="6"/>
  <c r="L14" i="6"/>
  <c r="K15" i="6"/>
  <c r="L15" i="6"/>
  <c r="D108" i="2"/>
  <c r="D106" i="2"/>
  <c r="K129" i="2"/>
  <c r="F82" i="2"/>
  <c r="F143" i="2" s="1"/>
  <c r="G82" i="2"/>
  <c r="G143" i="2" s="1"/>
  <c r="H82" i="2"/>
  <c r="H143" i="2" s="1"/>
  <c r="I82" i="2"/>
  <c r="I143" i="2" s="1"/>
  <c r="J82" i="2"/>
  <c r="J143" i="2" s="1"/>
  <c r="E82" i="2"/>
  <c r="E143" i="2" s="1"/>
  <c r="F79" i="2"/>
  <c r="F142" i="2" s="1"/>
  <c r="G79" i="2"/>
  <c r="G142" i="2" s="1"/>
  <c r="H79" i="2"/>
  <c r="H142" i="2" s="1"/>
  <c r="I79" i="2"/>
  <c r="I142" i="2" s="1"/>
  <c r="J79" i="2"/>
  <c r="J142" i="2" s="1"/>
  <c r="E79" i="2"/>
  <c r="E142" i="2" s="1"/>
  <c r="F75" i="2"/>
  <c r="G75" i="2"/>
  <c r="G134" i="2" s="1"/>
  <c r="G141" i="2" s="1"/>
  <c r="H75" i="2"/>
  <c r="H134" i="2" s="1"/>
  <c r="H141" i="2" s="1"/>
  <c r="I75" i="2"/>
  <c r="I134" i="2" s="1"/>
  <c r="I141" i="2" s="1"/>
  <c r="J75" i="2"/>
  <c r="E75" i="2"/>
  <c r="E134" i="2" s="1"/>
  <c r="E141" i="2" s="1"/>
  <c r="L45" i="2"/>
  <c r="M45" i="2" s="1"/>
  <c r="N45" i="2" s="1"/>
  <c r="O45" i="2" s="1"/>
  <c r="P45" i="2" s="1"/>
  <c r="Q45" i="2" s="1"/>
  <c r="R45" i="2" s="1"/>
  <c r="S45" i="2" s="1"/>
  <c r="T45" i="2" s="1"/>
  <c r="L44" i="2"/>
  <c r="M44" i="2" s="1"/>
  <c r="N44" i="2" s="1"/>
  <c r="O44" i="2" s="1"/>
  <c r="P44" i="2" s="1"/>
  <c r="Q44" i="2" s="1"/>
  <c r="R44" i="2" s="1"/>
  <c r="S44" i="2" s="1"/>
  <c r="T44" i="2" s="1"/>
  <c r="L43" i="2"/>
  <c r="M43" i="2" s="1"/>
  <c r="N43" i="2" s="1"/>
  <c r="O43" i="2" s="1"/>
  <c r="P43" i="2" s="1"/>
  <c r="Q43" i="2" s="1"/>
  <c r="R43" i="2" s="1"/>
  <c r="S43" i="2" s="1"/>
  <c r="T43" i="2" s="1"/>
  <c r="L38" i="2"/>
  <c r="L36" i="2"/>
  <c r="L37" i="2"/>
  <c r="L71" i="2"/>
  <c r="F70" i="2"/>
  <c r="G70" i="2"/>
  <c r="G138" i="2" s="1"/>
  <c r="H70" i="2"/>
  <c r="H138" i="2" s="1"/>
  <c r="I70" i="2"/>
  <c r="I138" i="2" s="1"/>
  <c r="J70" i="2"/>
  <c r="J138" i="2" s="1"/>
  <c r="E70" i="2"/>
  <c r="E138" i="2" s="1"/>
  <c r="U67" i="2"/>
  <c r="U65" i="2"/>
  <c r="O67" i="2"/>
  <c r="O66" i="2"/>
  <c r="O65" i="2"/>
  <c r="R15" i="6"/>
  <c r="E48" i="2" s="1"/>
  <c r="N52" i="2"/>
  <c r="N51" i="2"/>
  <c r="N50" i="2"/>
  <c r="U52" i="2"/>
  <c r="U51" i="2"/>
  <c r="U50" i="2"/>
  <c r="U45" i="2"/>
  <c r="U44" i="2"/>
  <c r="U43" i="2"/>
  <c r="U36" i="2"/>
  <c r="U37" i="2"/>
  <c r="S30" i="6"/>
  <c r="T30" i="6"/>
  <c r="S31" i="6"/>
  <c r="T31" i="6"/>
  <c r="S32" i="6"/>
  <c r="T32" i="6"/>
  <c r="T34" i="6"/>
  <c r="S33" i="6"/>
  <c r="T33" i="6"/>
  <c r="S35" i="6"/>
  <c r="T35" i="6"/>
  <c r="S36" i="6"/>
  <c r="T36" i="6"/>
  <c r="S37" i="6"/>
  <c r="T37" i="6"/>
  <c r="S38" i="6"/>
  <c r="T38" i="6"/>
  <c r="S23" i="6"/>
  <c r="S25" i="6" s="1"/>
  <c r="S27" i="6" s="1"/>
  <c r="R23" i="6"/>
  <c r="R25" i="6" s="1"/>
  <c r="R27" i="6" s="1"/>
  <c r="S17" i="6"/>
  <c r="S18" i="6" s="1"/>
  <c r="R13" i="6"/>
  <c r="E34" i="2" s="1"/>
  <c r="S13" i="6"/>
  <c r="R14" i="6"/>
  <c r="E41" i="2" s="1"/>
  <c r="S14" i="6"/>
  <c r="F41" i="2" s="1"/>
  <c r="S15" i="6"/>
  <c r="F48" i="2" s="1"/>
  <c r="L59" i="2"/>
  <c r="M59" i="2" s="1"/>
  <c r="N59" i="2" s="1"/>
  <c r="O59" i="2" s="1"/>
  <c r="P59" i="2" s="1"/>
  <c r="Q59" i="2" s="1"/>
  <c r="R59" i="2" s="1"/>
  <c r="S59" i="2" s="1"/>
  <c r="T59" i="2" s="1"/>
  <c r="U59" i="2" s="1"/>
  <c r="U129" i="2" s="1"/>
  <c r="J59" i="2"/>
  <c r="I59" i="2" s="1"/>
  <c r="H59" i="2" s="1"/>
  <c r="G59" i="2" s="1"/>
  <c r="F59" i="2" s="1"/>
  <c r="E59" i="2" s="1"/>
  <c r="E129" i="2" s="1"/>
  <c r="L58" i="2"/>
  <c r="M58" i="2" s="1"/>
  <c r="N58" i="2" s="1"/>
  <c r="O58" i="2" s="1"/>
  <c r="P58" i="2" s="1"/>
  <c r="Q58" i="2" s="1"/>
  <c r="R58" i="2" s="1"/>
  <c r="S58" i="2" s="1"/>
  <c r="T58" i="2" s="1"/>
  <c r="U58" i="2" s="1"/>
  <c r="F58" i="2"/>
  <c r="G58" i="2" s="1"/>
  <c r="H58" i="2" s="1"/>
  <c r="I58" i="2" s="1"/>
  <c r="J58" i="2" s="1"/>
  <c r="K17" i="6"/>
  <c r="K45" i="6" s="1"/>
  <c r="H30" i="6"/>
  <c r="I30" i="6"/>
  <c r="H31" i="6"/>
  <c r="I31" i="6"/>
  <c r="H32" i="6"/>
  <c r="I32" i="6"/>
  <c r="H34" i="6"/>
  <c r="I34" i="6"/>
  <c r="H33" i="6"/>
  <c r="I33" i="6"/>
  <c r="H35" i="6"/>
  <c r="I35" i="6"/>
  <c r="H36" i="6"/>
  <c r="I36" i="6"/>
  <c r="H37" i="6"/>
  <c r="I37" i="6"/>
  <c r="H38" i="6"/>
  <c r="I38" i="6"/>
  <c r="G30" i="6"/>
  <c r="Y2" i="6"/>
  <c r="Z2" i="6" s="1"/>
  <c r="AA2" i="6" s="1"/>
  <c r="AB2" i="6" s="1"/>
  <c r="AC2" i="6" s="1"/>
  <c r="AD2" i="6" s="1"/>
  <c r="AE2" i="6" s="1"/>
  <c r="AF2" i="6" s="1"/>
  <c r="AG2" i="6" s="1"/>
  <c r="U2" i="6"/>
  <c r="V2" i="6" s="1"/>
  <c r="W2" i="6" s="1"/>
  <c r="U13" i="6"/>
  <c r="H34" i="2" s="1"/>
  <c r="U14" i="6"/>
  <c r="H41" i="2" s="1"/>
  <c r="U15" i="6"/>
  <c r="T15" i="6"/>
  <c r="T14" i="6"/>
  <c r="T13" i="6"/>
  <c r="C13" i="6"/>
  <c r="D13" i="6"/>
  <c r="E13" i="6"/>
  <c r="G13" i="6"/>
  <c r="H13" i="6"/>
  <c r="I13" i="6"/>
  <c r="C14" i="6"/>
  <c r="D14" i="6"/>
  <c r="E14" i="6"/>
  <c r="G14" i="6"/>
  <c r="H14" i="6"/>
  <c r="I14" i="6"/>
  <c r="C15" i="6"/>
  <c r="D15" i="6"/>
  <c r="E15" i="6"/>
  <c r="G15" i="6"/>
  <c r="I15" i="6"/>
  <c r="AG59" i="6"/>
  <c r="AF59" i="6"/>
  <c r="AE59" i="6"/>
  <c r="AD59" i="6"/>
  <c r="AC59" i="6"/>
  <c r="AB59" i="6"/>
  <c r="AA59" i="6"/>
  <c r="Z59" i="6"/>
  <c r="Y59" i="6"/>
  <c r="O59" i="6"/>
  <c r="N59" i="6"/>
  <c r="M59" i="6"/>
  <c r="W47" i="6"/>
  <c r="W46" i="6"/>
  <c r="W45" i="6"/>
  <c r="V38" i="6"/>
  <c r="U38" i="6"/>
  <c r="K38" i="6"/>
  <c r="G38" i="6"/>
  <c r="V37" i="6"/>
  <c r="U37" i="6"/>
  <c r="K37" i="6"/>
  <c r="G37" i="6"/>
  <c r="U36" i="6"/>
  <c r="K36" i="6"/>
  <c r="G36" i="6"/>
  <c r="V35" i="6"/>
  <c r="U35" i="6"/>
  <c r="K35" i="6"/>
  <c r="G35" i="6"/>
  <c r="V33" i="6"/>
  <c r="U33" i="6"/>
  <c r="K33" i="6"/>
  <c r="V34" i="6"/>
  <c r="U34" i="6"/>
  <c r="G34" i="6"/>
  <c r="U32" i="6"/>
  <c r="K32" i="6"/>
  <c r="G32" i="6"/>
  <c r="U31" i="6"/>
  <c r="K31" i="6"/>
  <c r="G31" i="6"/>
  <c r="U30" i="6"/>
  <c r="K30" i="6"/>
  <c r="J26" i="6"/>
  <c r="F26" i="6"/>
  <c r="J24" i="6"/>
  <c r="F24" i="6"/>
  <c r="J22" i="6"/>
  <c r="F22" i="6"/>
  <c r="J21" i="6"/>
  <c r="F21" i="6"/>
  <c r="J20" i="6"/>
  <c r="U17" i="6"/>
  <c r="U46" i="6" s="1"/>
  <c r="T17" i="6"/>
  <c r="T46" i="6" s="1"/>
  <c r="I17" i="6"/>
  <c r="I45" i="6" s="1"/>
  <c r="H17" i="6"/>
  <c r="H45" i="6" s="1"/>
  <c r="G17" i="6"/>
  <c r="G46" i="6" s="1"/>
  <c r="E17" i="6"/>
  <c r="E47" i="6" s="1"/>
  <c r="D17" i="6"/>
  <c r="D47" i="6" s="1"/>
  <c r="O11" i="6"/>
  <c r="M11" i="6"/>
  <c r="J11" i="6"/>
  <c r="N11" i="6" s="1"/>
  <c r="O10" i="6"/>
  <c r="J10" i="6"/>
  <c r="F10" i="6"/>
  <c r="J9" i="6"/>
  <c r="F9" i="6"/>
  <c r="O8" i="6"/>
  <c r="M8" i="6"/>
  <c r="J8" i="6"/>
  <c r="W8" i="6" s="1"/>
  <c r="W35" i="6" s="1"/>
  <c r="F8" i="6"/>
  <c r="O6" i="6"/>
  <c r="M6" i="6"/>
  <c r="N6" i="6"/>
  <c r="F6" i="6"/>
  <c r="O7" i="6"/>
  <c r="M7" i="6"/>
  <c r="F7" i="6"/>
  <c r="O5" i="6"/>
  <c r="M5" i="6"/>
  <c r="J5" i="6"/>
  <c r="O4" i="6"/>
  <c r="M4" i="6"/>
  <c r="J4" i="6"/>
  <c r="O3" i="6"/>
  <c r="M3" i="6"/>
  <c r="J3" i="6"/>
  <c r="F18" i="4"/>
  <c r="F17" i="4"/>
  <c r="F16" i="4"/>
  <c r="F11" i="4"/>
  <c r="F10" i="4"/>
  <c r="J134" i="2"/>
  <c r="J141" i="2" s="1"/>
  <c r="N121" i="2"/>
  <c r="D111" i="2"/>
  <c r="D107" i="2"/>
  <c r="D105" i="2"/>
  <c r="L91" i="2"/>
  <c r="M91" i="2" s="1"/>
  <c r="N91" i="2" s="1"/>
  <c r="O91" i="2" s="1"/>
  <c r="P91" i="2" s="1"/>
  <c r="Q91" i="2" s="1"/>
  <c r="R91" i="2" s="1"/>
  <c r="S91" i="2" s="1"/>
  <c r="T91" i="2" s="1"/>
  <c r="L90" i="2"/>
  <c r="M90" i="2" s="1"/>
  <c r="N90" i="2" s="1"/>
  <c r="O90" i="2" s="1"/>
  <c r="P90" i="2" s="1"/>
  <c r="Q90" i="2" s="1"/>
  <c r="R90" i="2" s="1"/>
  <c r="S90" i="2" s="1"/>
  <c r="T90" i="2" s="1"/>
  <c r="U38" i="2"/>
  <c r="L33" i="2"/>
  <c r="M33" i="2" s="1"/>
  <c r="N33" i="2" s="1"/>
  <c r="O33" i="2" s="1"/>
  <c r="P33" i="2" s="1"/>
  <c r="Q33" i="2" s="1"/>
  <c r="R33" i="2" s="1"/>
  <c r="S33" i="2" s="1"/>
  <c r="T33" i="2" s="1"/>
  <c r="U33" i="2" s="1"/>
  <c r="J33" i="2"/>
  <c r="I33" i="2" s="1"/>
  <c r="H33" i="2" s="1"/>
  <c r="G33" i="2" s="1"/>
  <c r="F33" i="2" s="1"/>
  <c r="E33" i="2" s="1"/>
  <c r="L32" i="2"/>
  <c r="M32" i="2" s="1"/>
  <c r="N32" i="2" s="1"/>
  <c r="O32" i="2" s="1"/>
  <c r="P32" i="2" s="1"/>
  <c r="Q32" i="2" s="1"/>
  <c r="R32" i="2" s="1"/>
  <c r="S32" i="2" s="1"/>
  <c r="T32" i="2" s="1"/>
  <c r="U32" i="2" s="1"/>
  <c r="F32" i="2"/>
  <c r="G32" i="2" s="1"/>
  <c r="H32" i="2" s="1"/>
  <c r="I32" i="2" s="1"/>
  <c r="J32" i="2" s="1"/>
  <c r="P24" i="2"/>
  <c r="H24" i="2"/>
  <c r="J18" i="2"/>
  <c r="N18" i="2" s="1"/>
  <c r="J12" i="2"/>
  <c r="N12" i="2" s="1"/>
  <c r="M15" i="6" l="1"/>
  <c r="J53" i="6"/>
  <c r="J54" i="6"/>
  <c r="X6" i="6"/>
  <c r="M13" i="6"/>
  <c r="M40" i="6" s="1"/>
  <c r="V30" i="6"/>
  <c r="V14" i="6"/>
  <c r="I41" i="2" s="1"/>
  <c r="V13" i="6"/>
  <c r="I34" i="2" s="1"/>
  <c r="V31" i="6"/>
  <c r="S29" i="6"/>
  <c r="T40" i="6"/>
  <c r="V42" i="6"/>
  <c r="R45" i="6"/>
  <c r="O13" i="6"/>
  <c r="O40" i="6" s="1"/>
  <c r="H42" i="6"/>
  <c r="K40" i="6"/>
  <c r="O15" i="6"/>
  <c r="O42" i="6" s="1"/>
  <c r="C18" i="6"/>
  <c r="M42" i="6"/>
  <c r="I41" i="6"/>
  <c r="G40" i="6"/>
  <c r="U42" i="6"/>
  <c r="D18" i="6"/>
  <c r="I42" i="6"/>
  <c r="G41" i="6"/>
  <c r="S40" i="6"/>
  <c r="H77" i="2"/>
  <c r="H135" i="2" s="1"/>
  <c r="H41" i="6"/>
  <c r="I40" i="6"/>
  <c r="G34" i="2"/>
  <c r="F63" i="2"/>
  <c r="F73" i="2" s="1"/>
  <c r="C44" i="6"/>
  <c r="K18" i="6"/>
  <c r="U18" i="6"/>
  <c r="G42" i="6"/>
  <c r="U40" i="6"/>
  <c r="H48" i="2"/>
  <c r="H55" i="2" s="1"/>
  <c r="K42" i="6"/>
  <c r="I18" i="6"/>
  <c r="T18" i="6"/>
  <c r="E18" i="6"/>
  <c r="S42" i="6"/>
  <c r="F34" i="2"/>
  <c r="F35" i="2" s="1"/>
  <c r="U41" i="6"/>
  <c r="G18" i="6"/>
  <c r="T42" i="6"/>
  <c r="H18" i="6"/>
  <c r="H40" i="6"/>
  <c r="H44" i="6"/>
  <c r="D116" i="2"/>
  <c r="R129" i="2"/>
  <c r="J129" i="2"/>
  <c r="T41" i="6"/>
  <c r="V41" i="6"/>
  <c r="S49" i="6"/>
  <c r="S44" i="6"/>
  <c r="I48" i="2"/>
  <c r="F77" i="2"/>
  <c r="F135" i="2" s="1"/>
  <c r="Q129" i="2"/>
  <c r="I129" i="2"/>
  <c r="S41" i="6"/>
  <c r="R49" i="6"/>
  <c r="R44" i="6"/>
  <c r="R48" i="6"/>
  <c r="P129" i="2"/>
  <c r="H129" i="2"/>
  <c r="K41" i="6"/>
  <c r="S47" i="6"/>
  <c r="G48" i="2"/>
  <c r="G49" i="2" s="1"/>
  <c r="E63" i="2"/>
  <c r="E71" i="2" s="1"/>
  <c r="E139" i="2" s="1"/>
  <c r="O129" i="2"/>
  <c r="G129" i="2"/>
  <c r="F121" i="2"/>
  <c r="G121" i="2" s="1"/>
  <c r="H121" i="2" s="1"/>
  <c r="V40" i="6"/>
  <c r="R47" i="6"/>
  <c r="G41" i="2"/>
  <c r="G42" i="2" s="1"/>
  <c r="N129" i="2"/>
  <c r="F129" i="2"/>
  <c r="S46" i="6"/>
  <c r="M129" i="2"/>
  <c r="R46" i="6"/>
  <c r="S48" i="6"/>
  <c r="T129" i="2"/>
  <c r="L129" i="2"/>
  <c r="T29" i="6"/>
  <c r="S45" i="6"/>
  <c r="S129" i="2"/>
  <c r="I77" i="2"/>
  <c r="I135" i="2" s="1"/>
  <c r="F134" i="2"/>
  <c r="F141" i="2" s="1"/>
  <c r="G77" i="2"/>
  <c r="G135" i="2" s="1"/>
  <c r="M37" i="2"/>
  <c r="F138" i="2"/>
  <c r="O52" i="2"/>
  <c r="P52" i="2" s="1"/>
  <c r="Q52" i="2" s="1"/>
  <c r="R52" i="2" s="1"/>
  <c r="S52" i="2" s="1"/>
  <c r="T52" i="2" s="1"/>
  <c r="E77" i="2"/>
  <c r="E135" i="2" s="1"/>
  <c r="U49" i="2"/>
  <c r="P67" i="2"/>
  <c r="Q67" i="2" s="1"/>
  <c r="R67" i="2" s="1"/>
  <c r="S67" i="2" s="1"/>
  <c r="T67" i="2" s="1"/>
  <c r="J77" i="2"/>
  <c r="J135" i="2" s="1"/>
  <c r="P65" i="2"/>
  <c r="Q65" i="2" s="1"/>
  <c r="R65" i="2" s="1"/>
  <c r="S65" i="2" s="1"/>
  <c r="T65" i="2" s="1"/>
  <c r="P66" i="2"/>
  <c r="Q66" i="2" s="1"/>
  <c r="R66" i="2" s="1"/>
  <c r="S66" i="2" s="1"/>
  <c r="T66" i="2" s="1"/>
  <c r="U66" i="2" s="1"/>
  <c r="U64" i="2" s="1"/>
  <c r="U137" i="2" s="1"/>
  <c r="O51" i="2"/>
  <c r="P51" i="2" s="1"/>
  <c r="Q51" i="2" s="1"/>
  <c r="R51" i="2" s="1"/>
  <c r="S51" i="2" s="1"/>
  <c r="T51" i="2" s="1"/>
  <c r="F9" i="4"/>
  <c r="F13" i="4" s="1"/>
  <c r="F19" i="4" s="1"/>
  <c r="E55" i="2"/>
  <c r="E60" i="2" s="1"/>
  <c r="O50" i="2"/>
  <c r="P50" i="2" s="1"/>
  <c r="Q50" i="2" s="1"/>
  <c r="R50" i="2" s="1"/>
  <c r="S50" i="2" s="1"/>
  <c r="T50" i="2" s="1"/>
  <c r="F20" i="4"/>
  <c r="F49" i="2"/>
  <c r="F14" i="6"/>
  <c r="K47" i="6"/>
  <c r="J13" i="6"/>
  <c r="J14" i="6"/>
  <c r="I47" i="6"/>
  <c r="H47" i="6"/>
  <c r="G47" i="6"/>
  <c r="F13" i="6"/>
  <c r="I42" i="2"/>
  <c r="I35" i="2"/>
  <c r="E23" i="6"/>
  <c r="E48" i="6" s="1"/>
  <c r="J15" i="6"/>
  <c r="J37" i="6"/>
  <c r="I44" i="6"/>
  <c r="G23" i="6"/>
  <c r="G48" i="6" s="1"/>
  <c r="K29" i="6"/>
  <c r="J38" i="6"/>
  <c r="H46" i="6"/>
  <c r="AB32" i="6"/>
  <c r="AC32" i="6" s="1"/>
  <c r="AD32" i="6" s="1"/>
  <c r="AE32" i="6" s="1"/>
  <c r="AA33" i="6"/>
  <c r="AB33" i="6" s="1"/>
  <c r="AC33" i="6" s="1"/>
  <c r="AD33" i="6" s="1"/>
  <c r="AE33" i="6" s="1"/>
  <c r="AF33" i="6" s="1"/>
  <c r="W7" i="6"/>
  <c r="W34" i="6" s="1"/>
  <c r="N7" i="6"/>
  <c r="J34" i="6"/>
  <c r="J31" i="6"/>
  <c r="W4" i="6"/>
  <c r="N4" i="6"/>
  <c r="W9" i="6"/>
  <c r="J36" i="6"/>
  <c r="N3" i="6"/>
  <c r="X3" i="6" s="1"/>
  <c r="J30" i="6"/>
  <c r="J17" i="6"/>
  <c r="W3" i="6"/>
  <c r="W30" i="6" s="1"/>
  <c r="W5" i="6"/>
  <c r="N5" i="6"/>
  <c r="X5" i="6" s="1"/>
  <c r="W6" i="6"/>
  <c r="W33" i="6" s="1"/>
  <c r="N8" i="6"/>
  <c r="W11" i="6"/>
  <c r="W38" i="6" s="1"/>
  <c r="J35" i="6"/>
  <c r="C45" i="6"/>
  <c r="I46" i="6"/>
  <c r="T47" i="6"/>
  <c r="J33" i="6"/>
  <c r="D45" i="6"/>
  <c r="U47" i="6"/>
  <c r="E45" i="6"/>
  <c r="C46" i="6"/>
  <c r="K46" i="6"/>
  <c r="G29" i="6"/>
  <c r="D46" i="6"/>
  <c r="N10" i="6"/>
  <c r="H29" i="6"/>
  <c r="U29" i="6"/>
  <c r="G45" i="6"/>
  <c r="T45" i="6"/>
  <c r="E46" i="6"/>
  <c r="I29" i="6"/>
  <c r="U45" i="6"/>
  <c r="W10" i="6"/>
  <c r="W37" i="6" s="1"/>
  <c r="L139" i="2"/>
  <c r="M71" i="2"/>
  <c r="M121" i="2"/>
  <c r="L121" i="2" s="1"/>
  <c r="O121" i="2"/>
  <c r="P121" i="2" s="1"/>
  <c r="F42" i="2"/>
  <c r="J40" i="6" l="1"/>
  <c r="I49" i="2"/>
  <c r="E25" i="6"/>
  <c r="F55" i="2"/>
  <c r="F60" i="2" s="1"/>
  <c r="F64" i="2" s="1"/>
  <c r="F137" i="2" s="1"/>
  <c r="I55" i="2"/>
  <c r="I60" i="2" s="1"/>
  <c r="G35" i="2"/>
  <c r="N15" i="6"/>
  <c r="N42" i="6" s="1"/>
  <c r="N13" i="6"/>
  <c r="N40" i="6" s="1"/>
  <c r="H49" i="2"/>
  <c r="F136" i="2"/>
  <c r="G55" i="2"/>
  <c r="G60" i="2" s="1"/>
  <c r="G130" i="2" s="1"/>
  <c r="H35" i="2"/>
  <c r="F132" i="2"/>
  <c r="F71" i="2"/>
  <c r="F139" i="2" s="1"/>
  <c r="H42" i="2"/>
  <c r="J41" i="6"/>
  <c r="J46" i="6"/>
  <c r="J18" i="6"/>
  <c r="E136" i="2"/>
  <c r="E132" i="2"/>
  <c r="E73" i="2"/>
  <c r="E86" i="2" s="1"/>
  <c r="E121" i="2"/>
  <c r="D121" i="2" s="1"/>
  <c r="F140" i="2"/>
  <c r="F145" i="2" s="1"/>
  <c r="F86" i="2"/>
  <c r="E83" i="2"/>
  <c r="E64" i="2"/>
  <c r="E137" i="2" s="1"/>
  <c r="E76" i="2"/>
  <c r="E80" i="2"/>
  <c r="E130" i="2"/>
  <c r="F56" i="2"/>
  <c r="F61" i="2" s="1"/>
  <c r="F131" i="2" s="1"/>
  <c r="H60" i="2"/>
  <c r="E44" i="6"/>
  <c r="W36" i="6"/>
  <c r="W14" i="6"/>
  <c r="W15" i="6"/>
  <c r="W31" i="6"/>
  <c r="W13" i="6"/>
  <c r="J47" i="6"/>
  <c r="G44" i="6"/>
  <c r="G25" i="6"/>
  <c r="G49" i="6" s="1"/>
  <c r="I23" i="6"/>
  <c r="X24" i="6"/>
  <c r="Y24" i="6" s="1"/>
  <c r="E49" i="6"/>
  <c r="E27" i="6"/>
  <c r="J45" i="6"/>
  <c r="H23" i="6"/>
  <c r="H48" i="6" s="1"/>
  <c r="D44" i="6"/>
  <c r="D23" i="6"/>
  <c r="D48" i="6" s="1"/>
  <c r="O9" i="6"/>
  <c r="O14" i="6" s="1"/>
  <c r="M139" i="2"/>
  <c r="N71" i="2"/>
  <c r="F84" i="2" l="1"/>
  <c r="F83" i="2"/>
  <c r="F76" i="2"/>
  <c r="F80" i="2"/>
  <c r="F87" i="2"/>
  <c r="I56" i="2"/>
  <c r="I61" i="2" s="1"/>
  <c r="I131" i="2" s="1"/>
  <c r="F130" i="2"/>
  <c r="F133" i="2" s="1"/>
  <c r="H84" i="2"/>
  <c r="G84" i="2"/>
  <c r="G80" i="2"/>
  <c r="G76" i="2"/>
  <c r="H56" i="2"/>
  <c r="H61" i="2" s="1"/>
  <c r="H131" i="2" s="1"/>
  <c r="G83" i="2"/>
  <c r="G56" i="2"/>
  <c r="G61" i="2" s="1"/>
  <c r="G131" i="2" s="1"/>
  <c r="E133" i="2"/>
  <c r="E140" i="2"/>
  <c r="E145" i="2" s="1"/>
  <c r="I25" i="6"/>
  <c r="I49" i="6" s="1"/>
  <c r="I48" i="6"/>
  <c r="W42" i="6"/>
  <c r="J48" i="2"/>
  <c r="J49" i="2" s="1"/>
  <c r="J34" i="2"/>
  <c r="J35" i="2" s="1"/>
  <c r="W40" i="6"/>
  <c r="J41" i="2"/>
  <c r="W41" i="6"/>
  <c r="H130" i="2"/>
  <c r="H83" i="2"/>
  <c r="H76" i="2"/>
  <c r="H80" i="2"/>
  <c r="G27" i="6"/>
  <c r="O41" i="6"/>
  <c r="O17" i="6"/>
  <c r="O29" i="6" s="1"/>
  <c r="I76" i="2"/>
  <c r="I80" i="2"/>
  <c r="I130" i="2"/>
  <c r="I83" i="2"/>
  <c r="I84" i="2"/>
  <c r="Z24" i="6"/>
  <c r="H25" i="6"/>
  <c r="D25" i="6"/>
  <c r="I27" i="6"/>
  <c r="N139" i="2"/>
  <c r="O71" i="2"/>
  <c r="J55" i="2" l="1"/>
  <c r="D49" i="6"/>
  <c r="D27" i="6"/>
  <c r="H49" i="6"/>
  <c r="H27" i="6"/>
  <c r="AA24" i="6"/>
  <c r="AB24" i="6" s="1"/>
  <c r="O139" i="2"/>
  <c r="P71" i="2"/>
  <c r="E87" i="2"/>
  <c r="J42" i="2"/>
  <c r="N37" i="2" l="1"/>
  <c r="O37" i="2" s="1"/>
  <c r="P37" i="2" s="1"/>
  <c r="Q37" i="2" s="1"/>
  <c r="R37" i="2" s="1"/>
  <c r="S37" i="2" s="1"/>
  <c r="T37" i="2" s="1"/>
  <c r="M38" i="2"/>
  <c r="N38" i="2" s="1"/>
  <c r="O38" i="2" s="1"/>
  <c r="P38" i="2" s="1"/>
  <c r="Q38" i="2" s="1"/>
  <c r="R38" i="2" s="1"/>
  <c r="S38" i="2" s="1"/>
  <c r="T38" i="2" s="1"/>
  <c r="M36" i="2"/>
  <c r="N36" i="2" s="1"/>
  <c r="O36" i="2" s="1"/>
  <c r="P36" i="2" s="1"/>
  <c r="Q36" i="2" s="1"/>
  <c r="R36" i="2" s="1"/>
  <c r="S36" i="2" s="1"/>
  <c r="T36" i="2" s="1"/>
  <c r="AC24" i="6"/>
  <c r="P139" i="2"/>
  <c r="Q71" i="2"/>
  <c r="J60" i="2"/>
  <c r="J56" i="2"/>
  <c r="J61" i="2" s="1"/>
  <c r="J131" i="2" s="1"/>
  <c r="N49" i="2" l="1"/>
  <c r="AD24" i="6"/>
  <c r="AE24" i="6" s="1"/>
  <c r="AF24" i="6" s="1"/>
  <c r="AG24" i="6" s="1"/>
  <c r="J130" i="2"/>
  <c r="J83" i="2"/>
  <c r="J76" i="2"/>
  <c r="J84" i="2"/>
  <c r="J80" i="2"/>
  <c r="Q139" i="2"/>
  <c r="R71" i="2"/>
  <c r="L83" i="2" l="1"/>
  <c r="K80" i="2"/>
  <c r="O49" i="2"/>
  <c r="R139" i="2"/>
  <c r="S71" i="2"/>
  <c r="K76" i="2"/>
  <c r="L80" i="2" l="1"/>
  <c r="M80" i="2" s="1"/>
  <c r="M83" i="2"/>
  <c r="P49" i="2"/>
  <c r="L35" i="2"/>
  <c r="L76" i="2"/>
  <c r="S139" i="2"/>
  <c r="T71" i="2"/>
  <c r="L42" i="2"/>
  <c r="N83" i="2" l="1"/>
  <c r="N80" i="2"/>
  <c r="Q49" i="2"/>
  <c r="M76" i="2"/>
  <c r="N76" i="2" s="1"/>
  <c r="M42" i="2"/>
  <c r="T139" i="2"/>
  <c r="U71" i="2"/>
  <c r="U139" i="2" s="1"/>
  <c r="O80" i="2" l="1"/>
  <c r="O83" i="2"/>
  <c r="R49" i="2"/>
  <c r="N42" i="2"/>
  <c r="O76" i="2"/>
  <c r="P83" i="2" l="1"/>
  <c r="Q83" i="2" s="1"/>
  <c r="P80" i="2"/>
  <c r="T49" i="2"/>
  <c r="S49" i="2"/>
  <c r="N35" i="2"/>
  <c r="P76" i="2"/>
  <c r="Q76" i="2" s="1"/>
  <c r="O42" i="2"/>
  <c r="M35" i="2"/>
  <c r="R83" i="2" l="1"/>
  <c r="S83" i="2" s="1"/>
  <c r="Q80" i="2"/>
  <c r="R76" i="2"/>
  <c r="S76" i="2" s="1"/>
  <c r="O35" i="2"/>
  <c r="P42" i="2"/>
  <c r="T83" i="2" l="1"/>
  <c r="U83" i="2" s="1"/>
  <c r="R80" i="2"/>
  <c r="S80" i="2" s="1"/>
  <c r="T76" i="2"/>
  <c r="U76" i="2" s="1"/>
  <c r="Q42" i="2"/>
  <c r="P35" i="2"/>
  <c r="T80" i="2" l="1"/>
  <c r="U80" i="2" s="1"/>
  <c r="R42" i="2"/>
  <c r="Q35" i="2"/>
  <c r="S42" i="2" l="1"/>
  <c r="O64" i="2"/>
  <c r="O137" i="2" s="1"/>
  <c r="R35" i="2"/>
  <c r="S35" i="2" l="1"/>
  <c r="P64" i="2"/>
  <c r="P137" i="2" s="1"/>
  <c r="T42" i="2"/>
  <c r="T35" i="2" l="1"/>
  <c r="U42" i="2"/>
  <c r="Q64" i="2"/>
  <c r="Q137" i="2" s="1"/>
  <c r="R64" i="2" l="1"/>
  <c r="R137" i="2" s="1"/>
  <c r="U35" i="2"/>
  <c r="S64" i="2" l="1"/>
  <c r="S137" i="2" s="1"/>
  <c r="T64" i="2"/>
  <c r="T137" i="2" s="1"/>
  <c r="N9" i="6" l="1"/>
  <c r="Y6" i="6"/>
  <c r="Z6" i="6" s="1"/>
  <c r="AA6" i="6" s="1"/>
  <c r="AB6" i="6" s="1"/>
  <c r="AC6" i="6" s="1"/>
  <c r="AD6" i="6" s="1"/>
  <c r="AE6" i="6" s="1"/>
  <c r="AF6" i="6" s="1"/>
  <c r="AG6" i="6" s="1"/>
  <c r="M9" i="6"/>
  <c r="M14" i="6" s="1"/>
  <c r="X11" i="6"/>
  <c r="X8" i="6"/>
  <c r="X7" i="6"/>
  <c r="X10" i="6"/>
  <c r="X37" i="6" s="1"/>
  <c r="L40" i="6"/>
  <c r="X4" i="6"/>
  <c r="L42" i="6"/>
  <c r="X30" i="6"/>
  <c r="X31" i="6" l="1"/>
  <c r="AB31" i="6" s="1"/>
  <c r="X13" i="6"/>
  <c r="X40" i="6" s="1"/>
  <c r="K37" i="2" s="1"/>
  <c r="N14" i="6"/>
  <c r="N41" i="6" s="1"/>
  <c r="N17" i="6"/>
  <c r="N29" i="6" s="1"/>
  <c r="X9" i="6"/>
  <c r="X36" i="6" s="1"/>
  <c r="Y10" i="6"/>
  <c r="Z10" i="6" s="1"/>
  <c r="AA10" i="6" s="1"/>
  <c r="AB10" i="6" s="1"/>
  <c r="AC10" i="6" s="1"/>
  <c r="AD10" i="6" s="1"/>
  <c r="AE10" i="6" s="1"/>
  <c r="AF10" i="6" s="1"/>
  <c r="AG10" i="6" s="1"/>
  <c r="X33" i="6"/>
  <c r="Y7" i="6"/>
  <c r="Z7" i="6" s="1"/>
  <c r="AA7" i="6" s="1"/>
  <c r="AB7" i="6" s="1"/>
  <c r="AC7" i="6" s="1"/>
  <c r="AD7" i="6" s="1"/>
  <c r="AE7" i="6" s="1"/>
  <c r="AF7" i="6" s="1"/>
  <c r="AG7" i="6" s="1"/>
  <c r="X34" i="6"/>
  <c r="Y8" i="6"/>
  <c r="Z8" i="6" s="1"/>
  <c r="AA8" i="6" s="1"/>
  <c r="AB8" i="6" s="1"/>
  <c r="AC8" i="6" s="1"/>
  <c r="AD8" i="6" s="1"/>
  <c r="AE8" i="6" s="1"/>
  <c r="AF8" i="6" s="1"/>
  <c r="AG8" i="6" s="1"/>
  <c r="X35" i="6"/>
  <c r="L17" i="6"/>
  <c r="Y4" i="6"/>
  <c r="X15" i="6"/>
  <c r="X42" i="6" s="1"/>
  <c r="K51" i="2" s="1"/>
  <c r="K50" i="2" s="1"/>
  <c r="Y5" i="6"/>
  <c r="L41" i="6"/>
  <c r="Y3" i="6"/>
  <c r="X32" i="6"/>
  <c r="Y11" i="6"/>
  <c r="Z11" i="6" s="1"/>
  <c r="AA11" i="6" s="1"/>
  <c r="AB11" i="6" s="1"/>
  <c r="AC11" i="6" s="1"/>
  <c r="AD11" i="6" s="1"/>
  <c r="AE11" i="6" s="1"/>
  <c r="AF11" i="6" s="1"/>
  <c r="AG11" i="6" s="1"/>
  <c r="X38" i="6"/>
  <c r="M41" i="6"/>
  <c r="M17" i="6"/>
  <c r="X14" i="6" l="1"/>
  <c r="X41" i="6" s="1"/>
  <c r="K44" i="2" s="1"/>
  <c r="K43" i="2" s="1"/>
  <c r="L46" i="6"/>
  <c r="L47" i="6"/>
  <c r="L45" i="6"/>
  <c r="L44" i="6"/>
  <c r="Z3" i="6"/>
  <c r="Z5" i="6"/>
  <c r="Y15" i="6"/>
  <c r="Y42" i="6" s="1"/>
  <c r="L50" i="2"/>
  <c r="M50" i="2" s="1"/>
  <c r="L51" i="2"/>
  <c r="M51" i="2" s="1"/>
  <c r="K52" i="2"/>
  <c r="K38" i="2"/>
  <c r="K36" i="2"/>
  <c r="K35" i="2"/>
  <c r="K34" i="2" s="1"/>
  <c r="L34" i="2" s="1"/>
  <c r="M34" i="2" s="1"/>
  <c r="N34" i="2" s="1"/>
  <c r="O34" i="2" s="1"/>
  <c r="P34" i="2" s="1"/>
  <c r="Q34" i="2" s="1"/>
  <c r="R34" i="2" s="1"/>
  <c r="S34" i="2" s="1"/>
  <c r="T34" i="2" s="1"/>
  <c r="U34" i="2" s="1"/>
  <c r="Y36" i="6"/>
  <c r="L29" i="6"/>
  <c r="X17" i="6"/>
  <c r="M29" i="6"/>
  <c r="Z4" i="6"/>
  <c r="Y13" i="6"/>
  <c r="Y40" i="6" s="1"/>
  <c r="M45" i="6" l="1"/>
  <c r="N47" i="6"/>
  <c r="O47" i="6" s="1"/>
  <c r="N46" i="6"/>
  <c r="O46" i="6" s="1"/>
  <c r="K45" i="2"/>
  <c r="K42" i="2" s="1"/>
  <c r="K41" i="2" s="1"/>
  <c r="L41" i="2" s="1"/>
  <c r="K49" i="2"/>
  <c r="K48" i="2" s="1"/>
  <c r="L52" i="2"/>
  <c r="Z13" i="6"/>
  <c r="Z40" i="6" s="1"/>
  <c r="AA4" i="6"/>
  <c r="Y9" i="6"/>
  <c r="Z36" i="6"/>
  <c r="AA36" i="6" s="1"/>
  <c r="AA5" i="6"/>
  <c r="Z15" i="6"/>
  <c r="Z42" i="6" s="1"/>
  <c r="X29" i="6"/>
  <c r="AA3" i="6"/>
  <c r="N45" i="6" l="1"/>
  <c r="O45" i="6" s="1"/>
  <c r="K55" i="2"/>
  <c r="K56" i="2" s="1"/>
  <c r="K61" i="2" s="1"/>
  <c r="K131" i="2" s="1"/>
  <c r="AB3" i="6"/>
  <c r="M41" i="2"/>
  <c r="L49" i="2"/>
  <c r="L48" i="2" s="1"/>
  <c r="M52" i="2"/>
  <c r="M49" i="2" s="1"/>
  <c r="AA15" i="6"/>
  <c r="AA42" i="6" s="1"/>
  <c r="AB5" i="6"/>
  <c r="Y14" i="6"/>
  <c r="Y41" i="6" s="1"/>
  <c r="Z9" i="6"/>
  <c r="Y17" i="6"/>
  <c r="AA13" i="6"/>
  <c r="AA40" i="6" s="1"/>
  <c r="AB4" i="6"/>
  <c r="AB36" i="6"/>
  <c r="K60" i="2" l="1"/>
  <c r="K79" i="2" s="1"/>
  <c r="K142" i="2" s="1"/>
  <c r="M48" i="2"/>
  <c r="N48" i="2" s="1"/>
  <c r="O48" i="2" s="1"/>
  <c r="P48" i="2" s="1"/>
  <c r="Q48" i="2" s="1"/>
  <c r="R48" i="2" s="1"/>
  <c r="S48" i="2" s="1"/>
  <c r="T48" i="2" s="1"/>
  <c r="U48" i="2" s="1"/>
  <c r="Z14" i="6"/>
  <c r="Z41" i="6" s="1"/>
  <c r="AA9" i="6"/>
  <c r="Z17" i="6"/>
  <c r="L55" i="2"/>
  <c r="AC36" i="6"/>
  <c r="AB13" i="6"/>
  <c r="AB40" i="6" s="1"/>
  <c r="AC4" i="6"/>
  <c r="AC3" i="6"/>
  <c r="N41" i="2"/>
  <c r="AC5" i="6"/>
  <c r="AB15" i="6"/>
  <c r="AB42" i="6" s="1"/>
  <c r="Y29" i="6"/>
  <c r="K130" i="2" l="1"/>
  <c r="K75" i="2"/>
  <c r="K134" i="2" s="1"/>
  <c r="K141" i="2" s="1"/>
  <c r="K82" i="2"/>
  <c r="K143" i="2" s="1"/>
  <c r="AD36" i="6"/>
  <c r="AE36" i="6" s="1"/>
  <c r="M55" i="2"/>
  <c r="M60" i="2" s="1"/>
  <c r="Z29" i="6"/>
  <c r="AC15" i="6"/>
  <c r="AC42" i="6" s="1"/>
  <c r="AD5" i="6"/>
  <c r="L60" i="2"/>
  <c r="L56" i="2"/>
  <c r="L61" i="2" s="1"/>
  <c r="L131" i="2" s="1"/>
  <c r="AB9" i="6"/>
  <c r="AA14" i="6"/>
  <c r="AA41" i="6" s="1"/>
  <c r="AA17" i="6"/>
  <c r="AC13" i="6"/>
  <c r="AC40" i="6" s="1"/>
  <c r="AD4" i="6"/>
  <c r="N55" i="2"/>
  <c r="O41" i="2"/>
  <c r="AD3" i="6"/>
  <c r="K77" i="2" l="1"/>
  <c r="K135" i="2" s="1"/>
  <c r="K84" i="2"/>
  <c r="AF36" i="6"/>
  <c r="AG36" i="6" s="1"/>
  <c r="M56" i="2"/>
  <c r="M61" i="2" s="1"/>
  <c r="M131" i="2" s="1"/>
  <c r="AE3" i="6"/>
  <c r="O55" i="2"/>
  <c r="P41" i="2"/>
  <c r="N60" i="2"/>
  <c r="N56" i="2"/>
  <c r="N61" i="2" s="1"/>
  <c r="N131" i="2" s="1"/>
  <c r="AC9" i="6"/>
  <c r="AB14" i="6"/>
  <c r="AB41" i="6" s="1"/>
  <c r="AB17" i="6"/>
  <c r="AD13" i="6"/>
  <c r="AD40" i="6" s="1"/>
  <c r="AE4" i="6"/>
  <c r="AA29" i="6"/>
  <c r="M79" i="2"/>
  <c r="M142" i="2" s="1"/>
  <c r="M75" i="2"/>
  <c r="M82" i="2"/>
  <c r="M130" i="2"/>
  <c r="AD15" i="6"/>
  <c r="AD42" i="6" s="1"/>
  <c r="AE5" i="6"/>
  <c r="L79" i="2"/>
  <c r="L142" i="2" s="1"/>
  <c r="L75" i="2"/>
  <c r="L130" i="2"/>
  <c r="L82" i="2"/>
  <c r="AE13" i="6" l="1"/>
  <c r="AE40" i="6" s="1"/>
  <c r="AF4" i="6"/>
  <c r="Q41" i="2"/>
  <c r="P55" i="2"/>
  <c r="O56" i="2"/>
  <c r="O61" i="2" s="1"/>
  <c r="O131" i="2" s="1"/>
  <c r="O60" i="2"/>
  <c r="N79" i="2"/>
  <c r="N142" i="2" s="1"/>
  <c r="N82" i="2"/>
  <c r="N75" i="2"/>
  <c r="N130" i="2"/>
  <c r="M84" i="2"/>
  <c r="M143" i="2"/>
  <c r="AF3" i="6"/>
  <c r="AE15" i="6"/>
  <c r="AE42" i="6" s="1"/>
  <c r="AF5" i="6"/>
  <c r="L143" i="2"/>
  <c r="L84" i="2"/>
  <c r="AB29" i="6"/>
  <c r="L77" i="2"/>
  <c r="L135" i="2" s="1"/>
  <c r="L134" i="2"/>
  <c r="L141" i="2" s="1"/>
  <c r="M134" i="2"/>
  <c r="M141" i="2" s="1"/>
  <c r="M77" i="2"/>
  <c r="M135" i="2" s="1"/>
  <c r="AD9" i="6"/>
  <c r="AC14" i="6"/>
  <c r="AC41" i="6" s="1"/>
  <c r="AC17" i="6"/>
  <c r="AF15" i="6" l="1"/>
  <c r="AF42" i="6" s="1"/>
  <c r="AG5" i="6"/>
  <c r="AG15" i="6" s="1"/>
  <c r="P60" i="2"/>
  <c r="P56" i="2"/>
  <c r="P61" i="2" s="1"/>
  <c r="P131" i="2" s="1"/>
  <c r="O130" i="2"/>
  <c r="O75" i="2"/>
  <c r="O79" i="2"/>
  <c r="O142" i="2" s="1"/>
  <c r="O63" i="2"/>
  <c r="O82" i="2"/>
  <c r="R41" i="2"/>
  <c r="Q55" i="2"/>
  <c r="AF13" i="6"/>
  <c r="AF40" i="6" s="1"/>
  <c r="AG4" i="6"/>
  <c r="AG13" i="6" s="1"/>
  <c r="N143" i="2"/>
  <c r="N84" i="2"/>
  <c r="AC29" i="6"/>
  <c r="N134" i="2"/>
  <c r="N141" i="2" s="1"/>
  <c r="N77" i="2"/>
  <c r="N135" i="2" s="1"/>
  <c r="AG3" i="6"/>
  <c r="AE9" i="6"/>
  <c r="AD14" i="6"/>
  <c r="AD41" i="6" s="1"/>
  <c r="AD17" i="6"/>
  <c r="AG40" i="6" l="1"/>
  <c r="AG42" i="6"/>
  <c r="P130" i="2"/>
  <c r="P63" i="2"/>
  <c r="P82" i="2"/>
  <c r="P79" i="2"/>
  <c r="P142" i="2" s="1"/>
  <c r="P75" i="2"/>
  <c r="O143" i="2"/>
  <c r="O84" i="2"/>
  <c r="AD29" i="6"/>
  <c r="O136" i="2"/>
  <c r="O70" i="2"/>
  <c r="O138" i="2" s="1"/>
  <c r="Q56" i="2"/>
  <c r="Q61" i="2" s="1"/>
  <c r="Q131" i="2" s="1"/>
  <c r="Q60" i="2"/>
  <c r="S41" i="2"/>
  <c r="R55" i="2"/>
  <c r="AE14" i="6"/>
  <c r="AE41" i="6" s="1"/>
  <c r="AF9" i="6"/>
  <c r="AE17" i="6"/>
  <c r="O132" i="2"/>
  <c r="O133" i="2" s="1"/>
  <c r="O134" i="2"/>
  <c r="O141" i="2" s="1"/>
  <c r="O77" i="2"/>
  <c r="O135" i="2" s="1"/>
  <c r="O73" i="2" l="1"/>
  <c r="O86" i="2" s="1"/>
  <c r="P143" i="2"/>
  <c r="P84" i="2"/>
  <c r="AG9" i="6"/>
  <c r="AF14" i="6"/>
  <c r="AF41" i="6" s="1"/>
  <c r="AF17" i="6"/>
  <c r="P132" i="2"/>
  <c r="P133" i="2" s="1"/>
  <c r="P77" i="2"/>
  <c r="P135" i="2" s="1"/>
  <c r="P134" i="2"/>
  <c r="P141" i="2" s="1"/>
  <c r="P70" i="2"/>
  <c r="P138" i="2" s="1"/>
  <c r="P136" i="2"/>
  <c r="Q75" i="2"/>
  <c r="Q79" i="2"/>
  <c r="Q142" i="2" s="1"/>
  <c r="Q82" i="2"/>
  <c r="Q63" i="2"/>
  <c r="Q130" i="2"/>
  <c r="T41" i="2"/>
  <c r="S55" i="2"/>
  <c r="AE29" i="6"/>
  <c r="R56" i="2"/>
  <c r="R61" i="2" s="1"/>
  <c r="R131" i="2" s="1"/>
  <c r="R60" i="2"/>
  <c r="O140" i="2" l="1"/>
  <c r="O145" i="2" s="1"/>
  <c r="P73" i="2"/>
  <c r="P86" i="2" s="1"/>
  <c r="Q143" i="2"/>
  <c r="Q84" i="2"/>
  <c r="T55" i="2"/>
  <c r="U41" i="2"/>
  <c r="U55" i="2" s="1"/>
  <c r="Q70" i="2"/>
  <c r="Q138" i="2" s="1"/>
  <c r="Q136" i="2"/>
  <c r="S56" i="2"/>
  <c r="S61" i="2" s="1"/>
  <c r="S131" i="2" s="1"/>
  <c r="S60" i="2"/>
  <c r="AF29" i="6"/>
  <c r="AG14" i="6"/>
  <c r="AG41" i="6" s="1"/>
  <c r="AG17" i="6"/>
  <c r="O87" i="2"/>
  <c r="Q77" i="2"/>
  <c r="Q135" i="2" s="1"/>
  <c r="Q134" i="2"/>
  <c r="Q141" i="2" s="1"/>
  <c r="Q132" i="2"/>
  <c r="Q133" i="2" s="1"/>
  <c r="R75" i="2"/>
  <c r="R79" i="2"/>
  <c r="R142" i="2" s="1"/>
  <c r="R130" i="2"/>
  <c r="R82" i="2"/>
  <c r="R63" i="2"/>
  <c r="P140" i="2" l="1"/>
  <c r="P145" i="2" s="1"/>
  <c r="Q73" i="2"/>
  <c r="Q86" i="2" s="1"/>
  <c r="P92" i="2" s="1"/>
  <c r="U56" i="2"/>
  <c r="U61" i="2" s="1"/>
  <c r="U131" i="2" s="1"/>
  <c r="U60" i="2"/>
  <c r="P87" i="2"/>
  <c r="T60" i="2"/>
  <c r="T56" i="2"/>
  <c r="T61" i="2" s="1"/>
  <c r="T131" i="2" s="1"/>
  <c r="R143" i="2"/>
  <c r="R84" i="2"/>
  <c r="AG29" i="6"/>
  <c r="S63" i="2"/>
  <c r="S79" i="2"/>
  <c r="S142" i="2" s="1"/>
  <c r="S130" i="2"/>
  <c r="S82" i="2"/>
  <c r="S75" i="2"/>
  <c r="R136" i="2"/>
  <c r="R70" i="2"/>
  <c r="R138" i="2" s="1"/>
  <c r="R132" i="2"/>
  <c r="R133" i="2" s="1"/>
  <c r="R134" i="2"/>
  <c r="R141" i="2" s="1"/>
  <c r="R77" i="2"/>
  <c r="R135" i="2" s="1"/>
  <c r="O92" i="2"/>
  <c r="Q140" i="2" l="1"/>
  <c r="Q145" i="2" s="1"/>
  <c r="R73" i="2"/>
  <c r="R86" i="2" s="1"/>
  <c r="T79" i="2"/>
  <c r="T142" i="2" s="1"/>
  <c r="T75" i="2"/>
  <c r="T63" i="2"/>
  <c r="T130" i="2"/>
  <c r="T82" i="2"/>
  <c r="P93" i="2"/>
  <c r="S134" i="2"/>
  <c r="S141" i="2" s="1"/>
  <c r="S132" i="2"/>
  <c r="S133" i="2" s="1"/>
  <c r="S77" i="2"/>
  <c r="S135" i="2" s="1"/>
  <c r="S84" i="2"/>
  <c r="S143" i="2"/>
  <c r="Q87" i="2"/>
  <c r="U63" i="2"/>
  <c r="U130" i="2"/>
  <c r="U79" i="2"/>
  <c r="U142" i="2" s="1"/>
  <c r="U82" i="2"/>
  <c r="U75" i="2"/>
  <c r="S70" i="2"/>
  <c r="S138" i="2" s="1"/>
  <c r="S136" i="2"/>
  <c r="R140" i="2" l="1"/>
  <c r="R145" i="2" s="1"/>
  <c r="S73" i="2"/>
  <c r="S86" i="2" s="1"/>
  <c r="U77" i="2"/>
  <c r="U135" i="2" s="1"/>
  <c r="U132" i="2"/>
  <c r="U133" i="2" s="1"/>
  <c r="U134" i="2"/>
  <c r="U141" i="2" s="1"/>
  <c r="U84" i="2"/>
  <c r="U143" i="2"/>
  <c r="T136" i="2"/>
  <c r="T70" i="2"/>
  <c r="T138" i="2" s="1"/>
  <c r="T95" i="2"/>
  <c r="R87" i="2"/>
  <c r="T84" i="2"/>
  <c r="T143" i="2"/>
  <c r="T77" i="2"/>
  <c r="T135" i="2" s="1"/>
  <c r="T132" i="2"/>
  <c r="T133" i="2" s="1"/>
  <c r="T134" i="2"/>
  <c r="T141" i="2" s="1"/>
  <c r="U136" i="2"/>
  <c r="U70" i="2"/>
  <c r="U138" i="2" s="1"/>
  <c r="Q92" i="2"/>
  <c r="Q93" i="2" s="1"/>
  <c r="S140" i="2" l="1"/>
  <c r="S145" i="2" s="1"/>
  <c r="S87" i="2"/>
  <c r="R92" i="2"/>
  <c r="R93" i="2" s="1"/>
  <c r="U73" i="2"/>
  <c r="T73" i="2"/>
  <c r="U86" i="2" l="1"/>
  <c r="U87" i="2" s="1"/>
  <c r="U140" i="2"/>
  <c r="U145" i="2" s="1"/>
  <c r="T86" i="2"/>
  <c r="T140" i="2"/>
  <c r="T145" i="2" s="1"/>
  <c r="T87" i="2" l="1"/>
  <c r="T92" i="2"/>
  <c r="S92" i="2"/>
  <c r="S93" i="2" s="1"/>
  <c r="T93" i="2" l="1"/>
  <c r="K44" i="6"/>
  <c r="K23" i="6"/>
  <c r="K48" i="6" s="1"/>
  <c r="K25" i="6" l="1"/>
  <c r="K27" i="6" s="1"/>
  <c r="C23" i="6"/>
  <c r="C48" i="6" s="1"/>
  <c r="K49" i="6" l="1"/>
  <c r="C25" i="6"/>
  <c r="C27" i="6" s="1"/>
  <c r="J23" i="6"/>
  <c r="J48" i="6" s="1"/>
  <c r="J44" i="6"/>
  <c r="C49" i="6" l="1"/>
  <c r="J25" i="6"/>
  <c r="J49" i="6" s="1"/>
  <c r="M19" i="6"/>
  <c r="J27" i="6" l="1"/>
  <c r="M18" i="6"/>
  <c r="M51" i="6" s="1"/>
  <c r="N19" i="6"/>
  <c r="N18" i="6" l="1"/>
  <c r="N51" i="6" s="1"/>
  <c r="X19" i="6"/>
  <c r="X18" i="6" s="1"/>
  <c r="X51" i="6" s="1"/>
  <c r="L18" i="6"/>
  <c r="O19" i="6"/>
  <c r="L23" i="6"/>
  <c r="O18" i="6" l="1"/>
  <c r="O51" i="6" s="1"/>
  <c r="X44" i="6"/>
  <c r="Y44" i="6" s="1"/>
  <c r="L25" i="6"/>
  <c r="L49" i="6" s="1"/>
  <c r="N49" i="6" s="1"/>
  <c r="O49" i="6" s="1"/>
  <c r="L48" i="6"/>
  <c r="Y19" i="6" l="1"/>
  <c r="Y18" i="6" s="1"/>
  <c r="Z44" i="6"/>
  <c r="L27" i="6"/>
  <c r="Z19" i="6" l="1"/>
  <c r="Z18" i="6" s="1"/>
  <c r="AA44" i="6"/>
  <c r="AB44" i="6" l="1"/>
  <c r="AA19" i="6"/>
  <c r="AA18" i="6" s="1"/>
  <c r="AB19" i="6" l="1"/>
  <c r="AB18" i="6" s="1"/>
  <c r="AC44" i="6"/>
  <c r="AD44" i="6" l="1"/>
  <c r="AC19" i="6"/>
  <c r="AC18" i="6" s="1"/>
  <c r="AE44" i="6" l="1"/>
  <c r="AD19" i="6"/>
  <c r="AD18" i="6" s="1"/>
  <c r="AF44" i="6" l="1"/>
  <c r="AE19" i="6"/>
  <c r="AE18" i="6" s="1"/>
  <c r="AG44" i="6" l="1"/>
  <c r="AG19" i="6" s="1"/>
  <c r="AG18" i="6" s="1"/>
  <c r="AF19" i="6"/>
  <c r="AF18" i="6" s="1"/>
  <c r="U44" i="6" l="1"/>
  <c r="T44" i="6"/>
  <c r="W44" i="6"/>
  <c r="T23" i="6"/>
  <c r="T25" i="6" s="1"/>
  <c r="W23" i="6"/>
  <c r="W25" i="6" s="1"/>
  <c r="U23" i="6"/>
  <c r="U48" i="6" s="1"/>
  <c r="H63" i="2" l="1"/>
  <c r="H64" i="2" s="1"/>
  <c r="H137" i="2" s="1"/>
  <c r="T48" i="6"/>
  <c r="H71" i="2"/>
  <c r="H139" i="2" s="1"/>
  <c r="W48" i="6"/>
  <c r="G63" i="2"/>
  <c r="G136" i="2" s="1"/>
  <c r="J63" i="2"/>
  <c r="J73" i="2" s="1"/>
  <c r="J86" i="2" s="1"/>
  <c r="J87" i="2" s="1"/>
  <c r="T27" i="6"/>
  <c r="T49" i="6"/>
  <c r="W49" i="6"/>
  <c r="W27" i="6"/>
  <c r="H73" i="2"/>
  <c r="U25" i="6"/>
  <c r="H136" i="2"/>
  <c r="H132" i="2"/>
  <c r="H133" i="2" s="1"/>
  <c r="J132" i="2" l="1"/>
  <c r="J133" i="2" s="1"/>
  <c r="J64" i="2"/>
  <c r="J137" i="2" s="1"/>
  <c r="J136" i="2"/>
  <c r="G132" i="2"/>
  <c r="G133" i="2" s="1"/>
  <c r="G73" i="2"/>
  <c r="G71" i="2"/>
  <c r="G139" i="2" s="1"/>
  <c r="J140" i="2"/>
  <c r="J145" i="2" s="1"/>
  <c r="J71" i="2"/>
  <c r="J139" i="2" s="1"/>
  <c r="G64" i="2"/>
  <c r="G137" i="2" s="1"/>
  <c r="U49" i="6"/>
  <c r="U27" i="6"/>
  <c r="H86" i="2"/>
  <c r="H87" i="2" s="1"/>
  <c r="H140" i="2"/>
  <c r="H145" i="2" s="1"/>
  <c r="G86" i="2" l="1"/>
  <c r="G87" i="2" s="1"/>
  <c r="G140" i="2"/>
  <c r="G145" i="2" s="1"/>
  <c r="W32" i="6"/>
  <c r="V32" i="6"/>
  <c r="V17" i="6"/>
  <c r="V29" i="6" s="1"/>
  <c r="F5" i="6"/>
  <c r="F15" i="6" s="1"/>
  <c r="J42" i="6" s="1"/>
  <c r="J32" i="6" l="1"/>
  <c r="W29" i="6"/>
  <c r="V46" i="6"/>
  <c r="V44" i="6"/>
  <c r="F17" i="6"/>
  <c r="V47" i="6"/>
  <c r="V18" i="6"/>
  <c r="F44" i="6" l="1"/>
  <c r="F47" i="6"/>
  <c r="F18" i="6"/>
  <c r="J29" i="6"/>
  <c r="F46" i="6"/>
  <c r="M22" i="6" l="1"/>
  <c r="M54" i="6" s="1"/>
  <c r="M21" i="6"/>
  <c r="M53" i="6" s="1"/>
  <c r="N21" i="6" l="1"/>
  <c r="O21" i="6"/>
  <c r="O53" i="6" s="1"/>
  <c r="N22" i="6"/>
  <c r="N54" i="6" s="1"/>
  <c r="O22" i="6"/>
  <c r="O54" i="6" s="1"/>
  <c r="X21" i="6" l="1"/>
  <c r="X46" i="6" s="1"/>
  <c r="Y46" i="6" s="1"/>
  <c r="Y21" i="6" s="1"/>
  <c r="Y53" i="6" s="1"/>
  <c r="N53" i="6"/>
  <c r="X22" i="6"/>
  <c r="X53" i="6" l="1"/>
  <c r="Z46" i="6"/>
  <c r="Z21" i="6" s="1"/>
  <c r="Z53" i="6" s="1"/>
  <c r="X47" i="6"/>
  <c r="Y47" i="6" s="1"/>
  <c r="Y22" i="6" s="1"/>
  <c r="Y54" i="6" s="1"/>
  <c r="X54" i="6"/>
  <c r="AA46" i="6" l="1"/>
  <c r="Z47" i="6"/>
  <c r="AA47" i="6" s="1"/>
  <c r="Z22" i="6" l="1"/>
  <c r="Z54" i="6" s="1"/>
  <c r="AB46" i="6"/>
  <c r="AA21" i="6"/>
  <c r="AA53" i="6" s="1"/>
  <c r="AB47" i="6"/>
  <c r="AA22" i="6"/>
  <c r="AA54" i="6" s="1"/>
  <c r="AC46" i="6" l="1"/>
  <c r="AB21" i="6"/>
  <c r="AB53" i="6" s="1"/>
  <c r="AB22" i="6"/>
  <c r="AB54" i="6" s="1"/>
  <c r="AC47" i="6"/>
  <c r="AD46" i="6" l="1"/>
  <c r="AC21" i="6"/>
  <c r="AC53" i="6" s="1"/>
  <c r="AC22" i="6"/>
  <c r="AC54" i="6" s="1"/>
  <c r="AD47" i="6"/>
  <c r="AD21" i="6" l="1"/>
  <c r="AD53" i="6" s="1"/>
  <c r="AE46" i="6"/>
  <c r="AE47" i="6"/>
  <c r="AD22" i="6"/>
  <c r="AD54" i="6" s="1"/>
  <c r="AF46" i="6" l="1"/>
  <c r="AE21" i="6"/>
  <c r="AE53" i="6" s="1"/>
  <c r="AF47" i="6"/>
  <c r="AE22" i="6"/>
  <c r="AE54" i="6" s="1"/>
  <c r="AG46" i="6" l="1"/>
  <c r="AG21" i="6" s="1"/>
  <c r="AF21" i="6"/>
  <c r="AF53" i="6" s="1"/>
  <c r="AF22" i="6"/>
  <c r="AF54" i="6" s="1"/>
  <c r="AG47" i="6"/>
  <c r="AG22" i="6" s="1"/>
  <c r="V45" i="6"/>
  <c r="V23" i="6"/>
  <c r="V25" i="6" s="1"/>
  <c r="F20" i="6"/>
  <c r="F23" i="6" l="1"/>
  <c r="J55" i="6"/>
  <c r="J52" i="6"/>
  <c r="AG53" i="6"/>
  <c r="AG54" i="6"/>
  <c r="V48" i="6"/>
  <c r="I63" i="2"/>
  <c r="I73" i="2" s="1"/>
  <c r="I86" i="2" s="1"/>
  <c r="I87" i="2" s="1"/>
  <c r="F45" i="6"/>
  <c r="F48" i="6"/>
  <c r="F25" i="6"/>
  <c r="V49" i="6"/>
  <c r="V27" i="6"/>
  <c r="I140" i="2" l="1"/>
  <c r="I145" i="2" s="1"/>
  <c r="I64" i="2"/>
  <c r="I137" i="2" s="1"/>
  <c r="I132" i="2"/>
  <c r="I133" i="2" s="1"/>
  <c r="I136" i="2"/>
  <c r="I71" i="2"/>
  <c r="I139" i="2" s="1"/>
  <c r="F49" i="6"/>
  <c r="F27" i="6"/>
  <c r="M20" i="6" l="1"/>
  <c r="N20" i="6"/>
  <c r="N23" i="6" l="1"/>
  <c r="N48" i="6" s="1"/>
  <c r="N52" i="6"/>
  <c r="N55" i="6"/>
  <c r="M52" i="6"/>
  <c r="M55" i="6"/>
  <c r="O20" i="6"/>
  <c r="M23" i="6"/>
  <c r="X20" i="6"/>
  <c r="N25" i="6" l="1"/>
  <c r="N26" i="6" s="1"/>
  <c r="N27" i="6" s="1"/>
  <c r="O23" i="6"/>
  <c r="O25" i="6" s="1"/>
  <c r="O52" i="6"/>
  <c r="O55" i="6"/>
  <c r="X45" i="6"/>
  <c r="Y45" i="6" s="1"/>
  <c r="Y20" i="6" s="1"/>
  <c r="X52" i="6"/>
  <c r="X55" i="6"/>
  <c r="M48" i="6"/>
  <c r="M25" i="6"/>
  <c r="X23" i="6"/>
  <c r="X48" i="6" s="1"/>
  <c r="K66" i="2" s="1"/>
  <c r="O48" i="6" l="1"/>
  <c r="Z45" i="6"/>
  <c r="Z20" i="6" s="1"/>
  <c r="Y23" i="6"/>
  <c r="Y25" i="6" s="1"/>
  <c r="Y52" i="6"/>
  <c r="Y55" i="6"/>
  <c r="K64" i="2"/>
  <c r="L66" i="2"/>
  <c r="K65" i="2"/>
  <c r="L65" i="2" s="1"/>
  <c r="M65" i="2" s="1"/>
  <c r="N65" i="2" s="1"/>
  <c r="K67" i="2"/>
  <c r="L67" i="2" s="1"/>
  <c r="M67" i="2" s="1"/>
  <c r="N67" i="2" s="1"/>
  <c r="X25" i="6"/>
  <c r="M26" i="6"/>
  <c r="X26" i="6" s="1"/>
  <c r="O26" i="6"/>
  <c r="O27" i="6" s="1"/>
  <c r="X49" i="6" l="1"/>
  <c r="Y49" i="6" s="1"/>
  <c r="Z49" i="6" s="1"/>
  <c r="AA49" i="6" s="1"/>
  <c r="AB49" i="6" s="1"/>
  <c r="AC49" i="6" s="1"/>
  <c r="AD49" i="6" s="1"/>
  <c r="AE49" i="6" s="1"/>
  <c r="AF49" i="6" s="1"/>
  <c r="AG49" i="6" s="1"/>
  <c r="AA45" i="6"/>
  <c r="M27" i="6"/>
  <c r="X27" i="6" s="1"/>
  <c r="Y48" i="6"/>
  <c r="Z23" i="6"/>
  <c r="Z48" i="6" s="1"/>
  <c r="Z52" i="6"/>
  <c r="Z55" i="6"/>
  <c r="L64" i="2"/>
  <c r="M66" i="2"/>
  <c r="K137" i="2"/>
  <c r="K63" i="2"/>
  <c r="K71" i="2"/>
  <c r="AA20" i="6"/>
  <c r="AB45" i="6"/>
  <c r="Z25" i="6" l="1"/>
  <c r="AA23" i="6"/>
  <c r="AA25" i="6" s="1"/>
  <c r="AA52" i="6"/>
  <c r="AA55" i="6"/>
  <c r="Y26" i="6"/>
  <c r="Y27" i="6" s="1"/>
  <c r="K70" i="2"/>
  <c r="K138" i="2" s="1"/>
  <c r="K136" i="2"/>
  <c r="K132" i="2"/>
  <c r="K133" i="2" s="1"/>
  <c r="F12" i="4"/>
  <c r="F14" i="4" s="1"/>
  <c r="F22" i="4" s="1"/>
  <c r="L23" i="2" s="1"/>
  <c r="K139" i="2"/>
  <c r="Z26" i="6"/>
  <c r="Z27" i="6" s="1"/>
  <c r="M64" i="2"/>
  <c r="N66" i="2"/>
  <c r="N64" i="2" s="1"/>
  <c r="AC45" i="6"/>
  <c r="AB20" i="6"/>
  <c r="L137" i="2"/>
  <c r="L63" i="2"/>
  <c r="AA48" i="6" l="1"/>
  <c r="AB23" i="6"/>
  <c r="AB48" i="6" s="1"/>
  <c r="AB52" i="6"/>
  <c r="AB55" i="6"/>
  <c r="K73" i="2"/>
  <c r="K86" i="2" s="1"/>
  <c r="L70" i="2"/>
  <c r="L138" i="2" s="1"/>
  <c r="L132" i="2"/>
  <c r="L133" i="2" s="1"/>
  <c r="L136" i="2"/>
  <c r="AC20" i="6"/>
  <c r="AD45" i="6"/>
  <c r="M63" i="2"/>
  <c r="M137" i="2"/>
  <c r="C124" i="2"/>
  <c r="P23" i="2"/>
  <c r="K124" i="2"/>
  <c r="H23" i="2"/>
  <c r="AA26" i="6"/>
  <c r="AA27" i="6" s="1"/>
  <c r="N63" i="2"/>
  <c r="N137" i="2"/>
  <c r="AB25" i="6" l="1"/>
  <c r="AC23" i="6"/>
  <c r="AC25" i="6" s="1"/>
  <c r="AC55" i="6"/>
  <c r="AC52" i="6"/>
  <c r="K140" i="2"/>
  <c r="K145" i="2" s="1"/>
  <c r="L73" i="2"/>
  <c r="L86" i="2" s="1"/>
  <c r="L87" i="2" s="1"/>
  <c r="AE45" i="6"/>
  <c r="AD20" i="6"/>
  <c r="K123" i="2"/>
  <c r="K122" i="2" s="1"/>
  <c r="K125" i="2"/>
  <c r="K126" i="2" s="1"/>
  <c r="C125" i="2"/>
  <c r="C126" i="2" s="1"/>
  <c r="C123" i="2"/>
  <c r="C122" i="2" s="1"/>
  <c r="AB26" i="6"/>
  <c r="AB27" i="6" s="1"/>
  <c r="N136" i="2"/>
  <c r="N70" i="2"/>
  <c r="N138" i="2" s="1"/>
  <c r="N132" i="2"/>
  <c r="N133" i="2" s="1"/>
  <c r="K87" i="2"/>
  <c r="L117" i="2"/>
  <c r="K97" i="2"/>
  <c r="D117" i="2"/>
  <c r="M132" i="2"/>
  <c r="M133" i="2" s="1"/>
  <c r="M136" i="2"/>
  <c r="M70" i="2"/>
  <c r="M138" i="2" s="1"/>
  <c r="AC48" i="6" l="1"/>
  <c r="AD23" i="6"/>
  <c r="AD48" i="6" s="1"/>
  <c r="AD55" i="6"/>
  <c r="AD52" i="6"/>
  <c r="L140" i="2"/>
  <c r="L145" i="2" s="1"/>
  <c r="N73" i="2"/>
  <c r="N86" i="2" s="1"/>
  <c r="T22" i="2"/>
  <c r="T97" i="2" s="1"/>
  <c r="T94" i="2" s="1"/>
  <c r="T96" i="2" s="1"/>
  <c r="K98" i="2"/>
  <c r="K92" i="2"/>
  <c r="M73" i="2"/>
  <c r="AC26" i="6"/>
  <c r="AC27" i="6" s="1"/>
  <c r="AF45" i="6"/>
  <c r="AE20" i="6"/>
  <c r="AD25" i="6" l="1"/>
  <c r="AD26" i="6" s="1"/>
  <c r="AD27" i="6" s="1"/>
  <c r="AE23" i="6"/>
  <c r="AE48" i="6" s="1"/>
  <c r="AE52" i="6"/>
  <c r="AE55" i="6"/>
  <c r="N140" i="2"/>
  <c r="N145" i="2" s="1"/>
  <c r="L97" i="2"/>
  <c r="M97" i="2" s="1"/>
  <c r="N97" i="2" s="1"/>
  <c r="O97" i="2" s="1"/>
  <c r="P97" i="2" s="1"/>
  <c r="Q97" i="2" s="1"/>
  <c r="R97" i="2" s="1"/>
  <c r="S97" i="2" s="1"/>
  <c r="K100" i="2"/>
  <c r="AF20" i="6"/>
  <c r="AG45" i="6"/>
  <c r="AG20" i="6" s="1"/>
  <c r="M140" i="2"/>
  <c r="M145" i="2" s="1"/>
  <c r="M86" i="2"/>
  <c r="N92" i="2"/>
  <c r="N87" i="2"/>
  <c r="AE25" i="6" l="1"/>
  <c r="AE26" i="6" s="1"/>
  <c r="AE27" i="6" s="1"/>
  <c r="AG23" i="6"/>
  <c r="AG48" i="6" s="1"/>
  <c r="AG52" i="6"/>
  <c r="AG55" i="6"/>
  <c r="AF23" i="6"/>
  <c r="AF25" i="6" s="1"/>
  <c r="AF52" i="6"/>
  <c r="AF55" i="6"/>
  <c r="L98" i="2"/>
  <c r="M98" i="2" s="1"/>
  <c r="M92" i="2"/>
  <c r="L92" i="2"/>
  <c r="L93" i="2" s="1"/>
  <c r="M87" i="2"/>
  <c r="O93" i="2"/>
  <c r="AG25" i="6" l="1"/>
  <c r="AG26" i="6" s="1"/>
  <c r="AG27" i="6" s="1"/>
  <c r="AF48" i="6"/>
  <c r="AF26" i="6"/>
  <c r="AF27" i="6" s="1"/>
  <c r="M93" i="2"/>
  <c r="L100" i="2"/>
  <c r="N98" i="2"/>
  <c r="M100" i="2"/>
  <c r="N93" i="2"/>
  <c r="O98" i="2" l="1"/>
  <c r="N100" i="2"/>
  <c r="P98" i="2" l="1"/>
  <c r="O100" i="2"/>
  <c r="Q98" i="2" l="1"/>
  <c r="P100" i="2"/>
  <c r="R98" i="2" l="1"/>
  <c r="Q100" i="2"/>
  <c r="R100" i="2" l="1"/>
  <c r="S98" i="2"/>
  <c r="S100" i="2" l="1"/>
  <c r="T98" i="2"/>
  <c r="T101" i="2" l="1"/>
  <c r="T100" i="2"/>
  <c r="D103" i="2" l="1"/>
  <c r="D109" i="2" s="1"/>
  <c r="D112" i="2" s="1"/>
  <c r="K121" i="2" s="1"/>
  <c r="C121" i="2" l="1"/>
  <c r="G4" i="2"/>
  <c r="S4" i="2" s="1"/>
  <c r="S5" i="2" s="1"/>
  <c r="O5"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tc={EA43DE6B-0504-B945-A511-E3D3287746A0}</author>
  </authors>
  <commentList>
    <comment ref="M2" authorId="0" shapeId="0" xr:uid="{EA43DE6B-0504-B945-A511-E3D3287746A0}">
      <text>
        <t xml:space="preserve">[Threaded comment]
Your version of Excel allows you to read this threaded comment; however, any edits to it will get removed if the file is opened in a newer version of Excel. Learn more: https://go.microsoft.com/fwlink/?linkid=870924
Comment:
    Q323 Guidence:
Window OEM &amp; Devices: continue declines to pre-pandemic
Commerical business: Trend continue into Q3
Productivity &amp; Business: Revenue growth 11% - 13%
Office Commerical: Revenue decline in the mid-20s
Office Consumer: Revenue growth low single digits
Intelligent Cloud: Revenue to grow 17% - 19%
More Personal Computing: Revenue of $11.9B - $12.3B
Gaming: revenue decline in the high-single digits
COGS to grow 1% - 2%
OpEx growth 11% - 12%
Other income: $200m
Effective tax rate: 19% - 20%
</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<sst xmlns="http://schemas.openxmlformats.org/spreadsheetml/2006/main" count="280" uniqueCount="177">
  <si>
    <t>Ticker</t>
  </si>
  <si>
    <t>Implied Share Price</t>
  </si>
  <si>
    <t>Base Case</t>
  </si>
  <si>
    <t>Conservative Case</t>
  </si>
  <si>
    <t>10yr Price Target</t>
  </si>
  <si>
    <t>Date</t>
  </si>
  <si>
    <t>Current Share Price</t>
  </si>
  <si>
    <t>Optimistic Case</t>
  </si>
  <si>
    <t>Implied Upside (Downside)</t>
  </si>
  <si>
    <t>10yr CAGR</t>
  </si>
  <si>
    <t>x</t>
  </si>
  <si>
    <t>Assumptions</t>
  </si>
  <si>
    <t>1 = Conservative Case, 2 = Base / Street Case, 3 = Optimistic Case, 4 = Manual</t>
  </si>
  <si>
    <t>Revenue Build Switches</t>
  </si>
  <si>
    <t>Base / Street Case</t>
  </si>
  <si>
    <t>Financials</t>
  </si>
  <si>
    <t>Cash &amp; Securities</t>
  </si>
  <si>
    <t>Non-operating Assets</t>
  </si>
  <si>
    <t>Long &amp; Short Term Debt</t>
  </si>
  <si>
    <t>EBIT</t>
  </si>
  <si>
    <t>Minority Interest</t>
  </si>
  <si>
    <t>Taxes</t>
  </si>
  <si>
    <t>Market Value of Debt</t>
  </si>
  <si>
    <t>Operating Leases</t>
  </si>
  <si>
    <t>Pre-tax Cost of Debt</t>
  </si>
  <si>
    <t>WACC</t>
  </si>
  <si>
    <t>Outstanding Diluted Shares</t>
  </si>
  <si>
    <t>TGR</t>
  </si>
  <si>
    <t>EV/EBITDA</t>
  </si>
  <si>
    <t>Market Numbers</t>
  </si>
  <si>
    <t>Riskfree Rate</t>
  </si>
  <si>
    <t>Valuation Assumptions</t>
  </si>
  <si>
    <t>Manual</t>
  </si>
  <si>
    <t>Mature Market ERP</t>
  </si>
  <si>
    <t>Beta</t>
  </si>
  <si>
    <t>Terminal Cost of Capital</t>
  </si>
  <si>
    <t>Ending</t>
  </si>
  <si>
    <t xml:space="preserve">  % growth</t>
  </si>
  <si>
    <t>Optimstic Case</t>
  </si>
  <si>
    <t>Total Revenue</t>
  </si>
  <si>
    <t>Revenue</t>
  </si>
  <si>
    <t>EBIT (Operating Income)</t>
  </si>
  <si>
    <t xml:space="preserve">  % of sales</t>
  </si>
  <si>
    <t xml:space="preserve">  % of EBIT</t>
  </si>
  <si>
    <t>EBIAT</t>
  </si>
  <si>
    <t>D&amp;A</t>
  </si>
  <si>
    <t xml:space="preserve">  % of CapEx</t>
  </si>
  <si>
    <t>CapEx</t>
  </si>
  <si>
    <t>dNWC</t>
  </si>
  <si>
    <t xml:space="preserve">  % of  change in sales</t>
  </si>
  <si>
    <t>Perpertunity Growth TV</t>
  </si>
  <si>
    <t>EV/EBITDA TV</t>
  </si>
  <si>
    <t>Average TV</t>
  </si>
  <si>
    <t>Discount Factor</t>
  </si>
  <si>
    <t>PV of FCF</t>
  </si>
  <si>
    <t>PV of TV</t>
  </si>
  <si>
    <t>Enterprise Value</t>
  </si>
  <si>
    <t>(+) Cash</t>
  </si>
  <si>
    <t>(+) Non-operating Assets</t>
  </si>
  <si>
    <t>(-) Debt</t>
  </si>
  <si>
    <t>(-) Minority Interest</t>
  </si>
  <si>
    <t xml:space="preserve"> </t>
  </si>
  <si>
    <t>Equity Value</t>
  </si>
  <si>
    <t>Outstanding Diluted Share</t>
  </si>
  <si>
    <t>Sensitivity Analysis</t>
  </si>
  <si>
    <t>TGR Step-up</t>
  </si>
  <si>
    <t>EV/EBITDA Multiple</t>
  </si>
  <si>
    <t>EV/EBITDA Step-up</t>
  </si>
  <si>
    <t>WACC Step-up</t>
  </si>
  <si>
    <t xml:space="preserve">WACC </t>
  </si>
  <si>
    <t>EBITDA</t>
  </si>
  <si>
    <t xml:space="preserve">EBIT </t>
  </si>
  <si>
    <t xml:space="preserve">  (+) D&amp;A</t>
  </si>
  <si>
    <t xml:space="preserve">  (-) CapEx</t>
  </si>
  <si>
    <t xml:space="preserve">  (-) dNWC</t>
  </si>
  <si>
    <t>FCF</t>
  </si>
  <si>
    <t>$ in millions</t>
  </si>
  <si>
    <t>Q121A</t>
  </si>
  <si>
    <t>Q221A</t>
  </si>
  <si>
    <t>Q321A</t>
  </si>
  <si>
    <t>Q421A</t>
  </si>
  <si>
    <t>Q122A</t>
  </si>
  <si>
    <t>Q222A</t>
  </si>
  <si>
    <t>Q322A</t>
  </si>
  <si>
    <t>Q323E</t>
  </si>
  <si>
    <t>Q423E</t>
  </si>
  <si>
    <t>Other</t>
  </si>
  <si>
    <t>Net Income</t>
  </si>
  <si>
    <t>Operating Margin</t>
  </si>
  <si>
    <t>EPS Consensus</t>
  </si>
  <si>
    <t>Revenue Consensus ($ in B)</t>
  </si>
  <si>
    <t>WACC = % of equity x cost of equity + % of debt x cost of debt x (1 - tax rate)</t>
  </si>
  <si>
    <t>Cost of equity = Risk Free Rate + Beta x Market Risk Premium</t>
  </si>
  <si>
    <t>WACC Calculation</t>
  </si>
  <si>
    <t>Market Value of Debt + Operating Leases</t>
  </si>
  <si>
    <t>Tax Rate</t>
  </si>
  <si>
    <t>D/(D+E)</t>
  </si>
  <si>
    <t>After Tax Cost of Debt</t>
  </si>
  <si>
    <t>10 yr Treasury Yield</t>
  </si>
  <si>
    <t>Equity Risk Premium</t>
  </si>
  <si>
    <t>E/(D+E)</t>
  </si>
  <si>
    <t>Cost of Equity</t>
  </si>
  <si>
    <t xml:space="preserve">Server products and cloud services </t>
  </si>
  <si>
    <t xml:space="preserve">Office products and cloud services </t>
  </si>
  <si>
    <t>Windows</t>
  </si>
  <si>
    <t>LinkedIn</t>
  </si>
  <si>
    <t>Gaming</t>
  </si>
  <si>
    <t>Search and news advertising</t>
  </si>
  <si>
    <t>Enterprise services</t>
  </si>
  <si>
    <t>Devices</t>
  </si>
  <si>
    <t>COGS</t>
  </si>
  <si>
    <t>Gross Profit</t>
  </si>
  <si>
    <t>R&amp;D</t>
  </si>
  <si>
    <t>S&amp;M</t>
  </si>
  <si>
    <t>G&amp;A</t>
  </si>
  <si>
    <t>Operating Income</t>
  </si>
  <si>
    <t>Other income</t>
  </si>
  <si>
    <t>Pre-tax Income</t>
  </si>
  <si>
    <t>Income Tax</t>
  </si>
  <si>
    <t>Revenue y/y</t>
  </si>
  <si>
    <t>Server producs and cloud y/y</t>
  </si>
  <si>
    <t>Office product y/y</t>
  </si>
  <si>
    <t>Windows y/y</t>
  </si>
  <si>
    <t>LinkedIn y/y</t>
  </si>
  <si>
    <t>Gaming y/y</t>
  </si>
  <si>
    <t>Search and news ads y/y</t>
  </si>
  <si>
    <t>Enterprise services y/y</t>
  </si>
  <si>
    <t>Devices y/y</t>
  </si>
  <si>
    <t>Gross Margin</t>
  </si>
  <si>
    <t>R&amp;D %</t>
  </si>
  <si>
    <t>S&amp;M %</t>
  </si>
  <si>
    <t>G&amp;A %</t>
  </si>
  <si>
    <t>Tax %</t>
  </si>
  <si>
    <t>Q124E</t>
  </si>
  <si>
    <t>Q422A</t>
  </si>
  <si>
    <t>Q123A</t>
  </si>
  <si>
    <t>MSFT</t>
  </si>
  <si>
    <t>Microsoft DCF</t>
  </si>
  <si>
    <t>Revenue Build (6/30 FYE)</t>
  </si>
  <si>
    <t>DCF (6/30 FYE)</t>
  </si>
  <si>
    <t>Productivity &amp; Business Processes</t>
  </si>
  <si>
    <t>Intelligent Cloud</t>
  </si>
  <si>
    <t>More Personal Computing</t>
  </si>
  <si>
    <t>2018A</t>
  </si>
  <si>
    <t>2017A</t>
  </si>
  <si>
    <t>TTM</t>
  </si>
  <si>
    <t>Productivity &amp; Business Processes y/y</t>
  </si>
  <si>
    <t>Intelligent Cloud y/y</t>
  </si>
  <si>
    <t>More Personal Computing y/y</t>
  </si>
  <si>
    <t>Productivity</t>
  </si>
  <si>
    <t>Productivity - 2023</t>
  </si>
  <si>
    <t>Productivity - 2024</t>
  </si>
  <si>
    <t>Productivity - 2033</t>
  </si>
  <si>
    <t>Intelligent Cloud - 2023</t>
  </si>
  <si>
    <t>Intelligent Cloud - 2033</t>
  </si>
  <si>
    <t>Personal Computing</t>
  </si>
  <si>
    <t>Personal Computing - 2033</t>
  </si>
  <si>
    <t>Personal Computing - 2023</t>
  </si>
  <si>
    <t>Personal Computing - 2026</t>
  </si>
  <si>
    <t>EBIT - 2027</t>
  </si>
  <si>
    <t>EBIT - 2033</t>
  </si>
  <si>
    <t>Intelligent Cloud - 2024</t>
  </si>
  <si>
    <t xml:space="preserve">Unlevered FCF </t>
  </si>
  <si>
    <t>Adjusted Unlevered FCF</t>
  </si>
  <si>
    <t>Summary Financials (6/30 FYE)</t>
  </si>
  <si>
    <t>Recommendation: BUY</t>
  </si>
  <si>
    <t>Q223A</t>
  </si>
  <si>
    <t>Other y/y</t>
  </si>
  <si>
    <t>R&amp;D y/y</t>
  </si>
  <si>
    <t>S&amp;M y/y</t>
  </si>
  <si>
    <t>G&amp;A yly</t>
  </si>
  <si>
    <t>Operating Expense y/y</t>
  </si>
  <si>
    <t>COGS y/y</t>
  </si>
  <si>
    <t>Projection Period (12/31 YE)</t>
  </si>
  <si>
    <t>10yr CAGR: 11.10%</t>
  </si>
  <si>
    <t>Implied Upside: 24.32%</t>
  </si>
  <si>
    <t>Price Target: $297.84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</si>
</sst>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164" formatCode="_([$$-409]* #,##0.00_);_([$$-409]* \(#,##0.00\);_([$$-409]* &quot;-&quot;??_);_(@_)"/>
    <numFmt numFmtId="165" formatCode="0.0%"/>
    <numFmt numFmtId="166" formatCode="0.0\x"/>
    <numFmt numFmtId="167" formatCode="General\A"/>
    <numFmt numFmtId="168" formatCode="General\E"/>
  </numFmts>
  <fonts count="25" x14ac:knownFonts="1">
    <font>
      <sz val="12"/>
      <color theme="1"/>
      <name val="Calibri"/>
      <family val="2"/>
      <scheme val="minor"/>
    </font>
    <font>
      <sz val="12"/>
      <color theme="1"/>
      <name val="Calibri"/>
      <family val="2"/>
      <scheme val="minor"/>
    </font>
    <font>
      <sz val="12"/>
      <color rgb="FF9C5700"/>
      <name val="Calibri"/>
      <family val="2"/>
      <scheme val="minor"/>
    </font>
    <font>
      <sz val="12"/>
      <color rgb="FF3F3F76"/>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9"/>
      <name val="Geneva"/>
      <family val="2"/>
    </font>
    <font>
      <sz val="12"/>
      <name val="Calibri"/>
      <family val="2"/>
      <scheme val="minor"/>
    </font>
    <font>
      <b/>
      <sz val="20"/>
      <name val="Calibri"/>
      <family val="2"/>
      <scheme val="minor"/>
    </font>
    <font>
      <b/>
      <sz val="16"/>
      <name val="Calibri"/>
      <family val="2"/>
      <scheme val="minor"/>
    </font>
    <font>
      <sz val="16"/>
      <name val="Calibri"/>
      <family val="2"/>
      <scheme val="minor"/>
    </font>
    <font>
      <b/>
      <sz val="12"/>
      <name val="Calibri"/>
      <family val="2"/>
      <scheme val="minor"/>
    </font>
    <font>
      <b/>
      <sz val="12"/>
      <color theme="0"/>
      <name val="Calibri (Body)"/>
    </font>
    <font>
      <b/>
      <u/>
      <sz val="12"/>
      <name val="Calibri"/>
      <family val="2"/>
      <scheme val="minor"/>
    </font>
    <font>
      <i/>
      <sz val="12"/>
      <name val="Calibri"/>
      <family val="2"/>
      <scheme val="minor"/>
    </font>
    <font>
      <i/>
      <sz val="12"/>
      <color theme="1"/>
      <name val="Calibri"/>
      <family val="2"/>
      <scheme val="minor"/>
    </font>
    <font>
      <sz val="12"/>
      <color rgb="FF7030A0"/>
      <name val="Calibri"/>
      <family val="2"/>
      <scheme val="minor"/>
    </font>
    <font>
      <b/>
      <sz val="18"/>
      <color theme="0"/>
      <name val="Calibri"/>
      <family val="2"/>
      <scheme val="minor"/>
    </font>
    <font>
      <b/>
      <sz val="16"/>
      <color theme="1"/>
      <name val="Calibri"/>
      <family val="2"/>
      <scheme val="minor"/>
    </font>
    <font>
      <sz val="12"/>
      <color theme="9"/>
      <name val="Calibri"/>
      <family val="2"/>
      <scheme val="minor"/>
    </font>
    <font>
      <i/>
      <sz val="12"/>
      <color theme="9"/>
      <name val="Calibri"/>
      <family val="2"/>
      <scheme val="minor"/>
    </font>
    <font>
      <i/>
      <sz val="12"/>
      <color rgb="FF7030A0"/>
      <name val="Calibri"/>
      <family val="2"/>
      <scheme val="minor"/>
    </font>
    <font>
      <i/>
      <sz val="12"/>
      <color rgb="FFFF0000"/>
      <name val="Calibri"/>
      <family val="2"/>
      <scheme val="minor"/>
    </font>
    <font>
      <sz val="12"/>
      <color rgb="FFFF0000"/>
      <name val="Calibri"/>
      <family val="2"/>
      <scheme val="minor"/>
    </font>
  </fonts>
  <fills count="7">
    <fill>
      <patternFill patternType="none"/>
    </fill>
    <fill>
      <patternFill patternType="gray125"/>
    </fill>
    <fill>
      <patternFill patternType="solid">
        <fgColor rgb="FFFFEB9C"/>
      </patternFill>
    </fill>
    <fill>
      <patternFill patternType="solid">
        <fgColor rgb="FFFFCC99"/>
      </patternFill>
    </fill>
    <fill>
      <patternFill patternType="solid">
        <fgColor theme="8" tint="0.39997558519241921"/>
        <bgColor indexed="65"/>
      </patternFill>
    </fill>
    <fill>
      <patternFill patternType="solid">
        <fgColor rgb="FF002060"/>
        <bgColor indexed="64"/>
      </patternFill>
    </fill>
    <fill>
      <patternFill patternType="solid">
        <fgColor theme="4" tint="0.59999389629810485"/>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right/>
      <top/>
      <bottom style="medium">
        <color indexed="64"/>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rgb="FF7F7F7F"/>
      </right>
      <top style="thin">
        <color rgb="FF7F7F7F"/>
      </top>
      <bottom style="thin">
        <color rgb="FF7F7F7F"/>
      </bottom>
      <diagonal/>
    </border>
  </borders>
  <cellStyleXfs count="9">
    <xf numFmtId="0" fontId="0" fillId="0" borderId="0"/>
    <xf numFmtId="44" fontId="1" fillId="0" borderId="0" applyFont="0" applyFill="0" applyBorder="0" applyAlignment="0" applyProtection="0"/>
    <xf numFmtId="9" fontId="1" fillId="0" borderId="0" applyFont="0" applyFill="0" applyBorder="0" applyAlignment="0" applyProtection="0"/>
    <xf numFmtId="0" fontId="3" fillId="3" borderId="1" applyNumberFormat="0" applyAlignment="0" applyProtection="0"/>
    <xf numFmtId="0" fontId="1" fillId="4" borderId="0" applyNumberFormat="0" applyBorder="0" applyAlignment="0" applyProtection="0"/>
    <xf numFmtId="0" fontId="7" fillId="0" borderId="0"/>
    <xf numFmtId="9" fontId="7" fillId="0" borderId="0" applyFont="0" applyFill="0" applyBorder="0" applyAlignment="0" applyProtection="0"/>
    <xf numFmtId="0" fontId="1" fillId="0" borderId="0"/>
    <xf numFmtId="9" fontId="1" fillId="0" borderId="0" applyFont="0" applyFill="0" applyBorder="0" applyAlignment="0" applyProtection="0"/>
  </cellStyleXfs>
  <cellXfs count="156">
    <xf numFmtId="0" fontId="0" fillId="0" borderId="0" xfId="0"/>
    <xf numFmtId="0" fontId="3" fillId="3" borderId="1" xfId="3" applyAlignment="1" applyProtection="1">
      <alignment horizontal="center"/>
      <protection locked="0"/>
    </xf>
    <xf numFmtId="9" fontId="3" fillId="3" borderId="1" xfId="6" applyFont="1" applyFill="1" applyBorder="1" applyAlignment="1" applyProtection="1">
      <alignment horizontal="center"/>
      <protection locked="0"/>
    </xf>
    <xf numFmtId="37" fontId="3" fillId="3" borderId="1" xfId="6" applyNumberFormat="1" applyFont="1" applyFill="1" applyBorder="1" applyAlignment="1" applyProtection="1">
      <alignment horizontal="center"/>
      <protection locked="0"/>
    </xf>
    <xf numFmtId="165" fontId="3" fillId="3" borderId="1" xfId="6" applyNumberFormat="1" applyFont="1" applyFill="1" applyBorder="1" applyAlignment="1" applyProtection="1">
      <alignment horizontal="center"/>
      <protection locked="0"/>
    </xf>
    <xf numFmtId="165" fontId="3" fillId="3" borderId="1" xfId="3" applyNumberFormat="1" applyAlignment="1" applyProtection="1">
      <alignment horizontal="center"/>
      <protection locked="0"/>
    </xf>
    <xf numFmtId="166" fontId="3" fillId="3" borderId="1" xfId="3" applyNumberFormat="1" applyAlignment="1" applyProtection="1">
      <alignment horizontal="center"/>
      <protection locked="0"/>
    </xf>
    <xf numFmtId="0" fontId="3" fillId="3" borderId="1" xfId="6" applyNumberFormat="1" applyFont="1" applyFill="1" applyBorder="1" applyAlignment="1" applyProtection="1">
      <alignment horizontal="center"/>
      <protection locked="0"/>
    </xf>
    <xf numFmtId="9" fontId="3" fillId="3" borderId="1" xfId="3" applyNumberFormat="1" applyProtection="1">
      <protection locked="0"/>
    </xf>
    <xf numFmtId="0" fontId="1" fillId="0" borderId="0" xfId="5" applyFont="1"/>
    <xf numFmtId="166" fontId="3" fillId="3" borderId="1" xfId="6" applyNumberFormat="1" applyFont="1" applyFill="1" applyBorder="1" applyAlignment="1" applyProtection="1">
      <alignment horizontal="center"/>
      <protection locked="0"/>
    </xf>
    <xf numFmtId="0" fontId="1" fillId="0" borderId="0" xfId="5" applyFont="1" applyAlignment="1">
      <alignment horizontal="left"/>
    </xf>
    <xf numFmtId="0" fontId="1" fillId="0" borderId="0" xfId="5" applyFont="1" applyAlignment="1">
      <alignment horizontal="right"/>
    </xf>
    <xf numFmtId="0" fontId="1" fillId="0" borderId="2" xfId="7" applyBorder="1"/>
    <xf numFmtId="0" fontId="19" fillId="0" borderId="2" xfId="7" applyFont="1" applyBorder="1"/>
    <xf numFmtId="0" fontId="1" fillId="0" borderId="0" xfId="7"/>
    <xf numFmtId="3" fontId="1" fillId="0" borderId="0" xfId="7" applyNumberFormat="1"/>
    <xf numFmtId="38" fontId="1" fillId="0" borderId="0" xfId="7" applyNumberFormat="1"/>
    <xf numFmtId="10" fontId="1" fillId="0" borderId="0" xfId="8" applyNumberFormat="1" applyFont="1"/>
    <xf numFmtId="0" fontId="1" fillId="0" borderId="8" xfId="7" applyBorder="1"/>
    <xf numFmtId="10" fontId="1" fillId="0" borderId="8" xfId="8" applyNumberFormat="1" applyFont="1" applyBorder="1"/>
    <xf numFmtId="0" fontId="5" fillId="0" borderId="6" xfId="7" applyFont="1" applyBorder="1"/>
    <xf numFmtId="0" fontId="1" fillId="0" borderId="6" xfId="7" applyBorder="1"/>
    <xf numFmtId="10" fontId="1" fillId="0" borderId="6" xfId="7" applyNumberFormat="1" applyBorder="1"/>
    <xf numFmtId="10" fontId="1" fillId="0" borderId="0" xfId="7" applyNumberFormat="1"/>
    <xf numFmtId="0" fontId="5" fillId="0" borderId="0" xfId="7" applyFont="1"/>
    <xf numFmtId="0" fontId="5" fillId="0" borderId="6" xfId="7" applyFont="1" applyBorder="1" applyAlignment="1">
      <alignment vertical="center"/>
    </xf>
    <xf numFmtId="0" fontId="1" fillId="0" borderId="6" xfId="7" applyBorder="1" applyAlignment="1">
      <alignment vertical="center"/>
    </xf>
    <xf numFmtId="10" fontId="5" fillId="0" borderId="6" xfId="7" applyNumberFormat="1" applyFont="1" applyBorder="1" applyAlignment="1">
      <alignment vertical="center"/>
    </xf>
    <xf numFmtId="9" fontId="0" fillId="0" borderId="0" xfId="2" applyFont="1"/>
    <xf numFmtId="2" fontId="0" fillId="0" borderId="0" xfId="0" applyNumberFormat="1"/>
    <xf numFmtId="165" fontId="0" fillId="0" borderId="0" xfId="2" applyNumberFormat="1" applyFont="1"/>
    <xf numFmtId="0" fontId="0" fillId="0" borderId="0" xfId="0" applyAlignment="1">
      <alignment horizontal="right"/>
    </xf>
    <xf numFmtId="14" fontId="0" fillId="0" borderId="0" xfId="0" applyNumberFormat="1" applyAlignment="1">
      <alignment horizontal="right"/>
    </xf>
    <xf numFmtId="37" fontId="0" fillId="0" borderId="0" xfId="0" applyNumberFormat="1"/>
    <xf numFmtId="9" fontId="5" fillId="0" borderId="0" xfId="2" applyFont="1"/>
    <xf numFmtId="9" fontId="1" fillId="0" borderId="0" xfId="2" applyFont="1"/>
    <xf numFmtId="9" fontId="1" fillId="0" borderId="0" xfId="4" applyNumberFormat="1" applyFill="1"/>
    <xf numFmtId="3" fontId="0" fillId="0" borderId="0" xfId="0" applyNumberFormat="1"/>
    <xf numFmtId="165" fontId="0" fillId="0" borderId="0" xfId="2" applyNumberFormat="1" applyFont="1" applyBorder="1"/>
    <xf numFmtId="0" fontId="5" fillId="0" borderId="0" xfId="0" applyFont="1"/>
    <xf numFmtId="37" fontId="5" fillId="0" borderId="0" xfId="0" applyNumberFormat="1" applyFont="1"/>
    <xf numFmtId="167" fontId="0" fillId="0" borderId="0" xfId="0" applyNumberFormat="1"/>
    <xf numFmtId="168" fontId="0" fillId="0" borderId="0" xfId="0" applyNumberFormat="1"/>
    <xf numFmtId="9" fontId="3" fillId="3" borderId="10" xfId="3" applyNumberFormat="1" applyBorder="1" applyProtection="1">
      <protection locked="0"/>
    </xf>
    <xf numFmtId="0" fontId="8" fillId="0" borderId="2" xfId="5" applyFont="1" applyBorder="1"/>
    <xf numFmtId="0" fontId="9" fillId="0" borderId="2" xfId="5" applyFont="1" applyBorder="1"/>
    <xf numFmtId="0" fontId="10" fillId="0" borderId="2" xfId="5" applyFont="1" applyBorder="1"/>
    <xf numFmtId="0" fontId="11" fillId="0" borderId="2" xfId="5" applyFont="1" applyBorder="1"/>
    <xf numFmtId="0" fontId="8" fillId="0" borderId="0" xfId="5" applyFont="1"/>
    <xf numFmtId="0" fontId="3" fillId="3" borderId="1" xfId="3" applyAlignment="1" applyProtection="1">
      <alignment horizontal="center"/>
    </xf>
    <xf numFmtId="44" fontId="3" fillId="3" borderId="1" xfId="1" applyFont="1" applyFill="1" applyBorder="1" applyProtection="1"/>
    <xf numFmtId="44" fontId="3" fillId="3" borderId="1" xfId="3" applyNumberFormat="1" applyProtection="1"/>
    <xf numFmtId="14" fontId="3" fillId="3" borderId="1" xfId="3" applyNumberFormat="1" applyAlignment="1" applyProtection="1">
      <alignment horizontal="center"/>
    </xf>
    <xf numFmtId="164" fontId="3" fillId="3" borderId="1" xfId="3" applyNumberFormat="1" applyProtection="1"/>
    <xf numFmtId="10" fontId="3" fillId="3" borderId="1" xfId="6" applyNumberFormat="1" applyFont="1" applyFill="1" applyBorder="1" applyAlignment="1" applyProtection="1">
      <alignment horizontal="center"/>
    </xf>
    <xf numFmtId="0" fontId="4" fillId="5" borderId="0" xfId="5" applyFont="1" applyFill="1"/>
    <xf numFmtId="0" fontId="12" fillId="5" borderId="0" xfId="5" applyFont="1" applyFill="1"/>
    <xf numFmtId="0" fontId="13" fillId="5" borderId="0" xfId="5" applyFont="1" applyFill="1"/>
    <xf numFmtId="0" fontId="8" fillId="5" borderId="0" xfId="5" applyFont="1" applyFill="1"/>
    <xf numFmtId="0" fontId="14" fillId="0" borderId="0" xfId="5" applyFont="1"/>
    <xf numFmtId="0" fontId="7" fillId="0" borderId="0" xfId="5"/>
    <xf numFmtId="0" fontId="7" fillId="0" borderId="0" xfId="5" applyAlignment="1">
      <alignment horizontal="center"/>
    </xf>
    <xf numFmtId="0" fontId="8" fillId="0" borderId="0" xfId="5" applyFont="1" applyAlignment="1">
      <alignment horizontal="center"/>
    </xf>
    <xf numFmtId="166" fontId="8" fillId="0" borderId="0" xfId="5" applyNumberFormat="1" applyFont="1"/>
    <xf numFmtId="165" fontId="3" fillId="3" borderId="1" xfId="6" applyNumberFormat="1" applyFont="1" applyFill="1" applyBorder="1" applyAlignment="1" applyProtection="1">
      <alignment horizontal="center"/>
    </xf>
    <xf numFmtId="166" fontId="3" fillId="3" borderId="1" xfId="3" applyNumberFormat="1" applyAlignment="1" applyProtection="1">
      <alignment horizontal="center"/>
    </xf>
    <xf numFmtId="167" fontId="4" fillId="5" borderId="0" xfId="5" applyNumberFormat="1" applyFont="1" applyFill="1"/>
    <xf numFmtId="168" fontId="4" fillId="5" borderId="0" xfId="5" applyNumberFormat="1" applyFont="1" applyFill="1"/>
    <xf numFmtId="17" fontId="4" fillId="5" borderId="0" xfId="5" applyNumberFormat="1" applyFont="1" applyFill="1"/>
    <xf numFmtId="37" fontId="20" fillId="0" borderId="0" xfId="5" applyNumberFormat="1" applyFont="1"/>
    <xf numFmtId="37" fontId="20" fillId="0" borderId="3" xfId="5" applyNumberFormat="1" applyFont="1" applyBorder="1"/>
    <xf numFmtId="37" fontId="8" fillId="0" borderId="0" xfId="5" applyNumberFormat="1" applyFont="1"/>
    <xf numFmtId="0" fontId="15" fillId="0" borderId="0" xfId="5" applyFont="1"/>
    <xf numFmtId="9" fontId="15" fillId="0" borderId="0" xfId="6" applyFont="1" applyProtection="1"/>
    <xf numFmtId="9" fontId="15" fillId="0" borderId="3" xfId="6" applyFont="1" applyBorder="1" applyProtection="1"/>
    <xf numFmtId="0" fontId="8" fillId="0" borderId="3" xfId="5" applyFont="1" applyBorder="1"/>
    <xf numFmtId="37" fontId="1" fillId="0" borderId="0" xfId="5" applyNumberFormat="1" applyFont="1"/>
    <xf numFmtId="0" fontId="0" fillId="0" borderId="3" xfId="0" applyBorder="1"/>
    <xf numFmtId="0" fontId="14" fillId="0" borderId="4" xfId="5" applyFont="1" applyBorder="1"/>
    <xf numFmtId="0" fontId="8" fillId="0" borderId="4" xfId="5" applyFont="1" applyBorder="1"/>
    <xf numFmtId="37" fontId="8" fillId="0" borderId="4" xfId="5" applyNumberFormat="1" applyFont="1" applyBorder="1"/>
    <xf numFmtId="37" fontId="8" fillId="0" borderId="5" xfId="5" applyNumberFormat="1" applyFont="1" applyBorder="1"/>
    <xf numFmtId="37" fontId="17" fillId="0" borderId="0" xfId="5" applyNumberFormat="1" applyFont="1"/>
    <xf numFmtId="37" fontId="17" fillId="0" borderId="3" xfId="5" applyNumberFormat="1" applyFont="1" applyBorder="1"/>
    <xf numFmtId="0" fontId="16" fillId="0" borderId="0" xfId="5" applyFont="1"/>
    <xf numFmtId="9" fontId="16" fillId="0" borderId="0" xfId="5" applyNumberFormat="1" applyFont="1"/>
    <xf numFmtId="9" fontId="16" fillId="0" borderId="3" xfId="5" applyNumberFormat="1" applyFont="1" applyBorder="1"/>
    <xf numFmtId="0" fontId="1" fillId="0" borderId="3" xfId="5" applyFont="1" applyBorder="1"/>
    <xf numFmtId="9" fontId="16" fillId="0" borderId="0" xfId="6" applyFont="1" applyProtection="1"/>
    <xf numFmtId="9" fontId="16" fillId="0" borderId="3" xfId="6" applyFont="1" applyBorder="1" applyProtection="1"/>
    <xf numFmtId="9" fontId="21" fillId="0" borderId="0" xfId="6" applyFont="1" applyProtection="1"/>
    <xf numFmtId="9" fontId="22" fillId="0" borderId="0" xfId="5" applyNumberFormat="1" applyFont="1"/>
    <xf numFmtId="0" fontId="8" fillId="0" borderId="6" xfId="5" applyFont="1" applyBorder="1"/>
    <xf numFmtId="37" fontId="1" fillId="0" borderId="6" xfId="5" applyNumberFormat="1" applyFont="1" applyBorder="1"/>
    <xf numFmtId="37" fontId="1" fillId="0" borderId="7" xfId="5" applyNumberFormat="1" applyFont="1" applyBorder="1"/>
    <xf numFmtId="0" fontId="1" fillId="0" borderId="5" xfId="5" applyFont="1" applyBorder="1"/>
    <xf numFmtId="9" fontId="23" fillId="0" borderId="0" xfId="6" applyFont="1" applyProtection="1"/>
    <xf numFmtId="37" fontId="1" fillId="0" borderId="3" xfId="5" applyNumberFormat="1" applyFont="1" applyBorder="1"/>
    <xf numFmtId="37" fontId="16" fillId="0" borderId="0" xfId="5" applyNumberFormat="1" applyFont="1"/>
    <xf numFmtId="9" fontId="1" fillId="0" borderId="0" xfId="6" applyFont="1" applyProtection="1"/>
    <xf numFmtId="9" fontId="1" fillId="0" borderId="3" xfId="6" applyFont="1" applyBorder="1" applyProtection="1"/>
    <xf numFmtId="37" fontId="1" fillId="0" borderId="4" xfId="6" applyNumberFormat="1" applyFont="1" applyBorder="1" applyProtection="1"/>
    <xf numFmtId="37" fontId="1" fillId="0" borderId="5" xfId="6" applyNumberFormat="1" applyFont="1" applyBorder="1" applyProtection="1"/>
    <xf numFmtId="9" fontId="16" fillId="0" borderId="0" xfId="6" applyFont="1" applyBorder="1" applyProtection="1"/>
    <xf numFmtId="9" fontId="8" fillId="0" borderId="0" xfId="6" applyFont="1" applyBorder="1" applyProtection="1"/>
    <xf numFmtId="9" fontId="8" fillId="0" borderId="3" xfId="6" applyFont="1" applyBorder="1" applyProtection="1"/>
    <xf numFmtId="37" fontId="8" fillId="0" borderId="0" xfId="6" applyNumberFormat="1" applyFont="1" applyBorder="1" applyProtection="1"/>
    <xf numFmtId="9" fontId="2" fillId="2" borderId="0" xfId="6" applyFont="1" applyFill="1" applyProtection="1"/>
    <xf numFmtId="37" fontId="4" fillId="5" borderId="0" xfId="5" applyNumberFormat="1" applyFont="1" applyFill="1"/>
    <xf numFmtId="0" fontId="5" fillId="0" borderId="0" xfId="5" applyFont="1"/>
    <xf numFmtId="9" fontId="8" fillId="0" borderId="0" xfId="6" applyFont="1" applyProtection="1"/>
    <xf numFmtId="37" fontId="8" fillId="0" borderId="0" xfId="6" applyNumberFormat="1" applyFont="1" applyProtection="1"/>
    <xf numFmtId="0" fontId="15" fillId="0" borderId="3" xfId="5" applyFont="1" applyBorder="1"/>
    <xf numFmtId="37" fontId="8" fillId="0" borderId="8" xfId="5" applyNumberFormat="1" applyFont="1" applyBorder="1"/>
    <xf numFmtId="0" fontId="8" fillId="0" borderId="8" xfId="5" applyFont="1" applyBorder="1"/>
    <xf numFmtId="0" fontId="8" fillId="0" borderId="9" xfId="5" applyFont="1" applyBorder="1"/>
    <xf numFmtId="165" fontId="17" fillId="0" borderId="0" xfId="6" applyNumberFormat="1" applyFont="1" applyProtection="1"/>
    <xf numFmtId="165" fontId="1" fillId="0" borderId="0" xfId="6" applyNumberFormat="1" applyFont="1" applyProtection="1"/>
    <xf numFmtId="2" fontId="8" fillId="0" borderId="0" xfId="5" applyNumberFormat="1" applyFont="1"/>
    <xf numFmtId="0" fontId="8" fillId="0" borderId="7" xfId="5" applyFont="1" applyBorder="1"/>
    <xf numFmtId="37" fontId="8" fillId="0" borderId="6" xfId="5" applyNumberFormat="1" applyFont="1" applyBorder="1"/>
    <xf numFmtId="0" fontId="12" fillId="0" borderId="4" xfId="5" applyFont="1" applyBorder="1"/>
    <xf numFmtId="3" fontId="1" fillId="0" borderId="4" xfId="5" applyNumberFormat="1" applyFont="1" applyBorder="1"/>
    <xf numFmtId="3" fontId="1" fillId="0" borderId="8" xfId="5" applyNumberFormat="1" applyFont="1" applyBorder="1"/>
    <xf numFmtId="0" fontId="12" fillId="0" borderId="0" xfId="5" applyFont="1"/>
    <xf numFmtId="4" fontId="8" fillId="0" borderId="0" xfId="5" applyNumberFormat="1" applyFont="1"/>
    <xf numFmtId="0" fontId="6" fillId="5" borderId="0" xfId="5" applyFont="1" applyFill="1"/>
    <xf numFmtId="37" fontId="6" fillId="5" borderId="0" xfId="5" applyNumberFormat="1" applyFont="1" applyFill="1"/>
    <xf numFmtId="165" fontId="17" fillId="3" borderId="1" xfId="3" applyNumberFormat="1" applyFont="1" applyAlignment="1" applyProtection="1">
      <alignment horizontal="center"/>
    </xf>
    <xf numFmtId="166" fontId="17" fillId="3" borderId="1" xfId="3" applyNumberFormat="1" applyFont="1" applyAlignment="1" applyProtection="1">
      <alignment horizontal="center"/>
    </xf>
    <xf numFmtId="165" fontId="8" fillId="6" borderId="0" xfId="5" applyNumberFormat="1" applyFont="1" applyFill="1"/>
    <xf numFmtId="165" fontId="8" fillId="6" borderId="0" xfId="6" applyNumberFormat="1" applyFont="1" applyFill="1" applyProtection="1"/>
    <xf numFmtId="166" fontId="8" fillId="6" borderId="0" xfId="5" applyNumberFormat="1" applyFont="1" applyFill="1"/>
    <xf numFmtId="165" fontId="8" fillId="6" borderId="0" xfId="6" applyNumberFormat="1" applyFont="1" applyFill="1" applyAlignment="1" applyProtection="1"/>
    <xf numFmtId="2" fontId="8" fillId="6" borderId="0" xfId="5" applyNumberFormat="1" applyFont="1" applyFill="1"/>
    <xf numFmtId="2" fontId="6" fillId="5" borderId="0" xfId="5" applyNumberFormat="1" applyFont="1" applyFill="1"/>
    <xf numFmtId="37" fontId="8" fillId="0" borderId="3" xfId="5" applyNumberFormat="1" applyFont="1" applyBorder="1"/>
    <xf numFmtId="9" fontId="15" fillId="0" borderId="0" xfId="5" applyNumberFormat="1" applyFont="1"/>
    <xf numFmtId="9" fontId="15" fillId="0" borderId="3" xfId="5" applyNumberFormat="1" applyFont="1" applyBorder="1"/>
    <xf numFmtId="37" fontId="8" fillId="0" borderId="9" xfId="5" applyNumberFormat="1" applyFont="1" applyBorder="1"/>
    <xf numFmtId="9" fontId="3" fillId="3" borderId="1" xfId="6" applyFont="1" applyFill="1" applyBorder="1" applyAlignment="1" applyProtection="1">
      <alignment horizontal="center"/>
    </xf>
    <xf numFmtId="9" fontId="17" fillId="3" borderId="10" xfId="3" applyNumberFormat="1" applyFont="1" applyBorder="1" applyProtection="1"/>
    <xf numFmtId="9" fontId="17" fillId="3" borderId="1" xfId="3" applyNumberFormat="1" applyFont="1" applyProtection="1"/>
    <xf numFmtId="9" fontId="3" fillId="3" borderId="1" xfId="3" applyNumberFormat="1" applyProtection="1"/>
    <xf numFmtId="9" fontId="20" fillId="3" borderId="10" xfId="3" applyNumberFormat="1" applyFont="1" applyBorder="1" applyProtection="1"/>
    <xf numFmtId="165" fontId="17" fillId="3" borderId="1" xfId="3" applyNumberFormat="1" applyFont="1" applyProtection="1"/>
    <xf numFmtId="165" fontId="3" fillId="3" borderId="1" xfId="3" applyNumberFormat="1" applyAlignment="1" applyProtection="1">
      <alignment horizontal="center"/>
    </xf>
    <xf numFmtId="165" fontId="20" fillId="3" borderId="1" xfId="3" applyNumberFormat="1" applyFont="1" applyAlignment="1" applyProtection="1">
      <alignment horizontal="center"/>
    </xf>
    <xf numFmtId="3" fontId="17" fillId="0" borderId="0" xfId="5" applyNumberFormat="1" applyFont="1"/>
    <xf numFmtId="9" fontId="24" fillId="0" borderId="0" xfId="2" applyFont="1"/>
    <xf numFmtId="37" fontId="24" fillId="0" borderId="0" xfId="0" applyNumberFormat="1" applyFont="1"/>
    <xf numFmtId="165" fontId="5" fillId="0" borderId="0" xfId="2" applyNumberFormat="1" applyFont="1"/>
    <xf numFmtId="0" fontId="18" fillId="5" borderId="0" xfId="5" applyFont="1" applyFill="1" applyAlignment="1">
      <alignment horizontal="center" vertical="center"/>
    </xf>
    <xf numFmtId="0" fontId="4" fillId="5" borderId="0" xfId="7" applyFont="1" applyFill="1" applyAlignment="1">
      <alignment horizontal="center" vertical="center"/>
    </xf>
    <xf numFmtId="0" fontId="6" fillId="5" borderId="0" xfId="7" applyFont="1" applyFill="1" applyAlignment="1">
      <alignment horizontal="center" vertical="center"/>
    </xf>
  </cellXfs>
  <cellStyles count="9">
    <cellStyle name="60% - Accent5" xfId="4" builtinId="48"/>
    <cellStyle name="Currency" xfId="1" builtinId="4"/>
    <cellStyle name="Input" xfId="3" builtinId="20"/>
    <cellStyle name="Normal" xfId="0" builtinId="0"/>
    <cellStyle name="Normal 2" xfId="5" xr:uid="{11C2E243-B72C-EC4A-8B60-C62C56F5546D}"/>
    <cellStyle name="Normal 2 2" xfId="7" xr:uid="{311135E7-5574-944E-9574-8E8F56F71348}"/>
    <cellStyle name="Percent" xfId="2" builtinId="5"/>
    <cellStyle name="Percent 2" xfId="6" xr:uid="{DFEC3D1F-659D-B848-A8BC-DD74D12608B5}"/>
    <cellStyle name="Percent 2 2" xfId="8" xr:uid="{D2A1A769-1A1E-F44C-81FA-35400601530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5" Type="http://schemas.openxmlformats.org/officeDocument/2006/relationships/calcChain" Target="calcChain.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10/relationships/person" Target="persons/person.xml"/></Relationships>
</file>

<file path=xl/drawings/drawing1.xml><?xml version="1.0" encoding="utf-8"?>
<xdr:wsDr xmlns:xdr="http://schemas.openxmlformats.org/drawingml/2006/spreadsheetDrawing" xmlns:a="http://schemas.openxmlformats.org/drawingml/2006/main">
  <xdr:twoCellAnchor>
    <xdr:from>
      <xdr:col>12</xdr:col>
      <xdr:colOff>7056</xdr:colOff>
      <xdr:row>0</xdr:row>
      <xdr:rowOff>169333</xdr:rowOff>
    </xdr:from>
    <xdr:to>
      <xdr:col>12</xdr:col>
      <xdr:colOff>35792</xdr:colOff>
      <xdr:row>72</xdr:row>
      <xdr:rowOff>192424</xdr:rowOff>
    </xdr:to>
    <xdr:cxnSp macro="">
      <xdr:nvCxnSpPr>
        <xdr:cNvPr id="2" name="Straight Connector 1">
          <a:extLst>
            <a:ext uri="{FF2B5EF4-FFF2-40B4-BE49-F238E27FC236}">
              <a16:creationId xmlns:a16="http://schemas.microsoft.com/office/drawing/2014/main" id="{66CDD2C5-576C-DA48-857C-56029812E7F1}"/>
            </a:ext>
          </a:extLst>
        </xdr:cNvPr>
        <xdr:cNvCxnSpPr/>
      </xdr:nvCxnSpPr>
      <xdr:spPr>
        <a:xfrm>
          <a:off x="11775723" y="169333"/>
          <a:ext cx="28736" cy="14501091"/>
        </a:xfrm>
        <a:prstGeom prst="line">
          <a:avLst/>
        </a:prstGeom>
        <a:ln w="28575" cmpd="sng">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11545</xdr:colOff>
      <xdr:row>0</xdr:row>
      <xdr:rowOff>69273</xdr:rowOff>
    </xdr:from>
    <xdr:to>
      <xdr:col>23</xdr:col>
      <xdr:colOff>23091</xdr:colOff>
      <xdr:row>71</xdr:row>
      <xdr:rowOff>196273</xdr:rowOff>
    </xdr:to>
    <xdr:cxnSp macro="">
      <xdr:nvCxnSpPr>
        <xdr:cNvPr id="3" name="Straight Connector 2">
          <a:extLst>
            <a:ext uri="{FF2B5EF4-FFF2-40B4-BE49-F238E27FC236}">
              <a16:creationId xmlns:a16="http://schemas.microsoft.com/office/drawing/2014/main" id="{4D730B0F-5977-A641-BB71-AB81261F793F}"/>
            </a:ext>
          </a:extLst>
        </xdr:cNvPr>
        <xdr:cNvCxnSpPr/>
      </xdr:nvCxnSpPr>
      <xdr:spPr>
        <a:xfrm>
          <a:off x="20989636" y="69273"/>
          <a:ext cx="11546" cy="13635182"/>
        </a:xfrm>
        <a:prstGeom prst="line">
          <a:avLst/>
        </a:prstGeom>
        <a:ln w="28575" cmpd="sng">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person displayName="8473" id="{069DB50F-6F6B-8848-B602-971B1A970163}" userId="S::c8473@c.of365.online::3950204f-c74f-44a5-9096-655dc20c1ab8" providerId="AD"/>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https://en.wikipedia.org/wiki/Microsoft</v>
    <v>Wikipedia</v>
  </rv>
  <rv s="1">
    <v>0</v>
    <v>1</v>
  </rv>
  <rv s="2">
    <v>6</v>
    <v>https://www.bing.com/th?id=AMMS_e6e837c7bf3a77408619758b7447855a&amp;qlt=95</v>
    <v>2</v>
    <v>0</v>
    <v>https://www.bing.com/images/search?form=xlimg&amp;q=microsoft</v>
    <v>Image of MICROSOFT CORPORATION</v>
  </rv>
  <rv s="0">
    <v>https://www.bing.com/financeapi/forcetrigger?t=a1xzim&amp;q=XNAS%3aMSFT&amp;form=skydnc</v>
    <v>Learn more on Bing</v>
  </rv>
  <rv s="3">
    <v>0</v>
    <v>MICROSOFT CORPORATION (XNAS:MSFT)</v>
    <v>3</v>
    <v>4</v>
    <v>Finance</v>
    <v>5</v>
    <v>en-US</v>
    <v>a1xzim</v>
    <v>268435456</v>
    <v>1</v>
    <v>Powered by Refinitiv</v>
    <v>315.95</v>
    <v>213.43100000000001</v>
    <v>0.92459999999999998</v>
    <v>-0.54</v>
    <v>-2.2260000000000001E-3</v>
    <v>-2.46</v>
    <v>-1.0163999999999999E-2</v>
    <v>USD</v>
    <v>Microsoft Corporation is a technology company. The Company develops and supports software, services, devices, and solutions. Its segments include Productivity and Business Processes, Intelligent Cloud, and More Personal Computing. The Productivity and Business Processes segment consists of products and services in its portfolio of productivity, communication, and information services, spanning a variety of devices and platforms. This segment includes Office Consumer, LinkedIn, dynamics business solutions, and Office Commercial. The Intelligent Cloud segment consists of public, private, and hybrid server products and cloud services that can power modern businesses and developers. This segment includes server products and cloud services, and enterprise services. The More Personal Computing segment consists of products and services that put customers at the centre of the experience with its technology. This segment includes Windows, devices, gaming, and search and news advertising.</v>
    <v>221000</v>
    <v>Nasdaq Stock Market</v>
    <v>XNAS</v>
    <v>XNAS</v>
    <v>One Microsoft Way, REDMOND, WA, 98052-6399 US</v>
    <v>243.95</v>
    <v>3</v>
    <v>Software &amp; IT Services</v>
    <v>Stock</v>
    <v>44951.041659664064</v>
    <v>4</v>
    <v>240.44</v>
    <v>1804280644920</v>
    <v>MICROSOFT CORPORATION</v>
    <v>MICROSOFT CORPORATION</v>
    <v>242.5</v>
    <v>26.1389</v>
    <v>242.58</v>
    <v>242.04</v>
    <v>239.58</v>
    <v>7454473000</v>
    <v>MSFT</v>
    <v>MICROSOFT CORPORATION (XNAS:MSFT)</v>
    <v>40234444</v>
    <v>30918664</v>
    <v>1993</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v>
      <v>GMT</v>
      <v>Delayed 15 minutes</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4" formatCode="#,##0.00"/>
    </x:dxf>
    <x:dxf>
      <x:numFmt numFmtId="3" formatCode="#,##0"/>
    </x:dxf>
    <x:dxf>
      <x:numFmt numFmtId="14" formatCode="0.00%"/>
    </x:dxf>
    <x:dxf>
      <x:numFmt numFmtId="27" formatCode="m/d/yy\ h:mm"/>
    </x:dxf>
    <x:dxf>
      <x:numFmt numFmtId="1" formatCode="0"/>
    </x:dxf>
    <x:dxf>
      <x:numFmt numFmtId="2" formatCode="0.00"/>
    </x:dxf>
  </dxfs>
  <richProperties>
    <rPr n="NumberFormat" t="s"/>
    <rPr n="IsTitleField" t="b"/>
    <rPr n="IsHeroField" t="b"/>
  </richProperties>
  <richStyles>
    <rSty dxfid="0">
      <rpv i="0">_([$$-en-US]* #,##0.00_);_([$$-en-US]* (#,##0.00);_([$$-en-US]* "-"??_);_(@_)</rpv>
    </rSty>
    <rSty dxfid="1">
      <rpv i="0">#,##0.00</rpv>
    </rSty>
    <rSty>
      <rpv i="1">1</rpv>
    </rSty>
    <rSty>
      <rpv i="2">1</rpv>
    </rSty>
    <rSty dxfid="2">
      <rpv i="0">#,##0</rpv>
    </rSty>
    <rSty dxfid="3"/>
    <rSty dxfid="0">
      <rpv i="0">_([$$-en-US]* #,##0_);_([$$-en-US]* (#,##0);_([$$-en-US]* "-"_);_(@_)</rpv>
    </rSty>
    <rSty dxfid="4"/>
    <rSty dxfid="5">
      <rpv i="0">0</rpv>
    </rSty>
    <rSty dxfid="6">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M2" dT="2023-01-25T04:24:48.69" personId="{069DB50F-6F6B-8848-B602-971B1A970163}" id="{EA43DE6B-0504-B945-A511-E3D3287746A0}">
    <text xml:space="preserve">Q323 Guidence:
Window OEM &amp; Devices: continue declines to pre-pandemic
Commerical business: Trend continue into Q3
Productivity &amp; Business: Revenue growth 11% - 13%
Office Commerical: Revenue decline in the mid-20s
Office Consumer: Revenue growth low single digits
Intelligent Cloud: Revenue to grow 17% - 19%
More Personal Computing: Revenue of $11.9B - $12.3B
Gaming: revenue decline in the high-single digits
COGS to grow 1% - 2%
OpEx growth 11% - 12%
Other income: $200m
Effective tax rate: 19% - 20%
</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2E371-8AA1-F249-831E-54B4381FEF21}">
  <dimension ref="A2:AA146"/>
  <sheetViews>
    <sheetView showGridLines="0" tabSelected="1" topLeftCell="C1" zoomScaleNormal="100" workbookViewId="0">
      <selection activeCell="D9" sqref="D9"/>
    </sheetView>
  </sheetViews>
  <sheetFormatPr baseColWidth="10" defaultColWidth="11.83203125" defaultRowHeight="16" customHeight="1" x14ac:dyDescent="0.2"/>
  <cols>
    <col min="1" max="1" width="4.83203125" style="49" customWidth="1"/>
    <col min="2" max="16384" width="11.83203125" style="49"/>
  </cols>
  <sheetData>
    <row r="2" spans="1:27" s="45" customFormat="1" ht="31" customHeight="1" thickBot="1" x14ac:dyDescent="0.35">
      <c r="B2" s="46" t="s">
        <v>137</v>
      </c>
      <c r="E2" s="47" t="s">
        <v>176</v>
      </c>
      <c r="F2" s="48"/>
      <c r="G2" s="48"/>
      <c r="H2" s="47" t="s">
        <v>174</v>
      </c>
      <c r="K2" s="47" t="s">
        <v>165</v>
      </c>
      <c r="N2" s="47" t="s">
        <v>175</v>
      </c>
    </row>
    <row r="4" spans="1:27" ht="16" customHeight="1" x14ac:dyDescent="0.2">
      <c r="B4" s="49" t="s">
        <v>0</v>
      </c>
      <c r="C4" s="50" t="s">
        <v>136</v>
      </c>
      <c r="E4" s="49" t="s">
        <v>1</v>
      </c>
      <c r="G4" s="51">
        <f ca="1">D112</f>
        <v>297.83628449262886</v>
      </c>
      <c r="I4" s="49" t="s">
        <v>2</v>
      </c>
      <c r="K4" s="51">
        <v>297.83628449262886</v>
      </c>
      <c r="M4" s="49" t="s">
        <v>3</v>
      </c>
      <c r="O4" s="52">
        <v>233.34310026995425</v>
      </c>
      <c r="Q4" s="49" t="s">
        <v>4</v>
      </c>
      <c r="S4" s="52">
        <f ca="1">G4*(1+((1/T98)^(1/10)-1))^10</f>
        <v>686.53063243943268</v>
      </c>
    </row>
    <row r="5" spans="1:27" ht="16" customHeight="1" x14ac:dyDescent="0.2">
      <c r="B5" s="49" t="s">
        <v>5</v>
      </c>
      <c r="C5" s="53">
        <v>44950</v>
      </c>
      <c r="E5" s="49" t="s">
        <v>6</v>
      </c>
      <c r="G5" s="54" cm="1">
        <f t="array" ref="G5">_FV('Financials + KPIs'!B1,"Price (Extended hours)",TRUE)</f>
        <v>239.58</v>
      </c>
      <c r="I5" s="49" t="s">
        <v>7</v>
      </c>
      <c r="K5" s="51">
        <v>374.92668833857999</v>
      </c>
      <c r="M5" s="49" t="s">
        <v>8</v>
      </c>
      <c r="O5" s="55">
        <f ca="1">G4/G5-1</f>
        <v>0.24316004880469499</v>
      </c>
      <c r="Q5" s="49" t="s">
        <v>9</v>
      </c>
      <c r="S5" s="55">
        <f ca="1">(S4/G5)^(1/10)-1</f>
        <v>0.11101759265913658</v>
      </c>
    </row>
    <row r="7" spans="1:27" ht="16" customHeight="1" x14ac:dyDescent="0.2">
      <c r="A7" s="49" t="s">
        <v>10</v>
      </c>
      <c r="B7" s="56" t="s">
        <v>11</v>
      </c>
      <c r="C7" s="57"/>
      <c r="D7" s="57"/>
      <c r="E7" s="58" t="s">
        <v>12</v>
      </c>
      <c r="F7" s="57"/>
      <c r="G7" s="57"/>
      <c r="H7" s="57"/>
      <c r="I7" s="57"/>
      <c r="J7" s="59"/>
      <c r="K7" s="59"/>
      <c r="L7" s="59"/>
      <c r="M7" s="59"/>
      <c r="N7" s="59"/>
      <c r="O7" s="59"/>
      <c r="P7" s="59"/>
      <c r="Q7" s="59"/>
      <c r="R7" s="59"/>
      <c r="S7" s="59"/>
      <c r="T7" s="59"/>
      <c r="U7" s="59"/>
      <c r="V7"/>
      <c r="W7"/>
      <c r="X7"/>
      <c r="Y7"/>
      <c r="Z7"/>
      <c r="AA7"/>
    </row>
    <row r="8" spans="1:27" ht="16" customHeight="1" x14ac:dyDescent="0.2">
      <c r="B8" s="60" t="s">
        <v>13</v>
      </c>
      <c r="F8" s="60" t="s">
        <v>3</v>
      </c>
      <c r="J8" s="60" t="s">
        <v>14</v>
      </c>
      <c r="N8" s="60" t="s">
        <v>7</v>
      </c>
      <c r="R8" s="60" t="s">
        <v>15</v>
      </c>
      <c r="S8" s="61"/>
      <c r="T8" s="61"/>
    </row>
    <row r="9" spans="1:27" ht="16" customHeight="1" x14ac:dyDescent="0.2">
      <c r="B9" s="49" t="s">
        <v>149</v>
      </c>
      <c r="D9" s="1">
        <v>2</v>
      </c>
      <c r="F9" s="49" t="s">
        <v>150</v>
      </c>
      <c r="H9" s="141">
        <v>0.9</v>
      </c>
      <c r="J9" s="49" t="s">
        <v>150</v>
      </c>
      <c r="L9" s="62"/>
      <c r="N9" s="49" t="s">
        <v>150</v>
      </c>
      <c r="P9" s="141">
        <v>1.1000000000000001</v>
      </c>
      <c r="R9" s="49" t="s">
        <v>16</v>
      </c>
      <c r="S9" s="61"/>
      <c r="T9" s="3">
        <v>99508</v>
      </c>
    </row>
    <row r="10" spans="1:27" ht="16" customHeight="1" x14ac:dyDescent="0.2">
      <c r="F10" s="49" t="s">
        <v>151</v>
      </c>
      <c r="H10" s="141">
        <v>0.1</v>
      </c>
      <c r="J10" s="49" t="s">
        <v>151</v>
      </c>
      <c r="L10" s="141">
        <v>0.14000000000000001</v>
      </c>
      <c r="N10" s="49" t="s">
        <v>151</v>
      </c>
      <c r="P10" s="141">
        <v>0.18</v>
      </c>
      <c r="R10" s="49" t="s">
        <v>17</v>
      </c>
      <c r="S10" s="61"/>
      <c r="T10" s="3">
        <v>7097</v>
      </c>
    </row>
    <row r="11" spans="1:27" ht="16" customHeight="1" x14ac:dyDescent="0.2">
      <c r="B11" s="61"/>
      <c r="C11" s="61"/>
      <c r="D11" s="61"/>
      <c r="F11" s="49" t="s">
        <v>152</v>
      </c>
      <c r="H11" s="141">
        <v>0.03</v>
      </c>
      <c r="J11" s="49" t="s">
        <v>152</v>
      </c>
      <c r="L11" s="65">
        <v>3.5000000000000003E-2</v>
      </c>
      <c r="N11" s="49" t="s">
        <v>152</v>
      </c>
      <c r="P11" s="141">
        <v>0.04</v>
      </c>
      <c r="R11" s="49" t="s">
        <v>18</v>
      </c>
      <c r="S11" s="61"/>
      <c r="T11" s="3">
        <f>3997+44119</f>
        <v>48116</v>
      </c>
    </row>
    <row r="12" spans="1:27" ht="16" customHeight="1" x14ac:dyDescent="0.2">
      <c r="B12" s="49" t="s">
        <v>141</v>
      </c>
      <c r="D12" s="1">
        <v>2</v>
      </c>
      <c r="F12" s="49" t="s">
        <v>153</v>
      </c>
      <c r="H12" s="141">
        <v>0.9</v>
      </c>
      <c r="J12" s="49" t="str">
        <f>F12</f>
        <v>Intelligent Cloud - 2023</v>
      </c>
      <c r="L12" s="63"/>
      <c r="N12" s="49" t="str">
        <f>J12</f>
        <v>Intelligent Cloud - 2023</v>
      </c>
      <c r="P12" s="141">
        <v>1.1000000000000001</v>
      </c>
      <c r="R12" s="49" t="s">
        <v>20</v>
      </c>
      <c r="S12" s="61"/>
      <c r="T12" s="3">
        <v>0</v>
      </c>
    </row>
    <row r="13" spans="1:27" ht="16" customHeight="1" x14ac:dyDescent="0.2">
      <c r="F13" s="49" t="s">
        <v>161</v>
      </c>
      <c r="H13" s="141">
        <v>0.2</v>
      </c>
      <c r="J13" s="49" t="s">
        <v>161</v>
      </c>
      <c r="L13" s="141">
        <v>0.22</v>
      </c>
      <c r="N13" s="49" t="s">
        <v>161</v>
      </c>
      <c r="P13" s="141">
        <v>0.24</v>
      </c>
      <c r="R13" s="49" t="s">
        <v>22</v>
      </c>
      <c r="S13" s="61"/>
      <c r="T13" s="3">
        <v>48099</v>
      </c>
    </row>
    <row r="14" spans="1:27" ht="16" customHeight="1" x14ac:dyDescent="0.2">
      <c r="F14" s="49" t="s">
        <v>154</v>
      </c>
      <c r="H14" s="141">
        <v>0.04</v>
      </c>
      <c r="J14" s="49" t="s">
        <v>154</v>
      </c>
      <c r="L14" s="141">
        <v>0.05</v>
      </c>
      <c r="N14" s="49" t="s">
        <v>154</v>
      </c>
      <c r="P14" s="141">
        <v>0.06</v>
      </c>
      <c r="R14" s="49" t="s">
        <v>23</v>
      </c>
      <c r="T14" s="3">
        <v>11998</v>
      </c>
    </row>
    <row r="15" spans="1:27" ht="16" customHeight="1" x14ac:dyDescent="0.2">
      <c r="B15" s="49" t="s">
        <v>155</v>
      </c>
      <c r="D15" s="1">
        <v>2</v>
      </c>
      <c r="F15" s="49" t="s">
        <v>157</v>
      </c>
      <c r="H15" s="141">
        <v>1.1000000000000001</v>
      </c>
      <c r="J15" s="49" t="s">
        <v>157</v>
      </c>
      <c r="L15"/>
      <c r="N15" s="49" t="s">
        <v>157</v>
      </c>
      <c r="P15" s="141">
        <v>0.9</v>
      </c>
      <c r="R15" s="49" t="s">
        <v>24</v>
      </c>
      <c r="S15" s="61"/>
      <c r="T15" s="4">
        <v>4.2299999999999997E-2</v>
      </c>
    </row>
    <row r="16" spans="1:27" ht="16" customHeight="1" x14ac:dyDescent="0.2">
      <c r="F16" s="49" t="s">
        <v>158</v>
      </c>
      <c r="H16" s="141">
        <v>0.06</v>
      </c>
      <c r="J16" s="49" t="s">
        <v>158</v>
      </c>
      <c r="L16" s="141">
        <v>7.0000000000000007E-2</v>
      </c>
      <c r="N16" s="49" t="s">
        <v>158</v>
      </c>
      <c r="P16" s="141">
        <v>0.08</v>
      </c>
      <c r="R16" s="49" t="s">
        <v>26</v>
      </c>
      <c r="T16" s="3">
        <v>7473</v>
      </c>
    </row>
    <row r="17" spans="1:24" ht="16" customHeight="1" x14ac:dyDescent="0.2">
      <c r="F17" s="49" t="s">
        <v>156</v>
      </c>
      <c r="H17" s="65">
        <v>2.5000000000000001E-2</v>
      </c>
      <c r="J17" s="49" t="s">
        <v>156</v>
      </c>
      <c r="L17" s="141">
        <v>0.03</v>
      </c>
      <c r="N17" s="49" t="s">
        <v>156</v>
      </c>
      <c r="P17" s="65">
        <v>3.5000000000000003E-2</v>
      </c>
      <c r="R17"/>
      <c r="S17"/>
      <c r="T17"/>
    </row>
    <row r="18" spans="1:24" ht="16" customHeight="1" x14ac:dyDescent="0.2">
      <c r="B18" s="49" t="s">
        <v>19</v>
      </c>
      <c r="D18" s="1">
        <v>2</v>
      </c>
      <c r="F18" s="49" t="s">
        <v>159</v>
      </c>
      <c r="H18" s="141">
        <v>0.41</v>
      </c>
      <c r="J18" s="49" t="str">
        <f>F18</f>
        <v>EBIT - 2027</v>
      </c>
      <c r="L18" s="141">
        <v>0.43</v>
      </c>
      <c r="N18" s="49" t="str">
        <f>J18</f>
        <v>EBIT - 2027</v>
      </c>
      <c r="P18" s="141">
        <v>0.45</v>
      </c>
      <c r="R18" s="60" t="s">
        <v>29</v>
      </c>
      <c r="S18" s="61"/>
      <c r="T18" s="61"/>
    </row>
    <row r="19" spans="1:24" ht="16" customHeight="1" x14ac:dyDescent="0.2">
      <c r="F19" s="49" t="s">
        <v>160</v>
      </c>
      <c r="H19" s="141">
        <v>0.36</v>
      </c>
      <c r="J19" s="49" t="s">
        <v>160</v>
      </c>
      <c r="N19" s="49" t="s">
        <v>160</v>
      </c>
      <c r="P19" s="141">
        <v>0.5</v>
      </c>
      <c r="R19" s="49" t="s">
        <v>30</v>
      </c>
      <c r="S19" s="61"/>
      <c r="T19" s="4">
        <v>3.4770000000000002E-2</v>
      </c>
    </row>
    <row r="20" spans="1:24" ht="16" customHeight="1" x14ac:dyDescent="0.2">
      <c r="B20" s="49" t="s">
        <v>21</v>
      </c>
      <c r="F20" s="49" t="s">
        <v>21</v>
      </c>
      <c r="J20" s="49" t="s">
        <v>21</v>
      </c>
      <c r="L20" s="2">
        <v>0.21</v>
      </c>
      <c r="N20" s="49" t="s">
        <v>21</v>
      </c>
      <c r="R20" s="49" t="s">
        <v>33</v>
      </c>
      <c r="S20" s="61"/>
      <c r="T20" s="4">
        <v>5.11E-2</v>
      </c>
    </row>
    <row r="21" spans="1:24" ht="16" customHeight="1" x14ac:dyDescent="0.2">
      <c r="R21" s="49" t="s">
        <v>34</v>
      </c>
      <c r="T21" s="7">
        <v>1.1599999999999999</v>
      </c>
    </row>
    <row r="22" spans="1:24" ht="16" customHeight="1" x14ac:dyDescent="0.2">
      <c r="D22" s="63"/>
      <c r="H22" s="63"/>
      <c r="R22" s="49" t="s">
        <v>35</v>
      </c>
      <c r="S22" s="61"/>
      <c r="T22" s="4">
        <f>K97-1%</f>
        <v>8.2101519876230586E-2</v>
      </c>
    </row>
    <row r="23" spans="1:24" ht="16" customHeight="1" x14ac:dyDescent="0.2">
      <c r="B23" s="49" t="s">
        <v>25</v>
      </c>
      <c r="D23" s="1">
        <v>2</v>
      </c>
      <c r="F23" s="49" t="s">
        <v>25</v>
      </c>
      <c r="H23" s="65">
        <f>L23-0.5%</f>
        <v>8.7101519876230576E-2</v>
      </c>
      <c r="J23" s="49" t="s">
        <v>25</v>
      </c>
      <c r="L23" s="148">
        <f>WACC!F22</f>
        <v>9.2101519876230581E-2</v>
      </c>
      <c r="N23" s="49" t="s">
        <v>25</v>
      </c>
      <c r="P23" s="65">
        <f>L23+0.5%</f>
        <v>9.7101519876230585E-2</v>
      </c>
    </row>
    <row r="24" spans="1:24" ht="16" customHeight="1" x14ac:dyDescent="0.2">
      <c r="B24" s="49" t="s">
        <v>27</v>
      </c>
      <c r="D24" s="1">
        <v>2</v>
      </c>
      <c r="F24" s="49" t="s">
        <v>27</v>
      </c>
      <c r="H24" s="147">
        <f>L24-0.5%</f>
        <v>3.0000000000000002E-2</v>
      </c>
      <c r="J24" s="49" t="s">
        <v>27</v>
      </c>
      <c r="L24" s="147">
        <v>3.5000000000000003E-2</v>
      </c>
      <c r="N24" s="49" t="s">
        <v>27</v>
      </c>
      <c r="P24" s="147">
        <f>L24+0.5%</f>
        <v>0.04</v>
      </c>
    </row>
    <row r="25" spans="1:24" ht="16" customHeight="1" x14ac:dyDescent="0.2">
      <c r="B25" s="49" t="s">
        <v>28</v>
      </c>
      <c r="D25" s="1">
        <v>2</v>
      </c>
      <c r="F25" s="49" t="s">
        <v>28</v>
      </c>
      <c r="H25" s="66">
        <v>12.5</v>
      </c>
      <c r="I25" s="64"/>
      <c r="J25" s="64" t="s">
        <v>28</v>
      </c>
      <c r="K25" s="64"/>
      <c r="L25" s="66">
        <v>13</v>
      </c>
      <c r="M25" s="64"/>
      <c r="N25" s="64" t="s">
        <v>28</v>
      </c>
      <c r="O25" s="64"/>
      <c r="P25" s="66">
        <v>13.5</v>
      </c>
    </row>
    <row r="26" spans="1:24" s="61" customFormat="1" ht="16" customHeight="1" x14ac:dyDescent="0.2">
      <c r="V26" s="49"/>
      <c r="W26" s="49"/>
      <c r="X26" s="49"/>
    </row>
    <row r="27" spans="1:24" s="61" customFormat="1" ht="16" customHeight="1" x14ac:dyDescent="0.2">
      <c r="B27" s="60" t="s">
        <v>31</v>
      </c>
      <c r="F27" s="60" t="s">
        <v>32</v>
      </c>
      <c r="V27" s="49"/>
      <c r="W27" s="49"/>
      <c r="X27" s="49"/>
    </row>
    <row r="28" spans="1:24" s="61" customFormat="1" ht="16" customHeight="1" x14ac:dyDescent="0.2">
      <c r="B28" s="49" t="s">
        <v>25</v>
      </c>
      <c r="D28" s="65">
        <f>CHOOSE(D23,H23,L23,P23,H28)</f>
        <v>9.2101519876230581E-2</v>
      </c>
      <c r="F28" s="49" t="s">
        <v>25</v>
      </c>
      <c r="G28" s="49"/>
      <c r="H28" s="4"/>
      <c r="V28" s="49"/>
      <c r="W28" s="49"/>
      <c r="X28" s="49"/>
    </row>
    <row r="29" spans="1:24" s="61" customFormat="1" ht="16" customHeight="1" x14ac:dyDescent="0.2">
      <c r="B29" s="49" t="s">
        <v>27</v>
      </c>
      <c r="D29" s="65">
        <f>CHOOSE(D24,H24,L24,P24,H29)</f>
        <v>3.5000000000000003E-2</v>
      </c>
      <c r="F29" s="49" t="s">
        <v>27</v>
      </c>
      <c r="G29" s="49"/>
      <c r="H29" s="5"/>
      <c r="V29" s="49"/>
    </row>
    <row r="30" spans="1:24" s="61" customFormat="1" ht="16" customHeight="1" x14ac:dyDescent="0.2">
      <c r="B30" s="49" t="s">
        <v>28</v>
      </c>
      <c r="D30" s="66">
        <f>CHOOSE(D25,H25,L25,P25,H30)</f>
        <v>13</v>
      </c>
      <c r="F30" s="64" t="s">
        <v>28</v>
      </c>
      <c r="G30" s="64"/>
      <c r="H30" s="6"/>
    </row>
    <row r="32" spans="1:24" ht="16" customHeight="1" x14ac:dyDescent="0.2">
      <c r="A32" s="49" t="s">
        <v>10</v>
      </c>
      <c r="B32" s="56" t="s">
        <v>138</v>
      </c>
      <c r="C32" s="56"/>
      <c r="D32" s="56"/>
      <c r="E32" s="67">
        <v>2017</v>
      </c>
      <c r="F32" s="67">
        <f>E32+1</f>
        <v>2018</v>
      </c>
      <c r="G32" s="67">
        <f t="shared" ref="G32:J32" si="0">F32+1</f>
        <v>2019</v>
      </c>
      <c r="H32" s="67">
        <f t="shared" si="0"/>
        <v>2020</v>
      </c>
      <c r="I32" s="67">
        <f t="shared" si="0"/>
        <v>2021</v>
      </c>
      <c r="J32" s="67">
        <f t="shared" si="0"/>
        <v>2022</v>
      </c>
      <c r="K32" s="68">
        <v>2023</v>
      </c>
      <c r="L32" s="68">
        <f>K32+1</f>
        <v>2024</v>
      </c>
      <c r="M32" s="68">
        <f t="shared" ref="M32:U32" si="1">L32+1</f>
        <v>2025</v>
      </c>
      <c r="N32" s="68">
        <f t="shared" si="1"/>
        <v>2026</v>
      </c>
      <c r="O32" s="68">
        <f t="shared" si="1"/>
        <v>2027</v>
      </c>
      <c r="P32" s="68">
        <f t="shared" si="1"/>
        <v>2028</v>
      </c>
      <c r="Q32" s="68">
        <f t="shared" si="1"/>
        <v>2029</v>
      </c>
      <c r="R32" s="68">
        <f t="shared" si="1"/>
        <v>2030</v>
      </c>
      <c r="S32" s="68">
        <f t="shared" si="1"/>
        <v>2031</v>
      </c>
      <c r="T32" s="68">
        <f t="shared" si="1"/>
        <v>2032</v>
      </c>
      <c r="U32" s="68">
        <f t="shared" si="1"/>
        <v>2033</v>
      </c>
    </row>
    <row r="33" spans="2:21" ht="16" customHeight="1" x14ac:dyDescent="0.2">
      <c r="B33" s="56" t="s">
        <v>36</v>
      </c>
      <c r="C33" s="56"/>
      <c r="D33" s="56"/>
      <c r="E33" s="69">
        <f>EDATE(F33,-12)</f>
        <v>42916</v>
      </c>
      <c r="F33" s="69">
        <f t="shared" ref="F33:I33" si="2">EDATE(G33,-12)</f>
        <v>43281</v>
      </c>
      <c r="G33" s="69">
        <f t="shared" si="2"/>
        <v>43646</v>
      </c>
      <c r="H33" s="69">
        <f t="shared" si="2"/>
        <v>44012</v>
      </c>
      <c r="I33" s="69">
        <f t="shared" si="2"/>
        <v>44377</v>
      </c>
      <c r="J33" s="69">
        <f>EDATE(K33,-12)</f>
        <v>44742</v>
      </c>
      <c r="K33" s="69">
        <v>45107</v>
      </c>
      <c r="L33" s="69">
        <f>EDATE(K33,12)</f>
        <v>45473</v>
      </c>
      <c r="M33" s="69">
        <f t="shared" ref="M33:U33" si="3">EDATE(L33,12)</f>
        <v>45838</v>
      </c>
      <c r="N33" s="69">
        <f t="shared" si="3"/>
        <v>46203</v>
      </c>
      <c r="O33" s="69">
        <f t="shared" si="3"/>
        <v>46568</v>
      </c>
      <c r="P33" s="69">
        <f t="shared" si="3"/>
        <v>46934</v>
      </c>
      <c r="Q33" s="69">
        <f t="shared" si="3"/>
        <v>47299</v>
      </c>
      <c r="R33" s="69">
        <f t="shared" si="3"/>
        <v>47664</v>
      </c>
      <c r="S33" s="69">
        <f t="shared" si="3"/>
        <v>48029</v>
      </c>
      <c r="T33" s="69">
        <f t="shared" si="3"/>
        <v>48395</v>
      </c>
      <c r="U33" s="69">
        <f t="shared" si="3"/>
        <v>48760</v>
      </c>
    </row>
    <row r="34" spans="2:21" ht="16" customHeight="1" x14ac:dyDescent="0.2">
      <c r="B34" s="60" t="s">
        <v>140</v>
      </c>
      <c r="E34" s="70">
        <f>'Financials + KPIs'!R13</f>
        <v>26531</v>
      </c>
      <c r="F34" s="70">
        <f>'Financials + KPIs'!S13</f>
        <v>36368</v>
      </c>
      <c r="G34" s="70">
        <f>'Financials + KPIs'!T13</f>
        <v>41593</v>
      </c>
      <c r="H34" s="70">
        <f>'Financials + KPIs'!U13</f>
        <v>47161</v>
      </c>
      <c r="I34" s="70">
        <f>'Financials + KPIs'!V13</f>
        <v>54640</v>
      </c>
      <c r="J34" s="71">
        <f>'Financials + KPIs'!W13</f>
        <v>63969</v>
      </c>
      <c r="K34" s="72">
        <f ca="1">J34*(1+K35)</f>
        <v>70064.98</v>
      </c>
      <c r="L34" s="72">
        <f t="shared" ref="L34:U34" ca="1" si="4">K34*(1+L35)</f>
        <v>79874.0772</v>
      </c>
      <c r="M34" s="72">
        <f t="shared" ca="1" si="4"/>
        <v>90124.583773999999</v>
      </c>
      <c r="N34" s="72">
        <f t="shared" ca="1" si="4"/>
        <v>100639.11854763333</v>
      </c>
      <c r="O34" s="72">
        <f t="shared" ca="1" si="4"/>
        <v>111206.22599513484</v>
      </c>
      <c r="P34" s="72">
        <f t="shared" ca="1" si="4"/>
        <v>121585.47375468074</v>
      </c>
      <c r="Q34" s="72">
        <f t="shared" ca="1" si="4"/>
        <v>131514.95411131298</v>
      </c>
      <c r="R34" s="72">
        <f t="shared" ca="1" si="4"/>
        <v>140721.0008991049</v>
      </c>
      <c r="S34" s="72">
        <f t="shared" ca="1" si="4"/>
        <v>148929.72595155268</v>
      </c>
      <c r="T34" s="72">
        <f t="shared" ca="1" si="4"/>
        <v>155879.7798292918</v>
      </c>
      <c r="U34" s="72">
        <f t="shared" ca="1" si="4"/>
        <v>161335.57212331699</v>
      </c>
    </row>
    <row r="35" spans="2:21" s="73" customFormat="1" ht="16" customHeight="1" x14ac:dyDescent="0.2">
      <c r="B35" s="73" t="s">
        <v>37</v>
      </c>
      <c r="F35" s="74">
        <f t="shared" ref="F35:H35" si="5">F34/E34-1</f>
        <v>0.37077381176736646</v>
      </c>
      <c r="G35" s="74">
        <f t="shared" si="5"/>
        <v>0.14367025956885171</v>
      </c>
      <c r="H35" s="74">
        <f t="shared" si="5"/>
        <v>0.13386867982593231</v>
      </c>
      <c r="I35" s="74">
        <f>I34/H34-1</f>
        <v>0.15858442357032287</v>
      </c>
      <c r="J35" s="75">
        <f>J34/I34-1</f>
        <v>0.17073572474377752</v>
      </c>
      <c r="K35" s="74">
        <f ca="1">OFFSET(K35,$D$9,0)</f>
        <v>9.5295846425612396E-2</v>
      </c>
      <c r="L35" s="74">
        <f t="shared" ref="L35:U35" ca="1" si="6">OFFSET(L35,$D$9,0)</f>
        <v>0.14000000000000001</v>
      </c>
      <c r="M35" s="74">
        <f t="shared" ca="1" si="6"/>
        <v>0.12833333333333335</v>
      </c>
      <c r="N35" s="74">
        <f t="shared" ca="1" si="6"/>
        <v>0.11666666666666668</v>
      </c>
      <c r="O35" s="74">
        <f t="shared" ca="1" si="6"/>
        <v>0.10500000000000001</v>
      </c>
      <c r="P35" s="74">
        <f t="shared" ca="1" si="6"/>
        <v>9.3333333333333338E-2</v>
      </c>
      <c r="Q35" s="74">
        <f t="shared" ca="1" si="6"/>
        <v>8.1666666666666665E-2</v>
      </c>
      <c r="R35" s="74">
        <f t="shared" ca="1" si="6"/>
        <v>6.9999999999999993E-2</v>
      </c>
      <c r="S35" s="74">
        <f t="shared" ca="1" si="6"/>
        <v>5.8333333333333327E-2</v>
      </c>
      <c r="T35" s="74">
        <f t="shared" ca="1" si="6"/>
        <v>4.6666666666666662E-2</v>
      </c>
      <c r="U35" s="74">
        <f t="shared" ca="1" si="6"/>
        <v>3.5000000000000003E-2</v>
      </c>
    </row>
    <row r="36" spans="2:21" ht="16" customHeight="1" x14ac:dyDescent="0.2">
      <c r="B36" s="49" t="s">
        <v>3</v>
      </c>
      <c r="J36" s="76"/>
      <c r="K36" s="142">
        <f>K37*H9</f>
        <v>8.5766261783051162E-2</v>
      </c>
      <c r="L36" s="143">
        <f>H10</f>
        <v>0.1</v>
      </c>
      <c r="M36" s="144">
        <f>L36-($L$36-$U$36)/($U$32-$L$32)</f>
        <v>9.2222222222222233E-2</v>
      </c>
      <c r="N36" s="144">
        <f t="shared" ref="N36:T36" si="7">M36-($L$36-$U$36)/($U$32-$L$32)</f>
        <v>8.4444444444444461E-2</v>
      </c>
      <c r="O36" s="144">
        <f t="shared" si="7"/>
        <v>7.6666666666666689E-2</v>
      </c>
      <c r="P36" s="144">
        <f t="shared" si="7"/>
        <v>6.8888888888888916E-2</v>
      </c>
      <c r="Q36" s="144">
        <f t="shared" si="7"/>
        <v>6.1111111111111137E-2</v>
      </c>
      <c r="R36" s="144">
        <f t="shared" si="7"/>
        <v>5.3333333333333358E-2</v>
      </c>
      <c r="S36" s="144">
        <f t="shared" si="7"/>
        <v>4.5555555555555578E-2</v>
      </c>
      <c r="T36" s="144">
        <f t="shared" si="7"/>
        <v>3.7777777777777799E-2</v>
      </c>
      <c r="U36" s="143">
        <f>H11</f>
        <v>0.03</v>
      </c>
    </row>
    <row r="37" spans="2:21" ht="16" customHeight="1" x14ac:dyDescent="0.2">
      <c r="B37" s="49" t="s">
        <v>14</v>
      </c>
      <c r="J37" s="76"/>
      <c r="K37" s="145">
        <f>'Financials + KPIs'!X40</f>
        <v>9.5295846425612396E-2</v>
      </c>
      <c r="L37" s="143">
        <f>L10</f>
        <v>0.14000000000000001</v>
      </c>
      <c r="M37" s="144">
        <f>L37-($L$37-$U$37)/($U$32-$L$32)</f>
        <v>0.12833333333333335</v>
      </c>
      <c r="N37" s="144">
        <f t="shared" ref="N37:T37" si="8">M37-($L$37-$U$37)/($U$32-$L$32)</f>
        <v>0.11666666666666668</v>
      </c>
      <c r="O37" s="144">
        <f t="shared" si="8"/>
        <v>0.10500000000000001</v>
      </c>
      <c r="P37" s="144">
        <f t="shared" si="8"/>
        <v>9.3333333333333338E-2</v>
      </c>
      <c r="Q37" s="144">
        <f t="shared" si="8"/>
        <v>8.1666666666666665E-2</v>
      </c>
      <c r="R37" s="144">
        <f t="shared" si="8"/>
        <v>6.9999999999999993E-2</v>
      </c>
      <c r="S37" s="144">
        <f t="shared" si="8"/>
        <v>5.8333333333333327E-2</v>
      </c>
      <c r="T37" s="144">
        <f t="shared" si="8"/>
        <v>4.6666666666666662E-2</v>
      </c>
      <c r="U37" s="146">
        <f>L11</f>
        <v>3.5000000000000003E-2</v>
      </c>
    </row>
    <row r="38" spans="2:21" ht="16" customHeight="1" x14ac:dyDescent="0.2">
      <c r="B38" s="49" t="s">
        <v>38</v>
      </c>
      <c r="J38" s="76"/>
      <c r="K38" s="142">
        <f>K37*P9</f>
        <v>0.10482543106817364</v>
      </c>
      <c r="L38" s="143">
        <f>P10</f>
        <v>0.18</v>
      </c>
      <c r="M38" s="144">
        <f>L38-($L$38-$U$38)/($U$32-$L$32)</f>
        <v>0.16444444444444445</v>
      </c>
      <c r="N38" s="144">
        <f t="shared" ref="N38:T38" si="9">M38-($L$38-$U$38)/($U$32-$L$32)</f>
        <v>0.1488888888888889</v>
      </c>
      <c r="O38" s="144">
        <f t="shared" si="9"/>
        <v>0.13333333333333336</v>
      </c>
      <c r="P38" s="144">
        <f t="shared" si="9"/>
        <v>0.1177777777777778</v>
      </c>
      <c r="Q38" s="144">
        <f t="shared" si="9"/>
        <v>0.10222222222222224</v>
      </c>
      <c r="R38" s="144">
        <f t="shared" si="9"/>
        <v>8.6666666666666684E-2</v>
      </c>
      <c r="S38" s="144">
        <f t="shared" si="9"/>
        <v>7.1111111111111125E-2</v>
      </c>
      <c r="T38" s="144">
        <f t="shared" si="9"/>
        <v>5.5555555555555573E-2</v>
      </c>
      <c r="U38" s="143">
        <f>P11</f>
        <v>0.04</v>
      </c>
    </row>
    <row r="39" spans="2:21" ht="16" customHeight="1" x14ac:dyDescent="0.2">
      <c r="B39" s="49" t="s">
        <v>32</v>
      </c>
      <c r="J39" s="76"/>
      <c r="K39" s="44"/>
      <c r="L39" s="8"/>
      <c r="M39" s="8"/>
      <c r="N39" s="8"/>
      <c r="O39" s="8"/>
      <c r="P39" s="8"/>
      <c r="Q39" s="8"/>
      <c r="R39" s="8"/>
      <c r="S39" s="8"/>
      <c r="T39" s="8"/>
      <c r="U39" s="8"/>
    </row>
    <row r="40" spans="2:21" ht="16" customHeight="1" x14ac:dyDescent="0.2">
      <c r="J40" s="76"/>
    </row>
    <row r="41" spans="2:21" ht="16" customHeight="1" x14ac:dyDescent="0.2">
      <c r="B41" s="60" t="s">
        <v>141</v>
      </c>
      <c r="E41" s="70">
        <f>'Financials + KPIs'!R14</f>
        <v>31115</v>
      </c>
      <c r="F41" s="70">
        <f>'Financials + KPIs'!S14</f>
        <v>31975</v>
      </c>
      <c r="G41" s="70">
        <f>'Financials + KPIs'!T14</f>
        <v>38746</v>
      </c>
      <c r="H41" s="70">
        <f>'Financials + KPIs'!U14</f>
        <v>47788</v>
      </c>
      <c r="I41" s="70">
        <f>'Financials + KPIs'!V14</f>
        <v>59532</v>
      </c>
      <c r="J41" s="71">
        <f>'Financials + KPIs'!W14</f>
        <v>74719</v>
      </c>
      <c r="K41" s="77">
        <f ca="1">J41*(1+K42)</f>
        <v>89083.03</v>
      </c>
      <c r="L41" s="72">
        <f t="shared" ref="L41:U41" ca="1" si="10">K41*(1+L42)</f>
        <v>108681.2966</v>
      </c>
      <c r="M41" s="72">
        <f t="shared" ca="1" si="10"/>
        <v>130538.31291622222</v>
      </c>
      <c r="N41" s="72">
        <f t="shared" ca="1" si="10"/>
        <v>154325.29438095604</v>
      </c>
      <c r="O41" s="72">
        <f t="shared" ca="1" si="10"/>
        <v>179531.75912984554</v>
      </c>
      <c r="P41" s="72">
        <f t="shared" ca="1" si="10"/>
        <v>205464.12433748989</v>
      </c>
      <c r="Q41" s="72">
        <f t="shared" ca="1" si="10"/>
        <v>231261.2866154192</v>
      </c>
      <c r="R41" s="72">
        <f t="shared" ca="1" si="10"/>
        <v>255929.1571877306</v>
      </c>
      <c r="S41" s="72">
        <f t="shared" ca="1" si="10"/>
        <v>278394.04987420916</v>
      </c>
      <c r="T41" s="72">
        <f t="shared" ca="1" si="10"/>
        <v>297572.3066433213</v>
      </c>
      <c r="U41" s="72">
        <f t="shared" ca="1" si="10"/>
        <v>312450.92197548738</v>
      </c>
    </row>
    <row r="42" spans="2:21" s="73" customFormat="1" ht="16" customHeight="1" x14ac:dyDescent="0.2">
      <c r="B42" s="73" t="s">
        <v>37</v>
      </c>
      <c r="F42" s="74">
        <f t="shared" ref="F42:H42" si="11">F41/E41-1</f>
        <v>2.7639402217579878E-2</v>
      </c>
      <c r="G42" s="74">
        <f t="shared" si="11"/>
        <v>0.21175918686473816</v>
      </c>
      <c r="H42" s="74">
        <f t="shared" si="11"/>
        <v>0.23336602487998759</v>
      </c>
      <c r="I42" s="74">
        <f>I41/H41-1</f>
        <v>0.24575207164978652</v>
      </c>
      <c r="J42" s="75">
        <f>J41/I41-1</f>
        <v>0.25510649734596513</v>
      </c>
      <c r="K42" s="74">
        <f ca="1">OFFSET(K42,$D$12,0)</f>
        <v>0.19224066167909104</v>
      </c>
      <c r="L42" s="74">
        <f t="shared" ref="L42:U42" ca="1" si="12">OFFSET(L42,$D$12,0)</f>
        <v>0.22</v>
      </c>
      <c r="M42" s="74">
        <f t="shared" ca="1" si="12"/>
        <v>0.20111111111111113</v>
      </c>
      <c r="N42" s="74">
        <f t="shared" ca="1" si="12"/>
        <v>0.18222222222222223</v>
      </c>
      <c r="O42" s="74">
        <f t="shared" ca="1" si="12"/>
        <v>0.16333333333333333</v>
      </c>
      <c r="P42" s="74">
        <f t="shared" ca="1" si="12"/>
        <v>0.14444444444444443</v>
      </c>
      <c r="Q42" s="74">
        <f t="shared" ca="1" si="12"/>
        <v>0.12555555555555553</v>
      </c>
      <c r="R42" s="74">
        <f t="shared" ca="1" si="12"/>
        <v>0.10666666666666665</v>
      </c>
      <c r="S42" s="74">
        <f t="shared" ca="1" si="12"/>
        <v>8.777777777777776E-2</v>
      </c>
      <c r="T42" s="74">
        <f t="shared" ca="1" si="12"/>
        <v>6.8888888888888875E-2</v>
      </c>
      <c r="U42" s="74">
        <f t="shared" ca="1" si="12"/>
        <v>0.05</v>
      </c>
    </row>
    <row r="43" spans="2:21" ht="16" customHeight="1" x14ac:dyDescent="0.2">
      <c r="B43" s="49" t="s">
        <v>3</v>
      </c>
      <c r="J43" s="76"/>
      <c r="K43" s="142">
        <f>K44*H12</f>
        <v>0.17301659551118195</v>
      </c>
      <c r="L43" s="143">
        <f>H13</f>
        <v>0.2</v>
      </c>
      <c r="M43" s="144">
        <f>L43-($L$43-$U$43)/($U$32-$L$32)</f>
        <v>0.18222222222222223</v>
      </c>
      <c r="N43" s="144">
        <f t="shared" ref="N43:T43" si="13">M43-($L$43-$U$43)/($U$32-$L$32)</f>
        <v>0.16444444444444445</v>
      </c>
      <c r="O43" s="144">
        <f t="shared" si="13"/>
        <v>0.14666666666666667</v>
      </c>
      <c r="P43" s="144">
        <f t="shared" si="13"/>
        <v>0.12888888888888889</v>
      </c>
      <c r="Q43" s="144">
        <f t="shared" si="13"/>
        <v>0.1111111111111111</v>
      </c>
      <c r="R43" s="144">
        <f t="shared" si="13"/>
        <v>9.3333333333333324E-2</v>
      </c>
      <c r="S43" s="144">
        <f t="shared" si="13"/>
        <v>7.5555555555555542E-2</v>
      </c>
      <c r="T43" s="144">
        <f t="shared" si="13"/>
        <v>5.7777777777777761E-2</v>
      </c>
      <c r="U43" s="143">
        <f>H14</f>
        <v>0.04</v>
      </c>
    </row>
    <row r="44" spans="2:21" ht="16" customHeight="1" x14ac:dyDescent="0.2">
      <c r="B44" s="49" t="s">
        <v>14</v>
      </c>
      <c r="J44" s="76"/>
      <c r="K44" s="145">
        <f>'Financials + KPIs'!X41</f>
        <v>0.19224066167909104</v>
      </c>
      <c r="L44" s="143">
        <f>L13</f>
        <v>0.22</v>
      </c>
      <c r="M44" s="144">
        <f>L44-($L$44-$U$44)/($U$32-$L$32)</f>
        <v>0.20111111111111113</v>
      </c>
      <c r="N44" s="144">
        <f t="shared" ref="N44:T44" si="14">M44-($L$44-$U$44)/($U$32-$L$32)</f>
        <v>0.18222222222222223</v>
      </c>
      <c r="O44" s="144">
        <f t="shared" si="14"/>
        <v>0.16333333333333333</v>
      </c>
      <c r="P44" s="144">
        <f t="shared" si="14"/>
        <v>0.14444444444444443</v>
      </c>
      <c r="Q44" s="144">
        <f t="shared" si="14"/>
        <v>0.12555555555555553</v>
      </c>
      <c r="R44" s="144">
        <f t="shared" si="14"/>
        <v>0.10666666666666665</v>
      </c>
      <c r="S44" s="144">
        <f t="shared" si="14"/>
        <v>8.777777777777776E-2</v>
      </c>
      <c r="T44" s="144">
        <f t="shared" si="14"/>
        <v>6.8888888888888875E-2</v>
      </c>
      <c r="U44" s="143">
        <f>L14</f>
        <v>0.05</v>
      </c>
    </row>
    <row r="45" spans="2:21" ht="16" customHeight="1" x14ac:dyDescent="0.2">
      <c r="B45" s="49" t="s">
        <v>38</v>
      </c>
      <c r="J45" s="76"/>
      <c r="K45" s="142">
        <f>K44*P12</f>
        <v>0.21146472784700016</v>
      </c>
      <c r="L45" s="143">
        <f>P13</f>
        <v>0.24</v>
      </c>
      <c r="M45" s="144">
        <f>L45-($L$45-$U$45)/($U$32-$L$32)</f>
        <v>0.22</v>
      </c>
      <c r="N45" s="144">
        <f t="shared" ref="N45:T45" si="15">M45-($L$45-$U$45)/($U$32-$L$32)</f>
        <v>0.2</v>
      </c>
      <c r="O45" s="144">
        <f t="shared" si="15"/>
        <v>0.18000000000000002</v>
      </c>
      <c r="P45" s="144">
        <f t="shared" si="15"/>
        <v>0.16000000000000003</v>
      </c>
      <c r="Q45" s="144">
        <f t="shared" si="15"/>
        <v>0.14000000000000004</v>
      </c>
      <c r="R45" s="144">
        <f t="shared" si="15"/>
        <v>0.12000000000000004</v>
      </c>
      <c r="S45" s="144">
        <f t="shared" si="15"/>
        <v>0.10000000000000003</v>
      </c>
      <c r="T45" s="144">
        <f t="shared" si="15"/>
        <v>8.0000000000000029E-2</v>
      </c>
      <c r="U45" s="143">
        <f>P14</f>
        <v>0.06</v>
      </c>
    </row>
    <row r="46" spans="2:21" ht="16" customHeight="1" x14ac:dyDescent="0.2">
      <c r="B46" s="49" t="s">
        <v>32</v>
      </c>
      <c r="J46" s="76"/>
      <c r="K46" s="44"/>
      <c r="L46" s="8"/>
      <c r="M46" s="8"/>
      <c r="N46" s="8"/>
      <c r="O46" s="8"/>
      <c r="P46" s="8"/>
      <c r="Q46" s="8"/>
      <c r="R46" s="8"/>
      <c r="S46" s="8"/>
      <c r="T46" s="8"/>
      <c r="U46" s="8"/>
    </row>
    <row r="47" spans="2:21" customFormat="1" ht="16" customHeight="1" x14ac:dyDescent="0.2">
      <c r="J47" s="78"/>
    </row>
    <row r="48" spans="2:21" ht="16" customHeight="1" x14ac:dyDescent="0.2">
      <c r="B48" s="60" t="s">
        <v>142</v>
      </c>
      <c r="E48" s="70">
        <f>'Financials + KPIs'!R15</f>
        <v>38925</v>
      </c>
      <c r="F48" s="70">
        <f>'Financials + KPIs'!S15</f>
        <v>42017</v>
      </c>
      <c r="G48" s="70">
        <f>'Financials + KPIs'!T15</f>
        <v>45504</v>
      </c>
      <c r="H48" s="70">
        <f>'Financials + KPIs'!U15</f>
        <v>48066</v>
      </c>
      <c r="I48" s="70">
        <f>'Financials + KPIs'!V15</f>
        <v>53916</v>
      </c>
      <c r="J48" s="71">
        <f>'Financials + KPIs'!W15</f>
        <v>59573</v>
      </c>
      <c r="K48" s="77">
        <f ca="1">J48*(1+K49)</f>
        <v>53635.74</v>
      </c>
      <c r="L48" s="72">
        <f t="shared" ref="L48" ca="1" si="16">K48*(1+L49)</f>
        <v>51323.553094223884</v>
      </c>
      <c r="M48" s="72">
        <f t="shared" ref="M48" ca="1" si="17">L48*(1+M49)</f>
        <v>52013.6221139884</v>
      </c>
      <c r="N48" s="72">
        <f t="shared" ref="N48" ca="1" si="18">M48*(1+N49)</f>
        <v>55654.575661967589</v>
      </c>
      <c r="O48" s="72">
        <f t="shared" ref="O48" ca="1" si="19">N48*(1+O49)</f>
        <v>59232.369811665507</v>
      </c>
      <c r="P48" s="72">
        <f t="shared" ref="P48" ca="1" si="20">O48*(1+P49)</f>
        <v>62701.694329205908</v>
      </c>
      <c r="Q48" s="72">
        <f t="shared" ref="Q48" ca="1" si="21">P48*(1+Q49)</f>
        <v>66015.92674374966</v>
      </c>
      <c r="R48" s="72">
        <f t="shared" ref="R48" ca="1" si="22">Q48*(1+R49)</f>
        <v>69128.106147383573</v>
      </c>
      <c r="S48" s="72">
        <f t="shared" ref="S48" ca="1" si="23">R48*(1+S49)</f>
        <v>71991.984830632311</v>
      </c>
      <c r="T48" s="72">
        <f t="shared" ref="T48" ca="1" si="24">S48*(1+T49)</f>
        <v>74563.127146012048</v>
      </c>
      <c r="U48" s="72">
        <f t="shared" ref="U48" ca="1" si="25">T48*(1+U49)</f>
        <v>76800.020960392416</v>
      </c>
    </row>
    <row r="49" spans="1:21" s="73" customFormat="1" ht="16" customHeight="1" x14ac:dyDescent="0.2">
      <c r="B49" s="73" t="s">
        <v>37</v>
      </c>
      <c r="F49" s="74">
        <f t="shared" ref="F49" si="26">F48/E48-1</f>
        <v>7.9434810533076439E-2</v>
      </c>
      <c r="G49" s="74">
        <f t="shared" ref="G49" si="27">G48/F48-1</f>
        <v>8.2990218244995972E-2</v>
      </c>
      <c r="H49" s="74">
        <f t="shared" ref="H49" si="28">H48/G48-1</f>
        <v>5.6302742616033852E-2</v>
      </c>
      <c r="I49" s="74">
        <f>I48/H48-1</f>
        <v>0.12170765197852962</v>
      </c>
      <c r="J49" s="75">
        <f>J48/I48-1</f>
        <v>0.10492247199347138</v>
      </c>
      <c r="K49" s="74">
        <f ca="1">OFFSET(K49,$D$15,0)</f>
        <v>-9.9663605996004989E-2</v>
      </c>
      <c r="L49" s="74">
        <f t="shared" ref="L49:U49" ca="1" si="29">OFFSET(L49,$D$15,0)</f>
        <v>-4.3109070664003324E-2</v>
      </c>
      <c r="M49" s="74">
        <f t="shared" ca="1" si="29"/>
        <v>1.3445464667998341E-2</v>
      </c>
      <c r="N49" s="74">
        <f t="shared" ca="1" si="29"/>
        <v>7.0000000000000007E-2</v>
      </c>
      <c r="O49" s="74">
        <f t="shared" ca="1" si="29"/>
        <v>6.4285714285714293E-2</v>
      </c>
      <c r="P49" s="74">
        <f t="shared" ca="1" si="29"/>
        <v>5.857142857142858E-2</v>
      </c>
      <c r="Q49" s="74">
        <f t="shared" ca="1" si="29"/>
        <v>5.2857142857142866E-2</v>
      </c>
      <c r="R49" s="74">
        <f t="shared" ca="1" si="29"/>
        <v>4.7142857142857153E-2</v>
      </c>
      <c r="S49" s="74">
        <f t="shared" ca="1" si="29"/>
        <v>4.142857142857144E-2</v>
      </c>
      <c r="T49" s="74">
        <f t="shared" ca="1" si="29"/>
        <v>3.5714285714285726E-2</v>
      </c>
      <c r="U49" s="74">
        <f t="shared" ca="1" si="29"/>
        <v>0.03</v>
      </c>
    </row>
    <row r="50" spans="1:21" ht="16" customHeight="1" x14ac:dyDescent="0.2">
      <c r="B50" s="49" t="s">
        <v>3</v>
      </c>
      <c r="J50" s="76"/>
      <c r="K50" s="142">
        <f>K51*H15</f>
        <v>-0.10962996659560549</v>
      </c>
      <c r="L50" s="144">
        <f>K50-($K$50-$N$50)/($N$32-$K$32)</f>
        <v>-5.308664439707033E-2</v>
      </c>
      <c r="M50" s="144">
        <f>L50-($K$50-$N$50)/($N$32-$K$32)</f>
        <v>3.4566778014648303E-3</v>
      </c>
      <c r="N50" s="143">
        <f>H16</f>
        <v>0.06</v>
      </c>
      <c r="O50" s="144">
        <f>N50-($N$50-$U$50)/($U$32-$N$32)</f>
        <v>5.5E-2</v>
      </c>
      <c r="P50" s="144">
        <f t="shared" ref="P50:T50" si="30">O50-($N$50-$U$50)/($U$32-$N$32)</f>
        <v>0.05</v>
      </c>
      <c r="Q50" s="144">
        <f t="shared" si="30"/>
        <v>4.5000000000000005E-2</v>
      </c>
      <c r="R50" s="144">
        <f t="shared" si="30"/>
        <v>4.0000000000000008E-2</v>
      </c>
      <c r="S50" s="144">
        <f t="shared" si="30"/>
        <v>3.500000000000001E-2</v>
      </c>
      <c r="T50" s="144">
        <f t="shared" si="30"/>
        <v>3.0000000000000013E-2</v>
      </c>
      <c r="U50" s="146">
        <f>H17</f>
        <v>2.5000000000000001E-2</v>
      </c>
    </row>
    <row r="51" spans="1:21" ht="16" customHeight="1" x14ac:dyDescent="0.2">
      <c r="B51" s="49" t="s">
        <v>14</v>
      </c>
      <c r="J51" s="76"/>
      <c r="K51" s="145">
        <f>'Financials + KPIs'!X42</f>
        <v>-9.9663605996004989E-2</v>
      </c>
      <c r="L51" s="144">
        <f>K51-($K$51-$N$51)/($N$32-$K$32)</f>
        <v>-4.3109070664003324E-2</v>
      </c>
      <c r="M51" s="144">
        <f>L51-($K$51-$N$51)/($N$32-$K$32)</f>
        <v>1.3445464667998341E-2</v>
      </c>
      <c r="N51" s="143">
        <f>L16</f>
        <v>7.0000000000000007E-2</v>
      </c>
      <c r="O51" s="144">
        <f>N51-($N$51-$U$51)/($U$32-$N$32)</f>
        <v>6.4285714285714293E-2</v>
      </c>
      <c r="P51" s="144">
        <f t="shared" ref="P51:T51" si="31">O51-($N$51-$U$51)/($U$32-$N$32)</f>
        <v>5.857142857142858E-2</v>
      </c>
      <c r="Q51" s="144">
        <f t="shared" si="31"/>
        <v>5.2857142857142866E-2</v>
      </c>
      <c r="R51" s="144">
        <f t="shared" si="31"/>
        <v>4.7142857142857153E-2</v>
      </c>
      <c r="S51" s="144">
        <f t="shared" si="31"/>
        <v>4.142857142857144E-2</v>
      </c>
      <c r="T51" s="144">
        <f t="shared" si="31"/>
        <v>3.5714285714285726E-2</v>
      </c>
      <c r="U51" s="143">
        <f>L17</f>
        <v>0.03</v>
      </c>
    </row>
    <row r="52" spans="1:21" ht="16" customHeight="1" x14ac:dyDescent="0.2">
      <c r="B52" s="49" t="s">
        <v>38</v>
      </c>
      <c r="J52" s="76"/>
      <c r="K52" s="142">
        <f>K51*P15</f>
        <v>-8.9697245396404487E-2</v>
      </c>
      <c r="L52" s="144">
        <f>K52-($K$52-$N$52)/($N$32-$K$32)</f>
        <v>-3.3131496930936324E-2</v>
      </c>
      <c r="M52" s="144">
        <f>L52-($K$52-$N$52)/($N$32-$K$32)</f>
        <v>2.3434251534531839E-2</v>
      </c>
      <c r="N52" s="143">
        <f>P16</f>
        <v>0.08</v>
      </c>
      <c r="O52" s="144">
        <f>N52-($N$52-$U$52)/($U$32-$N$32)</f>
        <v>7.3571428571428579E-2</v>
      </c>
      <c r="P52" s="144">
        <f t="shared" ref="P52:T52" si="32">O52-($N$52-$U$52)/($U$32-$N$32)</f>
        <v>6.7142857142857157E-2</v>
      </c>
      <c r="Q52" s="144">
        <f t="shared" si="32"/>
        <v>6.0714285714285728E-2</v>
      </c>
      <c r="R52" s="144">
        <f t="shared" si="32"/>
        <v>5.4285714285714298E-2</v>
      </c>
      <c r="S52" s="144">
        <f t="shared" si="32"/>
        <v>4.7857142857142869E-2</v>
      </c>
      <c r="T52" s="144">
        <f t="shared" si="32"/>
        <v>4.142857142857144E-2</v>
      </c>
      <c r="U52" s="146">
        <f>P17</f>
        <v>3.5000000000000003E-2</v>
      </c>
    </row>
    <row r="53" spans="1:21" ht="16" customHeight="1" x14ac:dyDescent="0.2">
      <c r="B53" s="49" t="s">
        <v>32</v>
      </c>
      <c r="J53" s="76"/>
      <c r="K53" s="44"/>
      <c r="L53" s="8"/>
      <c r="M53" s="8"/>
      <c r="N53" s="8"/>
      <c r="O53" s="8"/>
      <c r="P53" s="8"/>
      <c r="Q53" s="8"/>
      <c r="R53" s="8"/>
      <c r="S53" s="8"/>
      <c r="T53" s="8"/>
      <c r="U53" s="8"/>
    </row>
    <row r="54" spans="1:21" customFormat="1" ht="16" customHeight="1" x14ac:dyDescent="0.2">
      <c r="J54" s="78"/>
    </row>
    <row r="55" spans="1:21" ht="16" customHeight="1" x14ac:dyDescent="0.2">
      <c r="B55" s="79" t="s">
        <v>39</v>
      </c>
      <c r="C55" s="80"/>
      <c r="D55" s="80"/>
      <c r="E55" s="81">
        <f>E41+E34+E48</f>
        <v>96571</v>
      </c>
      <c r="F55" s="81">
        <f>F41+F34+F48</f>
        <v>110360</v>
      </c>
      <c r="G55" s="81">
        <f t="shared" ref="G55:U55" si="33">G41+G34+G48</f>
        <v>125843</v>
      </c>
      <c r="H55" s="81">
        <f t="shared" si="33"/>
        <v>143015</v>
      </c>
      <c r="I55" s="81">
        <f t="shared" si="33"/>
        <v>168088</v>
      </c>
      <c r="J55" s="82">
        <f t="shared" si="33"/>
        <v>198261</v>
      </c>
      <c r="K55" s="81">
        <f ca="1">K41+K34+K48</f>
        <v>212783.75</v>
      </c>
      <c r="L55" s="81">
        <f t="shared" ca="1" si="33"/>
        <v>239878.9268942239</v>
      </c>
      <c r="M55" s="81">
        <f t="shared" ca="1" si="33"/>
        <v>272676.51880421059</v>
      </c>
      <c r="N55" s="81">
        <f t="shared" ca="1" si="33"/>
        <v>310618.98859055695</v>
      </c>
      <c r="O55" s="81">
        <f t="shared" ca="1" si="33"/>
        <v>349970.35493664589</v>
      </c>
      <c r="P55" s="81">
        <f t="shared" ca="1" si="33"/>
        <v>389751.29242137657</v>
      </c>
      <c r="Q55" s="81">
        <f t="shared" ca="1" si="33"/>
        <v>428792.16747048183</v>
      </c>
      <c r="R55" s="81">
        <f t="shared" ca="1" si="33"/>
        <v>465778.2642342191</v>
      </c>
      <c r="S55" s="81">
        <f t="shared" ca="1" si="33"/>
        <v>499315.76065639418</v>
      </c>
      <c r="T55" s="81">
        <f t="shared" ca="1" si="33"/>
        <v>528015.21361862519</v>
      </c>
      <c r="U55" s="81">
        <f t="shared" ca="1" si="33"/>
        <v>550586.51505919674</v>
      </c>
    </row>
    <row r="56" spans="1:21" s="73" customFormat="1" ht="16" customHeight="1" x14ac:dyDescent="0.2">
      <c r="B56" s="73" t="s">
        <v>37</v>
      </c>
      <c r="F56" s="74">
        <f>F55/E55-1</f>
        <v>0.14278613662486661</v>
      </c>
      <c r="G56" s="74">
        <f t="shared" ref="G56:U56" si="34">G55/F55-1</f>
        <v>0.14029539688292858</v>
      </c>
      <c r="H56" s="74">
        <f t="shared" si="34"/>
        <v>0.13645574247276371</v>
      </c>
      <c r="I56" s="74">
        <f t="shared" si="34"/>
        <v>0.17531727441177503</v>
      </c>
      <c r="J56" s="75">
        <f t="shared" si="34"/>
        <v>0.17950716291466384</v>
      </c>
      <c r="K56" s="74">
        <f t="shared" ca="1" si="34"/>
        <v>7.3250664528071496E-2</v>
      </c>
      <c r="L56" s="74">
        <f t="shared" ca="1" si="34"/>
        <v>0.12733668287274713</v>
      </c>
      <c r="M56" s="74">
        <f t="shared" ca="1" si="34"/>
        <v>0.13672560709948889</v>
      </c>
      <c r="N56" s="74">
        <f t="shared" ca="1" si="34"/>
        <v>0.13914828439477822</v>
      </c>
      <c r="O56" s="74">
        <f t="shared" ca="1" si="34"/>
        <v>0.12668693090736971</v>
      </c>
      <c r="P56" s="74">
        <f t="shared" ca="1" si="34"/>
        <v>0.11366944920786826</v>
      </c>
      <c r="Q56" s="74">
        <f t="shared" ca="1" si="34"/>
        <v>0.10016868656562794</v>
      </c>
      <c r="R56" s="74">
        <f t="shared" ca="1" si="34"/>
        <v>8.6256465415225581E-2</v>
      </c>
      <c r="S56" s="74">
        <f t="shared" ca="1" si="34"/>
        <v>7.2003137538660722E-2</v>
      </c>
      <c r="T56" s="74">
        <f t="shared" ca="1" si="34"/>
        <v>5.7477562744070232E-2</v>
      </c>
      <c r="U56" s="74">
        <f t="shared" ca="1" si="34"/>
        <v>4.2747445259928352E-2</v>
      </c>
    </row>
    <row r="57" spans="1:21" ht="16" customHeight="1" x14ac:dyDescent="0.2">
      <c r="J57" s="76"/>
    </row>
    <row r="58" spans="1:21" ht="16" customHeight="1" x14ac:dyDescent="0.2">
      <c r="A58" s="49" t="s">
        <v>10</v>
      </c>
      <c r="B58" s="56" t="s">
        <v>139</v>
      </c>
      <c r="C58" s="56"/>
      <c r="D58" s="56"/>
      <c r="E58" s="67">
        <v>2017</v>
      </c>
      <c r="F58" s="67">
        <f>E58+1</f>
        <v>2018</v>
      </c>
      <c r="G58" s="67">
        <f t="shared" ref="G58" si="35">F58+1</f>
        <v>2019</v>
      </c>
      <c r="H58" s="67">
        <f t="shared" ref="H58" si="36">G58+1</f>
        <v>2020</v>
      </c>
      <c r="I58" s="67">
        <f t="shared" ref="I58" si="37">H58+1</f>
        <v>2021</v>
      </c>
      <c r="J58" s="67">
        <f t="shared" ref="J58" si="38">I58+1</f>
        <v>2022</v>
      </c>
      <c r="K58" s="68">
        <v>2023</v>
      </c>
      <c r="L58" s="68">
        <f>K58+1</f>
        <v>2024</v>
      </c>
      <c r="M58" s="68">
        <f t="shared" ref="M58" si="39">L58+1</f>
        <v>2025</v>
      </c>
      <c r="N58" s="68">
        <f t="shared" ref="N58" si="40">M58+1</f>
        <v>2026</v>
      </c>
      <c r="O58" s="68">
        <f t="shared" ref="O58" si="41">N58+1</f>
        <v>2027</v>
      </c>
      <c r="P58" s="68">
        <f t="shared" ref="P58" si="42">O58+1</f>
        <v>2028</v>
      </c>
      <c r="Q58" s="68">
        <f t="shared" ref="Q58" si="43">P58+1</f>
        <v>2029</v>
      </c>
      <c r="R58" s="68">
        <f t="shared" ref="R58" si="44">Q58+1</f>
        <v>2030</v>
      </c>
      <c r="S58" s="68">
        <f t="shared" ref="S58" si="45">R58+1</f>
        <v>2031</v>
      </c>
      <c r="T58" s="68">
        <f t="shared" ref="T58" si="46">S58+1</f>
        <v>2032</v>
      </c>
      <c r="U58" s="68">
        <f t="shared" ref="U58" si="47">T58+1</f>
        <v>2033</v>
      </c>
    </row>
    <row r="59" spans="1:21" ht="16" customHeight="1" x14ac:dyDescent="0.2">
      <c r="B59" s="56" t="s">
        <v>36</v>
      </c>
      <c r="C59" s="56"/>
      <c r="D59" s="56"/>
      <c r="E59" s="69">
        <f>EDATE(F59,-12)</f>
        <v>42916</v>
      </c>
      <c r="F59" s="69">
        <f t="shared" ref="F59" si="48">EDATE(G59,-12)</f>
        <v>43281</v>
      </c>
      <c r="G59" s="69">
        <f t="shared" ref="G59" si="49">EDATE(H59,-12)</f>
        <v>43646</v>
      </c>
      <c r="H59" s="69">
        <f t="shared" ref="H59" si="50">EDATE(I59,-12)</f>
        <v>44012</v>
      </c>
      <c r="I59" s="69">
        <f t="shared" ref="I59" si="51">EDATE(J59,-12)</f>
        <v>44377</v>
      </c>
      <c r="J59" s="69">
        <f>EDATE(K59,-12)</f>
        <v>44742</v>
      </c>
      <c r="K59" s="69">
        <v>45107</v>
      </c>
      <c r="L59" s="69">
        <f>EDATE(K59,12)</f>
        <v>45473</v>
      </c>
      <c r="M59" s="69">
        <f t="shared" ref="M59" si="52">EDATE(L59,12)</f>
        <v>45838</v>
      </c>
      <c r="N59" s="69">
        <f t="shared" ref="N59" si="53">EDATE(M59,12)</f>
        <v>46203</v>
      </c>
      <c r="O59" s="69">
        <f t="shared" ref="O59" si="54">EDATE(N59,12)</f>
        <v>46568</v>
      </c>
      <c r="P59" s="69">
        <f t="shared" ref="P59" si="55">EDATE(O59,12)</f>
        <v>46934</v>
      </c>
      <c r="Q59" s="69">
        <f t="shared" ref="Q59" si="56">EDATE(P59,12)</f>
        <v>47299</v>
      </c>
      <c r="R59" s="69">
        <f t="shared" ref="R59" si="57">EDATE(Q59,12)</f>
        <v>47664</v>
      </c>
      <c r="S59" s="69">
        <f t="shared" ref="S59" si="58">EDATE(R59,12)</f>
        <v>48029</v>
      </c>
      <c r="T59" s="69">
        <f t="shared" ref="T59" si="59">EDATE(S59,12)</f>
        <v>48395</v>
      </c>
      <c r="U59" s="69">
        <f t="shared" ref="U59" si="60">EDATE(T59,12)</f>
        <v>48760</v>
      </c>
    </row>
    <row r="60" spans="1:21" ht="16" customHeight="1" x14ac:dyDescent="0.2">
      <c r="B60" s="49" t="s">
        <v>40</v>
      </c>
      <c r="E60" s="83">
        <f>E55</f>
        <v>96571</v>
      </c>
      <c r="F60" s="83">
        <f t="shared" ref="F60:U61" si="61">F55</f>
        <v>110360</v>
      </c>
      <c r="G60" s="83">
        <f t="shared" si="61"/>
        <v>125843</v>
      </c>
      <c r="H60" s="83">
        <f t="shared" si="61"/>
        <v>143015</v>
      </c>
      <c r="I60" s="83">
        <f t="shared" si="61"/>
        <v>168088</v>
      </c>
      <c r="J60" s="84">
        <f t="shared" si="61"/>
        <v>198261</v>
      </c>
      <c r="K60" s="83">
        <f t="shared" ca="1" si="61"/>
        <v>212783.75</v>
      </c>
      <c r="L60" s="83">
        <f t="shared" ca="1" si="61"/>
        <v>239878.9268942239</v>
      </c>
      <c r="M60" s="83">
        <f t="shared" ca="1" si="61"/>
        <v>272676.51880421059</v>
      </c>
      <c r="N60" s="83">
        <f t="shared" ca="1" si="61"/>
        <v>310618.98859055695</v>
      </c>
      <c r="O60" s="83">
        <f t="shared" ca="1" si="61"/>
        <v>349970.35493664589</v>
      </c>
      <c r="P60" s="83">
        <f t="shared" ca="1" si="61"/>
        <v>389751.29242137657</v>
      </c>
      <c r="Q60" s="83">
        <f t="shared" ca="1" si="61"/>
        <v>428792.16747048183</v>
      </c>
      <c r="R60" s="83">
        <f t="shared" ca="1" si="61"/>
        <v>465778.2642342191</v>
      </c>
      <c r="S60" s="83">
        <f t="shared" ca="1" si="61"/>
        <v>499315.76065639418</v>
      </c>
      <c r="T60" s="83">
        <f t="shared" ca="1" si="61"/>
        <v>528015.21361862519</v>
      </c>
      <c r="U60" s="83">
        <f t="shared" ca="1" si="61"/>
        <v>550586.51505919674</v>
      </c>
    </row>
    <row r="61" spans="1:21" s="73" customFormat="1" ht="16" customHeight="1" x14ac:dyDescent="0.2">
      <c r="B61" s="73" t="s">
        <v>37</v>
      </c>
      <c r="E61" s="85"/>
      <c r="F61" s="86">
        <f>F56</f>
        <v>0.14278613662486661</v>
      </c>
      <c r="G61" s="86">
        <f t="shared" si="61"/>
        <v>0.14029539688292858</v>
      </c>
      <c r="H61" s="86">
        <f t="shared" si="61"/>
        <v>0.13645574247276371</v>
      </c>
      <c r="I61" s="86">
        <f t="shared" si="61"/>
        <v>0.17531727441177503</v>
      </c>
      <c r="J61" s="87">
        <f t="shared" si="61"/>
        <v>0.17950716291466384</v>
      </c>
      <c r="K61" s="86">
        <f t="shared" ca="1" si="61"/>
        <v>7.3250664528071496E-2</v>
      </c>
      <c r="L61" s="86">
        <f t="shared" ca="1" si="61"/>
        <v>0.12733668287274713</v>
      </c>
      <c r="M61" s="86">
        <f t="shared" ca="1" si="61"/>
        <v>0.13672560709948889</v>
      </c>
      <c r="N61" s="86">
        <f t="shared" ca="1" si="61"/>
        <v>0.13914828439477822</v>
      </c>
      <c r="O61" s="86">
        <f t="shared" ca="1" si="61"/>
        <v>0.12668693090736971</v>
      </c>
      <c r="P61" s="86">
        <f t="shared" ca="1" si="61"/>
        <v>0.11366944920786826</v>
      </c>
      <c r="Q61" s="86">
        <f t="shared" ca="1" si="61"/>
        <v>0.10016868656562794</v>
      </c>
      <c r="R61" s="86">
        <f t="shared" ca="1" si="61"/>
        <v>8.6256465415225581E-2</v>
      </c>
      <c r="S61" s="86">
        <f t="shared" ca="1" si="61"/>
        <v>7.2003137538660722E-2</v>
      </c>
      <c r="T61" s="86">
        <f t="shared" ca="1" si="61"/>
        <v>5.7477562744070232E-2</v>
      </c>
      <c r="U61" s="86">
        <f t="shared" ca="1" si="61"/>
        <v>4.2747445259928352E-2</v>
      </c>
    </row>
    <row r="62" spans="1:21" ht="16" customHeight="1" x14ac:dyDescent="0.2">
      <c r="E62" s="9"/>
      <c r="F62" s="9"/>
      <c r="G62" s="9"/>
      <c r="H62" s="9"/>
      <c r="I62" s="9"/>
      <c r="J62" s="88"/>
      <c r="K62" s="9"/>
      <c r="L62" s="9"/>
      <c r="M62" s="9"/>
      <c r="N62" s="9"/>
      <c r="O62" s="9"/>
      <c r="P62" s="9"/>
      <c r="Q62" s="9"/>
      <c r="R62" s="9"/>
      <c r="S62" s="9"/>
      <c r="T62" s="9"/>
      <c r="U62" s="9"/>
    </row>
    <row r="63" spans="1:21" s="72" customFormat="1" ht="16" customHeight="1" x14ac:dyDescent="0.2">
      <c r="B63" s="72" t="s">
        <v>41</v>
      </c>
      <c r="E63" s="70">
        <f>'Financials + KPIs'!R23</f>
        <v>29331</v>
      </c>
      <c r="F63" s="70">
        <f>'Financials + KPIs'!S23</f>
        <v>35058</v>
      </c>
      <c r="G63" s="70">
        <f>'Financials + KPIs'!T23</f>
        <v>42959</v>
      </c>
      <c r="H63" s="70">
        <f>'Financials + KPIs'!U23</f>
        <v>52959</v>
      </c>
      <c r="I63" s="70">
        <f>'Financials + KPIs'!V23</f>
        <v>69916</v>
      </c>
      <c r="J63" s="71">
        <f>'Financials + KPIs'!W23</f>
        <v>83383</v>
      </c>
      <c r="K63" s="77">
        <f ca="1">K60*K64</f>
        <v>84458.740896980235</v>
      </c>
      <c r="L63" s="77">
        <f t="shared" ref="L63:U63" ca="1" si="62">L60*L64</f>
        <v>97197.062242936954</v>
      </c>
      <c r="M63" s="77">
        <f t="shared" ca="1" si="62"/>
        <v>112741.22741952974</v>
      </c>
      <c r="N63" s="77">
        <f t="shared" ca="1" si="62"/>
        <v>130997.57044472916</v>
      </c>
      <c r="O63" s="77">
        <f t="shared" ca="1" si="62"/>
        <v>150487.25262275772</v>
      </c>
      <c r="P63" s="77">
        <f t="shared" ca="1" si="62"/>
        <v>167593.05574119193</v>
      </c>
      <c r="Q63" s="77">
        <f t="shared" ca="1" si="62"/>
        <v>184380.63201230718</v>
      </c>
      <c r="R63" s="77">
        <f t="shared" ca="1" si="62"/>
        <v>200284.65362071421</v>
      </c>
      <c r="S63" s="77">
        <f t="shared" ca="1" si="62"/>
        <v>214705.77708224949</v>
      </c>
      <c r="T63" s="77">
        <f t="shared" ca="1" si="62"/>
        <v>227046.54185600881</v>
      </c>
      <c r="U63" s="77">
        <f t="shared" ca="1" si="62"/>
        <v>236752.20147545458</v>
      </c>
    </row>
    <row r="64" spans="1:21" s="73" customFormat="1" ht="16" customHeight="1" x14ac:dyDescent="0.2">
      <c r="B64" s="73" t="s">
        <v>42</v>
      </c>
      <c r="E64" s="89">
        <f>E63/E60</f>
        <v>0.30372472067183731</v>
      </c>
      <c r="F64" s="89">
        <f t="shared" ref="F64:J64" si="63">F63/F60</f>
        <v>0.31766944545125048</v>
      </c>
      <c r="G64" s="89">
        <f t="shared" si="63"/>
        <v>0.3413698020549415</v>
      </c>
      <c r="H64" s="89">
        <f t="shared" si="63"/>
        <v>0.37030381428521486</v>
      </c>
      <c r="I64" s="89">
        <f t="shared" si="63"/>
        <v>0.41594878872971303</v>
      </c>
      <c r="J64" s="90">
        <f t="shared" si="63"/>
        <v>0.4205718724307857</v>
      </c>
      <c r="K64" s="89">
        <f ca="1">OFFSET(K64,$D$18,0)</f>
        <v>0.39692288953916938</v>
      </c>
      <c r="L64" s="89">
        <f t="shared" ref="L64:U64" ca="1" si="64">OFFSET(L64,$D$18,0)</f>
        <v>0.405192167154377</v>
      </c>
      <c r="M64" s="89">
        <f t="shared" ca="1" si="64"/>
        <v>0.41346144476958469</v>
      </c>
      <c r="N64" s="89">
        <f t="shared" ca="1" si="64"/>
        <v>0.42173072238479237</v>
      </c>
      <c r="O64" s="89">
        <f t="shared" ca="1" si="64"/>
        <v>0.43</v>
      </c>
      <c r="P64" s="89">
        <f t="shared" ca="1" si="64"/>
        <v>0.43</v>
      </c>
      <c r="Q64" s="89">
        <f t="shared" ca="1" si="64"/>
        <v>0.43</v>
      </c>
      <c r="R64" s="89">
        <f t="shared" ca="1" si="64"/>
        <v>0.43</v>
      </c>
      <c r="S64" s="89">
        <f t="shared" ca="1" si="64"/>
        <v>0.43</v>
      </c>
      <c r="T64" s="89">
        <f t="shared" ca="1" si="64"/>
        <v>0.43</v>
      </c>
      <c r="U64" s="89">
        <f t="shared" ca="1" si="64"/>
        <v>0.43</v>
      </c>
    </row>
    <row r="65" spans="2:21" ht="16" customHeight="1" x14ac:dyDescent="0.2">
      <c r="B65" s="49" t="s">
        <v>3</v>
      </c>
      <c r="J65" s="76"/>
      <c r="K65" s="142">
        <f>K66</f>
        <v>0.39692288953916938</v>
      </c>
      <c r="L65" s="144">
        <f>K65-($K$65-$O$65)/($O$58-$K$58)</f>
        <v>0.400192167154377</v>
      </c>
      <c r="M65" s="144">
        <f t="shared" ref="M65:N65" si="65">L65-($K$65-$O$65)/($O$58-$K$58)</f>
        <v>0.40346144476958468</v>
      </c>
      <c r="N65" s="144">
        <f t="shared" si="65"/>
        <v>0.40673072238479235</v>
      </c>
      <c r="O65" s="143">
        <f>H18</f>
        <v>0.41</v>
      </c>
      <c r="P65" s="144">
        <f>O65-($O$65-$U$65)/($U$58-$O$58)</f>
        <v>0.40166666666666662</v>
      </c>
      <c r="Q65" s="144">
        <f t="shared" ref="Q65:T65" si="66">P65-($O$65-$U$65)/($U$58-$O$58)</f>
        <v>0.39333333333333331</v>
      </c>
      <c r="R65" s="144">
        <f t="shared" si="66"/>
        <v>0.38500000000000001</v>
      </c>
      <c r="S65" s="144">
        <f t="shared" si="66"/>
        <v>0.37666666666666671</v>
      </c>
      <c r="T65" s="144">
        <f t="shared" si="66"/>
        <v>0.3683333333333334</v>
      </c>
      <c r="U65" s="143">
        <f>H19</f>
        <v>0.36</v>
      </c>
    </row>
    <row r="66" spans="2:21" ht="16" customHeight="1" x14ac:dyDescent="0.2">
      <c r="B66" s="49" t="s">
        <v>14</v>
      </c>
      <c r="J66" s="76"/>
      <c r="K66" s="145">
        <f>'Financials + KPIs'!X48</f>
        <v>0.39692288953916938</v>
      </c>
      <c r="L66" s="144">
        <f>K66-($K$66-$O$66)/($O$58-$K$58)</f>
        <v>0.405192167154377</v>
      </c>
      <c r="M66" s="144">
        <f t="shared" ref="M66:N66" si="67">L66-($K$66-$O$66)/($O$58-$K$58)</f>
        <v>0.41346144476958469</v>
      </c>
      <c r="N66" s="144">
        <f t="shared" si="67"/>
        <v>0.42173072238479237</v>
      </c>
      <c r="O66" s="143">
        <f>L18</f>
        <v>0.43</v>
      </c>
      <c r="P66" s="144">
        <f>O66</f>
        <v>0.43</v>
      </c>
      <c r="Q66" s="144">
        <f t="shared" ref="Q66:U66" si="68">P66</f>
        <v>0.43</v>
      </c>
      <c r="R66" s="144">
        <f t="shared" si="68"/>
        <v>0.43</v>
      </c>
      <c r="S66" s="144">
        <f t="shared" si="68"/>
        <v>0.43</v>
      </c>
      <c r="T66" s="144">
        <f t="shared" si="68"/>
        <v>0.43</v>
      </c>
      <c r="U66" s="144">
        <f t="shared" si="68"/>
        <v>0.43</v>
      </c>
    </row>
    <row r="67" spans="2:21" ht="16" customHeight="1" x14ac:dyDescent="0.2">
      <c r="B67" s="49" t="s">
        <v>38</v>
      </c>
      <c r="J67" s="76"/>
      <c r="K67" s="142">
        <f>K66</f>
        <v>0.39692288953916938</v>
      </c>
      <c r="L67" s="144">
        <f>K67-($K$67-$O$67)/($O$58-$K$58)</f>
        <v>0.41019216715437701</v>
      </c>
      <c r="M67" s="144">
        <f t="shared" ref="M67:N67" si="69">L67-($K$67-$O$67)/($O$58-$K$58)</f>
        <v>0.42346144476958469</v>
      </c>
      <c r="N67" s="144">
        <f t="shared" si="69"/>
        <v>0.43673072238479238</v>
      </c>
      <c r="O67" s="143">
        <f>P18</f>
        <v>0.45</v>
      </c>
      <c r="P67" s="144">
        <f>O67-($O$67-$U$67)/($U$58-$O$58)</f>
        <v>0.45833333333333337</v>
      </c>
      <c r="Q67" s="144">
        <f t="shared" ref="Q67:T67" si="70">P67-($O$67-$U$67)/($U$58-$O$58)</f>
        <v>0.46666666666666667</v>
      </c>
      <c r="R67" s="144">
        <f t="shared" si="70"/>
        <v>0.47499999999999998</v>
      </c>
      <c r="S67" s="144">
        <f t="shared" si="70"/>
        <v>0.48333333333333328</v>
      </c>
      <c r="T67" s="144">
        <f t="shared" si="70"/>
        <v>0.49166666666666659</v>
      </c>
      <c r="U67" s="143">
        <f>P19</f>
        <v>0.5</v>
      </c>
    </row>
    <row r="68" spans="2:21" ht="16" customHeight="1" x14ac:dyDescent="0.2">
      <c r="B68" s="49" t="s">
        <v>32</v>
      </c>
      <c r="J68" s="76"/>
      <c r="K68" s="44"/>
      <c r="L68" s="8"/>
      <c r="M68" s="8"/>
      <c r="N68" s="8"/>
      <c r="O68" s="8"/>
      <c r="P68" s="8"/>
      <c r="Q68" s="8"/>
      <c r="R68" s="8"/>
      <c r="S68" s="8"/>
      <c r="T68" s="8"/>
      <c r="U68" s="8"/>
    </row>
    <row r="69" spans="2:21" ht="16" customHeight="1" x14ac:dyDescent="0.2">
      <c r="J69" s="76"/>
    </row>
    <row r="70" spans="2:21" ht="16" customHeight="1" x14ac:dyDescent="0.2">
      <c r="B70" s="49" t="s">
        <v>21</v>
      </c>
      <c r="E70" s="70">
        <f>'Financials + KPIs'!R26</f>
        <v>4412</v>
      </c>
      <c r="F70" s="70">
        <f>'Financials + KPIs'!S26</f>
        <v>19903</v>
      </c>
      <c r="G70" s="70">
        <f>'Financials + KPIs'!T26</f>
        <v>4448</v>
      </c>
      <c r="H70" s="70">
        <f>'Financials + KPIs'!U26</f>
        <v>8755</v>
      </c>
      <c r="I70" s="70">
        <f>'Financials + KPIs'!V26</f>
        <v>9831</v>
      </c>
      <c r="J70" s="71">
        <f>'Financials + KPIs'!W26</f>
        <v>10978</v>
      </c>
      <c r="K70" s="77">
        <f t="shared" ref="K70:U70" ca="1" si="71">K63*K71</f>
        <v>16227.879217902359</v>
      </c>
      <c r="L70" s="77">
        <f t="shared" ca="1" si="71"/>
        <v>20411.38307101676</v>
      </c>
      <c r="M70" s="77">
        <f t="shared" ca="1" si="71"/>
        <v>23675.657758101243</v>
      </c>
      <c r="N70" s="77">
        <f t="shared" ca="1" si="71"/>
        <v>27509.489793393124</v>
      </c>
      <c r="O70" s="77">
        <f t="shared" ca="1" si="71"/>
        <v>31602.32305077912</v>
      </c>
      <c r="P70" s="77">
        <f t="shared" ca="1" si="71"/>
        <v>35194.541705650307</v>
      </c>
      <c r="Q70" s="77">
        <f t="shared" ca="1" si="71"/>
        <v>38719.932722584505</v>
      </c>
      <c r="R70" s="77">
        <f t="shared" ca="1" si="71"/>
        <v>42059.777260349983</v>
      </c>
      <c r="S70" s="77">
        <f t="shared" ca="1" si="71"/>
        <v>45088.213187272391</v>
      </c>
      <c r="T70" s="77">
        <f t="shared" ca="1" si="71"/>
        <v>47679.77378976185</v>
      </c>
      <c r="U70" s="77">
        <f t="shared" ca="1" si="71"/>
        <v>49717.962309845461</v>
      </c>
    </row>
    <row r="71" spans="2:21" s="73" customFormat="1" ht="16" customHeight="1" x14ac:dyDescent="0.2">
      <c r="B71" s="73" t="s">
        <v>43</v>
      </c>
      <c r="E71" s="89">
        <f t="shared" ref="E71:J71" si="72">E70/E63</f>
        <v>0.15042105622038116</v>
      </c>
      <c r="F71" s="89">
        <f t="shared" si="72"/>
        <v>0.56771635575332302</v>
      </c>
      <c r="G71" s="89">
        <f t="shared" si="72"/>
        <v>0.10354058520915291</v>
      </c>
      <c r="H71" s="89">
        <f t="shared" si="72"/>
        <v>0.1653165656451217</v>
      </c>
      <c r="I71" s="89">
        <f t="shared" si="72"/>
        <v>0.14061159105211968</v>
      </c>
      <c r="J71" s="90">
        <f t="shared" si="72"/>
        <v>0.13165753211086192</v>
      </c>
      <c r="K71" s="91">
        <f>'Financials + KPIs'!X49</f>
        <v>0.19213972462242301</v>
      </c>
      <c r="L71" s="92">
        <f>L20</f>
        <v>0.21</v>
      </c>
      <c r="M71" s="86">
        <f t="shared" ref="M71:U71" si="73">L71</f>
        <v>0.21</v>
      </c>
      <c r="N71" s="86">
        <f t="shared" si="73"/>
        <v>0.21</v>
      </c>
      <c r="O71" s="86">
        <f t="shared" si="73"/>
        <v>0.21</v>
      </c>
      <c r="P71" s="86">
        <f t="shared" si="73"/>
        <v>0.21</v>
      </c>
      <c r="Q71" s="86">
        <f t="shared" si="73"/>
        <v>0.21</v>
      </c>
      <c r="R71" s="86">
        <f t="shared" si="73"/>
        <v>0.21</v>
      </c>
      <c r="S71" s="86">
        <f t="shared" si="73"/>
        <v>0.21</v>
      </c>
      <c r="T71" s="86">
        <f t="shared" si="73"/>
        <v>0.21</v>
      </c>
      <c r="U71" s="86">
        <f t="shared" si="73"/>
        <v>0.21</v>
      </c>
    </row>
    <row r="72" spans="2:21" ht="16" customHeight="1" x14ac:dyDescent="0.2">
      <c r="E72" s="9"/>
      <c r="F72" s="9"/>
      <c r="G72" s="9"/>
      <c r="H72" s="9"/>
      <c r="I72" s="9"/>
      <c r="J72" s="88"/>
      <c r="K72" s="9"/>
      <c r="L72" s="9"/>
      <c r="M72" s="9"/>
      <c r="N72" s="9"/>
      <c r="O72" s="9"/>
      <c r="P72" s="9"/>
      <c r="Q72" s="9"/>
      <c r="R72" s="9"/>
      <c r="S72" s="9"/>
      <c r="T72" s="9"/>
      <c r="U72" s="9"/>
    </row>
    <row r="73" spans="2:21" ht="16" customHeight="1" x14ac:dyDescent="0.2">
      <c r="B73" s="93" t="s">
        <v>44</v>
      </c>
      <c r="C73" s="93"/>
      <c r="D73" s="93"/>
      <c r="E73" s="94">
        <f>E63-E70</f>
        <v>24919</v>
      </c>
      <c r="F73" s="94">
        <f t="shared" ref="F73:J73" si="74">F63-F70</f>
        <v>15155</v>
      </c>
      <c r="G73" s="94">
        <f t="shared" si="74"/>
        <v>38511</v>
      </c>
      <c r="H73" s="94">
        <f t="shared" si="74"/>
        <v>44204</v>
      </c>
      <c r="I73" s="94">
        <f t="shared" si="74"/>
        <v>60085</v>
      </c>
      <c r="J73" s="95">
        <f t="shared" si="74"/>
        <v>72405</v>
      </c>
      <c r="K73" s="94">
        <f ca="1">K63-K70</f>
        <v>68230.861679077876</v>
      </c>
      <c r="L73" s="94">
        <f t="shared" ref="L73:U73" ca="1" si="75">L63-L70</f>
        <v>76785.679171920201</v>
      </c>
      <c r="M73" s="94">
        <f t="shared" ca="1" si="75"/>
        <v>89065.569661428497</v>
      </c>
      <c r="N73" s="94">
        <f t="shared" ca="1" si="75"/>
        <v>103488.08065133604</v>
      </c>
      <c r="O73" s="94">
        <f ca="1">O63-O70</f>
        <v>118884.9295719786</v>
      </c>
      <c r="P73" s="94">
        <f t="shared" ca="1" si="75"/>
        <v>132398.51403554162</v>
      </c>
      <c r="Q73" s="94">
        <f t="shared" ca="1" si="75"/>
        <v>145660.69928972266</v>
      </c>
      <c r="R73" s="94">
        <f t="shared" ca="1" si="75"/>
        <v>158224.87636036423</v>
      </c>
      <c r="S73" s="94">
        <f t="shared" ca="1" si="75"/>
        <v>169617.56389497709</v>
      </c>
      <c r="T73" s="94">
        <f t="shared" ca="1" si="75"/>
        <v>179366.76806624696</v>
      </c>
      <c r="U73" s="94">
        <f t="shared" ca="1" si="75"/>
        <v>187034.23916560912</v>
      </c>
    </row>
    <row r="74" spans="2:21" ht="16" customHeight="1" x14ac:dyDescent="0.2">
      <c r="E74" s="9"/>
      <c r="F74" s="9"/>
      <c r="G74" s="9"/>
      <c r="H74" s="9"/>
      <c r="I74" s="9"/>
      <c r="J74" s="96"/>
      <c r="K74" s="9"/>
      <c r="L74" s="9"/>
      <c r="M74" s="9"/>
      <c r="N74" s="9"/>
      <c r="O74" s="9"/>
      <c r="P74" s="9"/>
      <c r="Q74" s="9"/>
      <c r="R74" s="9"/>
      <c r="S74" s="9"/>
      <c r="T74" s="9"/>
      <c r="U74" s="9"/>
    </row>
    <row r="75" spans="2:21" ht="16" customHeight="1" x14ac:dyDescent="0.2">
      <c r="B75" s="49" t="s">
        <v>45</v>
      </c>
      <c r="E75" s="70">
        <f>'Financials + KPIs'!R61</f>
        <v>6100</v>
      </c>
      <c r="F75" s="70">
        <f>'Financials + KPIs'!S61</f>
        <v>7700</v>
      </c>
      <c r="G75" s="70">
        <f>'Financials + KPIs'!T61</f>
        <v>9700</v>
      </c>
      <c r="H75" s="70">
        <f>'Financials + KPIs'!U61</f>
        <v>10700</v>
      </c>
      <c r="I75" s="70">
        <f>'Financials + KPIs'!V61</f>
        <v>9300</v>
      </c>
      <c r="J75" s="71">
        <f>'Financials + KPIs'!W61</f>
        <v>12600</v>
      </c>
      <c r="K75" s="77">
        <f ca="1">K60*K76</f>
        <v>14317.362670849812</v>
      </c>
      <c r="L75" s="77">
        <f t="shared" ref="L75:U75" ca="1" si="76">L60*L76</f>
        <v>16305.205682330361</v>
      </c>
      <c r="M75" s="77">
        <f ca="1">M60*M76</f>
        <v>18452.786903216456</v>
      </c>
      <c r="N75" s="77">
        <f t="shared" ca="1" si="76"/>
        <v>20533.443157413349</v>
      </c>
      <c r="O75" s="77">
        <f t="shared" ca="1" si="76"/>
        <v>22626.58132157736</v>
      </c>
      <c r="P75" s="77">
        <f t="shared" ca="1" si="76"/>
        <v>25804.250679460318</v>
      </c>
      <c r="Q75" s="77">
        <f t="shared" ca="1" si="76"/>
        <v>28578.724554971202</v>
      </c>
      <c r="R75" s="77">
        <f t="shared" ca="1" si="76"/>
        <v>30994.404053051279</v>
      </c>
      <c r="S75" s="77">
        <f t="shared" ca="1" si="76"/>
        <v>33107.145777964928</v>
      </c>
      <c r="T75" s="77">
        <f t="shared" ca="1" si="76"/>
        <v>34889.695381789395</v>
      </c>
      <c r="U75" s="77">
        <f t="shared" ca="1" si="76"/>
        <v>36378.584660040426</v>
      </c>
    </row>
    <row r="76" spans="2:21" s="73" customFormat="1" ht="16" customHeight="1" x14ac:dyDescent="0.2">
      <c r="B76" s="73" t="s">
        <v>42</v>
      </c>
      <c r="E76" s="89">
        <f t="shared" ref="E76:J76" si="77">E75/E60</f>
        <v>6.3165960795683998E-2</v>
      </c>
      <c r="F76" s="89">
        <f t="shared" si="77"/>
        <v>6.9771656397245377E-2</v>
      </c>
      <c r="G76" s="89">
        <f t="shared" si="77"/>
        <v>7.7080171324586985E-2</v>
      </c>
      <c r="H76" s="89">
        <f t="shared" si="77"/>
        <v>7.4817326853826527E-2</v>
      </c>
      <c r="I76" s="89">
        <f t="shared" si="77"/>
        <v>5.5328161439246112E-2</v>
      </c>
      <c r="J76" s="90">
        <f t="shared" si="77"/>
        <v>6.3552589768033046E-2</v>
      </c>
      <c r="K76" s="97">
        <f>AVERAGE(E76:J76)</f>
        <v>6.7285977763103674E-2</v>
      </c>
      <c r="L76" s="97">
        <f t="shared" ref="L76:U76" si="78">AVERAGE(F76:K76)</f>
        <v>6.797264725767363E-2</v>
      </c>
      <c r="M76" s="97">
        <f t="shared" si="78"/>
        <v>6.767281240107835E-2</v>
      </c>
      <c r="N76" s="97">
        <f t="shared" si="78"/>
        <v>6.6104919247160221E-2</v>
      </c>
      <c r="O76" s="97">
        <f t="shared" si="78"/>
        <v>6.4652851312715851E-2</v>
      </c>
      <c r="P76" s="97">
        <f t="shared" si="78"/>
        <v>6.6206966291627464E-2</v>
      </c>
      <c r="Q76" s="97">
        <f t="shared" si="78"/>
        <v>6.6649362378893198E-2</v>
      </c>
      <c r="R76" s="97">
        <f t="shared" si="78"/>
        <v>6.6543259814858119E-2</v>
      </c>
      <c r="S76" s="97">
        <f t="shared" si="78"/>
        <v>6.6305028574388872E-2</v>
      </c>
      <c r="T76" s="97">
        <f t="shared" si="78"/>
        <v>6.6077064603273963E-2</v>
      </c>
      <c r="U76" s="97">
        <f t="shared" si="78"/>
        <v>6.6072422162626251E-2</v>
      </c>
    </row>
    <row r="77" spans="2:21" s="73" customFormat="1" ht="16" customHeight="1" x14ac:dyDescent="0.2">
      <c r="B77" s="73" t="s">
        <v>46</v>
      </c>
      <c r="E77" s="89">
        <f>E75/E79</f>
        <v>0.75039980317382216</v>
      </c>
      <c r="F77" s="89">
        <f t="shared" ref="F77:U77" si="79">F75/F79</f>
        <v>0.66196698762035766</v>
      </c>
      <c r="G77" s="89">
        <f t="shared" si="79"/>
        <v>0.696588868940754</v>
      </c>
      <c r="H77" s="89">
        <f t="shared" si="79"/>
        <v>0.69296030049867241</v>
      </c>
      <c r="I77" s="89">
        <f t="shared" si="79"/>
        <v>0.45097468722723305</v>
      </c>
      <c r="J77" s="90">
        <f t="shared" si="79"/>
        <v>0.52750565184626974</v>
      </c>
      <c r="K77" s="89">
        <f t="shared" ca="1" si="79"/>
        <v>0.59315698567817865</v>
      </c>
      <c r="L77" s="89">
        <f t="shared" ca="1" si="79"/>
        <v>0.59083860509553765</v>
      </c>
      <c r="M77" s="89">
        <f t="shared" ca="1" si="79"/>
        <v>0.58377644827122444</v>
      </c>
      <c r="N77" s="89">
        <f t="shared" ca="1" si="79"/>
        <v>0.56253074079283139</v>
      </c>
      <c r="O77" s="89">
        <f t="shared" ca="1" si="79"/>
        <v>0.5550602750237591</v>
      </c>
      <c r="P77" s="89">
        <f t="shared" ca="1" si="79"/>
        <v>0.57233221651893351</v>
      </c>
      <c r="Q77" s="89">
        <f t="shared" ca="1" si="79"/>
        <v>0.57393164810423014</v>
      </c>
      <c r="R77" s="89">
        <f t="shared" ca="1" si="79"/>
        <v>0.57195084242619321</v>
      </c>
      <c r="S77" s="89">
        <f t="shared" ca="1" si="79"/>
        <v>0.56949018355421432</v>
      </c>
      <c r="T77" s="89">
        <f t="shared" ca="1" si="79"/>
        <v>0.56859164980882171</v>
      </c>
      <c r="U77" s="89">
        <f t="shared" ca="1" si="79"/>
        <v>0.5688132354761366</v>
      </c>
    </row>
    <row r="78" spans="2:21" ht="16" customHeight="1" x14ac:dyDescent="0.2">
      <c r="E78" s="77"/>
      <c r="F78" s="77"/>
      <c r="G78" s="77"/>
      <c r="H78" s="77"/>
      <c r="I78" s="77"/>
      <c r="J78" s="98"/>
      <c r="K78" s="77"/>
      <c r="L78" s="77"/>
      <c r="M78" s="77"/>
      <c r="N78" s="77"/>
      <c r="O78" s="77"/>
      <c r="P78" s="77"/>
      <c r="Q78" s="77"/>
      <c r="R78" s="77"/>
      <c r="S78" s="77"/>
      <c r="T78" s="77"/>
      <c r="U78" s="77"/>
    </row>
    <row r="79" spans="2:21" ht="16" customHeight="1" x14ac:dyDescent="0.2">
      <c r="B79" s="49" t="s">
        <v>47</v>
      </c>
      <c r="E79" s="70">
        <f>-'Financials + KPIs'!R62</f>
        <v>8129</v>
      </c>
      <c r="F79" s="70">
        <f>-'Financials + KPIs'!S62</f>
        <v>11632</v>
      </c>
      <c r="G79" s="70">
        <f>-'Financials + KPIs'!T62</f>
        <v>13925</v>
      </c>
      <c r="H79" s="70">
        <f>-'Financials + KPIs'!U62</f>
        <v>15441</v>
      </c>
      <c r="I79" s="70">
        <f>-'Financials + KPIs'!V62</f>
        <v>20622</v>
      </c>
      <c r="J79" s="71">
        <f>-'Financials + KPIs'!W62</f>
        <v>23886</v>
      </c>
      <c r="K79" s="77">
        <f ca="1">K60*K80</f>
        <v>24137.56057256956</v>
      </c>
      <c r="L79" s="77">
        <f t="shared" ref="L79:U79" ca="1" si="80">L60*L80</f>
        <v>27596.716838930719</v>
      </c>
      <c r="M79" s="77">
        <f t="shared" ca="1" si="80"/>
        <v>31609.337714568494</v>
      </c>
      <c r="N79" s="77">
        <f ca="1">N60*N80</f>
        <v>36501.904106562237</v>
      </c>
      <c r="O79" s="77">
        <f t="shared" ca="1" si="80"/>
        <v>40764.187854389034</v>
      </c>
      <c r="P79" s="77">
        <f t="shared" ca="1" si="80"/>
        <v>45086.140417550094</v>
      </c>
      <c r="Q79" s="77">
        <f t="shared" ca="1" si="80"/>
        <v>49794.648281499016</v>
      </c>
      <c r="R79" s="77">
        <f t="shared" ca="1" si="80"/>
        <v>54190.678208592581</v>
      </c>
      <c r="S79" s="77">
        <f t="shared" ca="1" si="80"/>
        <v>58134.708435783243</v>
      </c>
      <c r="T79" s="77">
        <f t="shared" ca="1" si="80"/>
        <v>61361.603522528698</v>
      </c>
      <c r="U79" s="77">
        <f t="shared" ca="1" si="80"/>
        <v>63955.235903730325</v>
      </c>
    </row>
    <row r="80" spans="2:21" s="73" customFormat="1" ht="16" customHeight="1" x14ac:dyDescent="0.2">
      <c r="B80" s="73" t="s">
        <v>42</v>
      </c>
      <c r="E80" s="89">
        <f t="shared" ref="E80:J80" si="81">E79/E60</f>
        <v>8.4176409066904143E-2</v>
      </c>
      <c r="F80" s="89">
        <f t="shared" si="81"/>
        <v>0.10540050743022834</v>
      </c>
      <c r="G80" s="89">
        <f t="shared" si="81"/>
        <v>0.11065375110256431</v>
      </c>
      <c r="H80" s="89">
        <f t="shared" si="81"/>
        <v>0.10796769569625564</v>
      </c>
      <c r="I80" s="89">
        <f t="shared" si="81"/>
        <v>0.12268573604302509</v>
      </c>
      <c r="J80" s="90">
        <f t="shared" si="81"/>
        <v>0.12047755231739979</v>
      </c>
      <c r="K80" s="97">
        <f>AVERAGE(F80:J80)</f>
        <v>0.11343704851789463</v>
      </c>
      <c r="L80" s="97">
        <f t="shared" ref="L80:U80" si="82">AVERAGE(G80:K80)</f>
        <v>0.11504435673542787</v>
      </c>
      <c r="M80" s="97">
        <f t="shared" si="82"/>
        <v>0.11592247786200061</v>
      </c>
      <c r="N80" s="97">
        <f t="shared" si="82"/>
        <v>0.1175134342951496</v>
      </c>
      <c r="O80" s="97">
        <f t="shared" si="82"/>
        <v>0.11647897394557449</v>
      </c>
      <c r="P80" s="97">
        <f t="shared" si="82"/>
        <v>0.11567925827120944</v>
      </c>
      <c r="Q80" s="97">
        <f t="shared" si="82"/>
        <v>0.1161277002218724</v>
      </c>
      <c r="R80" s="97">
        <f t="shared" si="82"/>
        <v>0.11634436891916131</v>
      </c>
      <c r="S80" s="97">
        <f t="shared" si="82"/>
        <v>0.11642874713059345</v>
      </c>
      <c r="T80" s="97">
        <f t="shared" si="82"/>
        <v>0.11621180969768223</v>
      </c>
      <c r="U80" s="97">
        <f t="shared" si="82"/>
        <v>0.11615837684810375</v>
      </c>
    </row>
    <row r="81" spans="1:21" ht="16" customHeight="1" x14ac:dyDescent="0.2">
      <c r="B81" s="73"/>
      <c r="E81" s="77"/>
      <c r="F81" s="77"/>
      <c r="G81" s="77"/>
      <c r="H81" s="77"/>
      <c r="I81" s="77"/>
      <c r="J81" s="98"/>
      <c r="K81" s="77"/>
      <c r="L81" s="77"/>
      <c r="M81" s="77"/>
      <c r="N81" s="77"/>
      <c r="O81" s="77"/>
      <c r="P81" s="77"/>
      <c r="Q81" s="77"/>
      <c r="R81" s="77"/>
      <c r="S81" s="77"/>
      <c r="T81" s="77"/>
      <c r="U81" s="77"/>
    </row>
    <row r="82" spans="1:21" ht="16" customHeight="1" x14ac:dyDescent="0.2">
      <c r="B82" s="49" t="s">
        <v>48</v>
      </c>
      <c r="E82" s="70">
        <f>'Financials + KPIs'!R63</f>
        <v>5222</v>
      </c>
      <c r="F82" s="70">
        <f>'Financials + KPIs'!S63</f>
        <v>-2624</v>
      </c>
      <c r="G82" s="70">
        <f>'Financials + KPIs'!T63</f>
        <v>-3435</v>
      </c>
      <c r="H82" s="70">
        <f>'Financials + KPIs'!U63</f>
        <v>-630</v>
      </c>
      <c r="I82" s="70">
        <f>'Financials + KPIs'!V63</f>
        <v>-2700</v>
      </c>
      <c r="J82" s="71">
        <f>'Financials + KPIs'!W63</f>
        <v>-428</v>
      </c>
      <c r="K82" s="77">
        <f ca="1">K60*K83</f>
        <v>3191.7562499999999</v>
      </c>
      <c r="L82" s="77">
        <f t="shared" ref="L82:U82" ca="1" si="83">L60*L83</f>
        <v>-2346.7980898158739</v>
      </c>
      <c r="M82" s="77">
        <f ca="1">M60*M83</f>
        <v>-2031.7170380013952</v>
      </c>
      <c r="N82" s="77">
        <f t="shared" ca="1" si="83"/>
        <v>-1287.0598202097672</v>
      </c>
      <c r="O82" s="77">
        <f t="shared" ca="1" si="83"/>
        <v>-1434.8547710732432</v>
      </c>
      <c r="P82" s="77">
        <f t="shared" ca="1" si="83"/>
        <v>-820.84945886444405</v>
      </c>
      <c r="Q82" s="77">
        <f t="shared" ca="1" si="83"/>
        <v>-899.30770188575048</v>
      </c>
      <c r="R82" s="77">
        <f t="shared" ca="1" si="83"/>
        <v>-2304.1376004185031</v>
      </c>
      <c r="S82" s="77">
        <f t="shared" ca="1" si="83"/>
        <v>-2067.560479429209</v>
      </c>
      <c r="T82" s="77">
        <f t="shared" ca="1" si="83"/>
        <v>-1895.0903400026036</v>
      </c>
      <c r="U82" s="77">
        <f t="shared" ca="1" si="83"/>
        <v>-1925.2218751273219</v>
      </c>
    </row>
    <row r="83" spans="1:21" s="73" customFormat="1" ht="16" customHeight="1" x14ac:dyDescent="0.2">
      <c r="B83" s="73" t="s">
        <v>42</v>
      </c>
      <c r="E83" s="89">
        <f t="shared" ref="E83:J83" si="84">E82/E60</f>
        <v>5.4074204471321621E-2</v>
      </c>
      <c r="F83" s="89">
        <f t="shared" si="84"/>
        <v>-2.3776730699528816E-2</v>
      </c>
      <c r="G83" s="89">
        <f t="shared" si="84"/>
        <v>-2.7295916340201679E-2</v>
      </c>
      <c r="H83" s="89">
        <f t="shared" si="84"/>
        <v>-4.405132328776702E-3</v>
      </c>
      <c r="I83" s="89">
        <f t="shared" si="84"/>
        <v>-1.6063014611394033E-2</v>
      </c>
      <c r="J83" s="90">
        <f t="shared" si="84"/>
        <v>-2.158770509580805E-3</v>
      </c>
      <c r="K83" s="97">
        <v>1.4999999999999999E-2</v>
      </c>
      <c r="L83" s="97">
        <f>AVERAGE(F83:K83)</f>
        <v>-9.7832607482470062E-3</v>
      </c>
      <c r="M83" s="97">
        <f t="shared" ref="M83:U83" si="85">AVERAGE(G83:L83)</f>
        <v>-7.4510157563667046E-3</v>
      </c>
      <c r="N83" s="97">
        <f t="shared" si="85"/>
        <v>-4.1435323257275414E-3</v>
      </c>
      <c r="O83" s="97">
        <f t="shared" si="85"/>
        <v>-4.0999323252193486E-3</v>
      </c>
      <c r="P83" s="97">
        <f t="shared" si="85"/>
        <v>-2.1060852775235677E-3</v>
      </c>
      <c r="Q83" s="97">
        <f t="shared" si="85"/>
        <v>-2.0973044055140281E-3</v>
      </c>
      <c r="R83" s="97">
        <f t="shared" si="85"/>
        <v>-4.946855139766366E-3</v>
      </c>
      <c r="S83" s="97">
        <f t="shared" si="85"/>
        <v>-4.1407875383529255E-3</v>
      </c>
      <c r="T83" s="97">
        <f t="shared" si="85"/>
        <v>-3.5890828353506293E-3</v>
      </c>
      <c r="U83" s="97">
        <f t="shared" si="85"/>
        <v>-3.4966745869544776E-3</v>
      </c>
    </row>
    <row r="84" spans="1:21" s="73" customFormat="1" ht="16" customHeight="1" x14ac:dyDescent="0.2">
      <c r="B84" s="73" t="s">
        <v>49</v>
      </c>
      <c r="E84" s="99"/>
      <c r="F84" s="89">
        <f t="shared" ref="F84:U84" si="86">F82/(F60-E60)</f>
        <v>-0.19029661324243963</v>
      </c>
      <c r="G84" s="89">
        <f t="shared" si="86"/>
        <v>-0.22185622941290448</v>
      </c>
      <c r="H84" s="89">
        <f t="shared" si="86"/>
        <v>-3.668763102725367E-2</v>
      </c>
      <c r="I84" s="89">
        <f t="shared" si="86"/>
        <v>-0.10768555817014318</v>
      </c>
      <c r="J84" s="90">
        <f t="shared" si="86"/>
        <v>-1.4184867265435986E-2</v>
      </c>
      <c r="K84" s="89">
        <f t="shared" ca="1" si="86"/>
        <v>0.21977629925461775</v>
      </c>
      <c r="L84" s="89">
        <f t="shared" ca="1" si="86"/>
        <v>-8.661313040979482E-2</v>
      </c>
      <c r="M84" s="89">
        <f t="shared" ca="1" si="86"/>
        <v>-6.1947140618660738E-2</v>
      </c>
      <c r="N84" s="89">
        <f t="shared" ca="1" si="86"/>
        <v>-3.3921350598872108E-2</v>
      </c>
      <c r="O84" s="89">
        <f t="shared" ca="1" si="86"/>
        <v>-3.6462641689590299E-2</v>
      </c>
      <c r="P84" s="89">
        <f t="shared" ca="1" si="86"/>
        <v>-2.0634241191010518E-2</v>
      </c>
      <c r="Q84" s="89">
        <f t="shared" ca="1" si="86"/>
        <v>-2.3035029331555948E-2</v>
      </c>
      <c r="R84" s="89">
        <f t="shared" ca="1" si="86"/>
        <v>-6.2297398266625878E-2</v>
      </c>
      <c r="S84" s="89">
        <f t="shared" ca="1" si="86"/>
        <v>-6.1649219530356243E-2</v>
      </c>
      <c r="T84" s="89">
        <f t="shared" ca="1" si="86"/>
        <v>-6.6032280911297384E-2</v>
      </c>
      <c r="U84" s="89">
        <f t="shared" ca="1" si="86"/>
        <v>-8.5295120451794881E-2</v>
      </c>
    </row>
    <row r="85" spans="1:21" ht="16" customHeight="1" x14ac:dyDescent="0.2">
      <c r="B85" s="73"/>
      <c r="E85" s="77"/>
      <c r="F85" s="100"/>
      <c r="G85" s="100"/>
      <c r="H85" s="100"/>
      <c r="I85" s="100"/>
      <c r="J85" s="101"/>
      <c r="K85" s="100"/>
      <c r="L85" s="100"/>
      <c r="M85" s="100"/>
      <c r="N85" s="100"/>
      <c r="O85" s="100"/>
      <c r="P85" s="100"/>
      <c r="Q85" s="100"/>
      <c r="R85" s="100"/>
      <c r="S85" s="100"/>
      <c r="T85" s="100"/>
      <c r="U85" s="100"/>
    </row>
    <row r="86" spans="1:21" ht="16" customHeight="1" x14ac:dyDescent="0.2">
      <c r="B86" s="80" t="s">
        <v>162</v>
      </c>
      <c r="C86" s="80"/>
      <c r="D86" s="80"/>
      <c r="E86" s="102">
        <f>E73+E75-E79-E82</f>
        <v>17668</v>
      </c>
      <c r="F86" s="102">
        <f t="shared" ref="F86:U86" si="87">F73+F75-F79-F82</f>
        <v>13847</v>
      </c>
      <c r="G86" s="102">
        <f t="shared" si="87"/>
        <v>37721</v>
      </c>
      <c r="H86" s="102">
        <f t="shared" si="87"/>
        <v>40093</v>
      </c>
      <c r="I86" s="102">
        <f t="shared" si="87"/>
        <v>51463</v>
      </c>
      <c r="J86" s="103">
        <f t="shared" si="87"/>
        <v>61547</v>
      </c>
      <c r="K86" s="102">
        <f t="shared" ca="1" si="87"/>
        <v>55218.907527358118</v>
      </c>
      <c r="L86" s="102">
        <f t="shared" ca="1" si="87"/>
        <v>67840.966105135711</v>
      </c>
      <c r="M86" s="102">
        <f t="shared" ca="1" si="87"/>
        <v>77940.735888077863</v>
      </c>
      <c r="N86" s="102">
        <f t="shared" ca="1" si="87"/>
        <v>88806.679522396924</v>
      </c>
      <c r="O86" s="102">
        <f t="shared" ca="1" si="87"/>
        <v>102182.17781024017</v>
      </c>
      <c r="P86" s="102">
        <f t="shared" ca="1" si="87"/>
        <v>113937.47375631629</v>
      </c>
      <c r="Q86" s="102">
        <f t="shared" ca="1" si="87"/>
        <v>125344.0832650806</v>
      </c>
      <c r="R86" s="102">
        <f t="shared" ca="1" si="87"/>
        <v>137332.73980524144</v>
      </c>
      <c r="S86" s="102">
        <f t="shared" ca="1" si="87"/>
        <v>146657.56171658798</v>
      </c>
      <c r="T86" s="102">
        <f t="shared" ca="1" si="87"/>
        <v>154789.95026551027</v>
      </c>
      <c r="U86" s="102">
        <f t="shared" ca="1" si="87"/>
        <v>161382.80979704653</v>
      </c>
    </row>
    <row r="87" spans="1:21" s="73" customFormat="1" ht="16" customHeight="1" x14ac:dyDescent="0.2">
      <c r="B87" s="73" t="s">
        <v>42</v>
      </c>
      <c r="E87" s="104">
        <f t="shared" ref="E87:U87" si="88">E86/E60</f>
        <v>0.18295347464559755</v>
      </c>
      <c r="F87" s="104">
        <f t="shared" si="88"/>
        <v>0.12547118521203335</v>
      </c>
      <c r="G87" s="104">
        <f t="shared" si="88"/>
        <v>0.29974650953966453</v>
      </c>
      <c r="H87" s="104">
        <f t="shared" si="88"/>
        <v>0.28034122294864178</v>
      </c>
      <c r="I87" s="104">
        <f t="shared" si="88"/>
        <v>0.30616700775784111</v>
      </c>
      <c r="J87" s="90">
        <f t="shared" si="88"/>
        <v>0.31043422559151823</v>
      </c>
      <c r="K87" s="104">
        <f t="shared" ca="1" si="88"/>
        <v>0.25950716409198599</v>
      </c>
      <c r="L87" s="104">
        <f t="shared" ca="1" si="88"/>
        <v>0.28281336332245061</v>
      </c>
      <c r="M87" s="104">
        <f t="shared" ca="1" si="88"/>
        <v>0.28583589166341639</v>
      </c>
      <c r="N87" s="104">
        <f t="shared" ca="1" si="88"/>
        <v>0.28590228796172418</v>
      </c>
      <c r="O87" s="104">
        <f t="shared" ca="1" si="88"/>
        <v>0.2919738096923607</v>
      </c>
      <c r="P87" s="104">
        <f t="shared" ca="1" si="88"/>
        <v>0.29233379329794162</v>
      </c>
      <c r="Q87" s="104">
        <f t="shared" ca="1" si="88"/>
        <v>0.29231896656253481</v>
      </c>
      <c r="R87" s="104">
        <f t="shared" ca="1" si="88"/>
        <v>0.29484574603546321</v>
      </c>
      <c r="S87" s="104">
        <f t="shared" ca="1" si="88"/>
        <v>0.29371706898214828</v>
      </c>
      <c r="T87" s="104">
        <f t="shared" ca="1" si="88"/>
        <v>0.29315433774094235</v>
      </c>
      <c r="U87" s="104">
        <f t="shared" ca="1" si="88"/>
        <v>0.29311071990147697</v>
      </c>
    </row>
    <row r="88" spans="1:21" ht="16" customHeight="1" x14ac:dyDescent="0.2">
      <c r="E88" s="72"/>
      <c r="F88" s="105"/>
      <c r="G88" s="105"/>
      <c r="H88" s="105"/>
      <c r="I88" s="105"/>
      <c r="J88" s="106"/>
      <c r="K88" s="107"/>
      <c r="L88" s="107"/>
      <c r="M88" s="107"/>
      <c r="N88" s="107"/>
      <c r="O88" s="107"/>
      <c r="P88" s="107"/>
      <c r="Q88" s="107"/>
      <c r="R88" s="107"/>
      <c r="S88" s="107"/>
      <c r="T88" s="107"/>
      <c r="U88" s="107"/>
    </row>
    <row r="89" spans="1:21" ht="16" customHeight="1" x14ac:dyDescent="0.2">
      <c r="J89" s="76"/>
      <c r="K89" s="108">
        <v>0.5</v>
      </c>
      <c r="L89" s="108">
        <v>0.5</v>
      </c>
      <c r="U89" s="61"/>
    </row>
    <row r="90" spans="1:21" ht="16" customHeight="1" x14ac:dyDescent="0.2">
      <c r="A90" s="49" t="s">
        <v>10</v>
      </c>
      <c r="B90" s="56" t="s">
        <v>173</v>
      </c>
      <c r="C90" s="56"/>
      <c r="D90" s="56"/>
      <c r="E90" s="109"/>
      <c r="F90" s="109"/>
      <c r="G90" s="109"/>
      <c r="H90" s="109"/>
      <c r="I90" s="109"/>
      <c r="J90" s="109"/>
      <c r="K90" s="109">
        <v>1</v>
      </c>
      <c r="L90" s="109">
        <f>K90+1</f>
        <v>2</v>
      </c>
      <c r="M90" s="109">
        <f t="shared" ref="M90:T90" si="89">L90+1</f>
        <v>3</v>
      </c>
      <c r="N90" s="109">
        <f t="shared" si="89"/>
        <v>4</v>
      </c>
      <c r="O90" s="109">
        <f t="shared" si="89"/>
        <v>5</v>
      </c>
      <c r="P90" s="109">
        <f t="shared" si="89"/>
        <v>6</v>
      </c>
      <c r="Q90" s="109">
        <f t="shared" si="89"/>
        <v>7</v>
      </c>
      <c r="R90" s="109">
        <f t="shared" si="89"/>
        <v>8</v>
      </c>
      <c r="S90" s="109">
        <f t="shared" si="89"/>
        <v>9</v>
      </c>
      <c r="T90" s="109">
        <f t="shared" si="89"/>
        <v>10</v>
      </c>
      <c r="U90" s="109"/>
    </row>
    <row r="91" spans="1:21" s="110" customFormat="1" ht="16" customHeight="1" x14ac:dyDescent="0.2">
      <c r="B91" s="56" t="s">
        <v>36</v>
      </c>
      <c r="C91" s="56"/>
      <c r="D91" s="56"/>
      <c r="E91" s="109"/>
      <c r="F91" s="109"/>
      <c r="G91" s="109"/>
      <c r="H91" s="109"/>
      <c r="I91" s="109"/>
      <c r="J91" s="109"/>
      <c r="K91" s="69">
        <v>45192</v>
      </c>
      <c r="L91" s="69">
        <f>EDATE(K91,12)</f>
        <v>45558</v>
      </c>
      <c r="M91" s="69">
        <f t="shared" ref="M91:T91" si="90">EDATE(L91,12)</f>
        <v>45923</v>
      </c>
      <c r="N91" s="69">
        <f t="shared" si="90"/>
        <v>46288</v>
      </c>
      <c r="O91" s="69">
        <f t="shared" si="90"/>
        <v>46653</v>
      </c>
      <c r="P91" s="69">
        <f t="shared" si="90"/>
        <v>47019</v>
      </c>
      <c r="Q91" s="69">
        <f t="shared" si="90"/>
        <v>47384</v>
      </c>
      <c r="R91" s="69">
        <f t="shared" si="90"/>
        <v>47749</v>
      </c>
      <c r="S91" s="69">
        <f t="shared" si="90"/>
        <v>48114</v>
      </c>
      <c r="T91" s="69">
        <f t="shared" si="90"/>
        <v>48480</v>
      </c>
      <c r="U91" s="109"/>
    </row>
    <row r="92" spans="1:21" ht="16" customHeight="1" x14ac:dyDescent="0.2">
      <c r="B92" s="49" t="s">
        <v>163</v>
      </c>
      <c r="E92" s="111"/>
      <c r="F92" s="111"/>
      <c r="G92" s="111"/>
      <c r="H92" s="111"/>
      <c r="I92" s="111"/>
      <c r="J92" s="106"/>
      <c r="K92" s="112">
        <f t="shared" ref="K92:T92" ca="1" si="91">$K$89*K86+$L$89*L86</f>
        <v>61529.936816246918</v>
      </c>
      <c r="L92" s="112">
        <f t="shared" ca="1" si="91"/>
        <v>72890.85099660678</v>
      </c>
      <c r="M92" s="112">
        <f t="shared" ca="1" si="91"/>
        <v>83373.707705237393</v>
      </c>
      <c r="N92" s="112">
        <f t="shared" ca="1" si="91"/>
        <v>95494.428666318548</v>
      </c>
      <c r="O92" s="112">
        <f t="shared" ca="1" si="91"/>
        <v>108059.82578327824</v>
      </c>
      <c r="P92" s="112">
        <f t="shared" ca="1" si="91"/>
        <v>119640.77851069844</v>
      </c>
      <c r="Q92" s="112">
        <f t="shared" ca="1" si="91"/>
        <v>131338.41153516102</v>
      </c>
      <c r="R92" s="112">
        <f t="shared" ca="1" si="91"/>
        <v>141995.15076091472</v>
      </c>
      <c r="S92" s="112">
        <f t="shared" ca="1" si="91"/>
        <v>150723.75599104911</v>
      </c>
      <c r="T92" s="112">
        <f t="shared" ca="1" si="91"/>
        <v>158086.38003127842</v>
      </c>
      <c r="U92" s="61"/>
    </row>
    <row r="93" spans="1:21" s="73" customFormat="1" ht="16" customHeight="1" x14ac:dyDescent="0.2">
      <c r="B93" s="73" t="s">
        <v>37</v>
      </c>
      <c r="J93" s="113"/>
      <c r="L93" s="74">
        <f ca="1">L92/K92-1</f>
        <v>0.18464043306737188</v>
      </c>
      <c r="M93" s="74">
        <f t="shared" ref="M93:T93" ca="1" si="92">M92/L92-1</f>
        <v>0.14381580905288938</v>
      </c>
      <c r="N93" s="74">
        <f t="shared" ca="1" si="92"/>
        <v>0.14537821688263186</v>
      </c>
      <c r="O93" s="74">
        <f t="shared" ca="1" si="92"/>
        <v>0.13158251525716058</v>
      </c>
      <c r="P93" s="74">
        <f t="shared" ca="1" si="92"/>
        <v>0.10717167683248574</v>
      </c>
      <c r="Q93" s="74">
        <f t="shared" ca="1" si="92"/>
        <v>9.7772959772378654E-2</v>
      </c>
      <c r="R93" s="74">
        <f t="shared" ca="1" si="92"/>
        <v>8.1139547076833241E-2</v>
      </c>
      <c r="S93" s="74">
        <f t="shared" ca="1" si="92"/>
        <v>6.1471150129846608E-2</v>
      </c>
      <c r="T93" s="74">
        <f t="shared" ca="1" si="92"/>
        <v>4.8848464476074716E-2</v>
      </c>
    </row>
    <row r="94" spans="1:21" ht="16" customHeight="1" x14ac:dyDescent="0.2">
      <c r="B94" s="49" t="s">
        <v>50</v>
      </c>
      <c r="J94" s="76"/>
      <c r="T94" s="72">
        <f ca="1">T92*(1+D29)/(T97-D29)</f>
        <v>3473760.5869687111</v>
      </c>
    </row>
    <row r="95" spans="1:21" ht="16" customHeight="1" x14ac:dyDescent="0.2">
      <c r="B95" s="49" t="s">
        <v>51</v>
      </c>
      <c r="J95" s="76"/>
      <c r="T95" s="114">
        <f ca="1">(T63+T75)*D30</f>
        <v>3405171.084091377</v>
      </c>
    </row>
    <row r="96" spans="1:21" ht="16" customHeight="1" x14ac:dyDescent="0.2">
      <c r="B96" s="115" t="s">
        <v>52</v>
      </c>
      <c r="C96" s="115"/>
      <c r="D96" s="115"/>
      <c r="E96" s="115"/>
      <c r="F96" s="115"/>
      <c r="G96" s="115"/>
      <c r="H96" s="115"/>
      <c r="I96" s="115"/>
      <c r="J96" s="116"/>
      <c r="K96" s="115"/>
      <c r="L96" s="115"/>
      <c r="M96" s="115"/>
      <c r="N96" s="115"/>
      <c r="O96" s="115"/>
      <c r="P96" s="115"/>
      <c r="Q96" s="115"/>
      <c r="R96" s="115"/>
      <c r="S96" s="115"/>
      <c r="T96" s="114">
        <f ca="1">AVERAGE(T94:T95)</f>
        <v>3439465.835530044</v>
      </c>
    </row>
    <row r="97" spans="2:20" ht="16" customHeight="1" x14ac:dyDescent="0.2">
      <c r="B97" s="49" t="s">
        <v>25</v>
      </c>
      <c r="J97" s="76"/>
      <c r="K97" s="117">
        <f>D28</f>
        <v>9.2101519876230581E-2</v>
      </c>
      <c r="L97" s="118">
        <f t="shared" ref="L97:S97" si="93">K97-($K$97-$T$97)/($T$90-$K$90)</f>
        <v>9.0990408765119477E-2</v>
      </c>
      <c r="M97" s="118">
        <f t="shared" si="93"/>
        <v>8.9879297654008372E-2</v>
      </c>
      <c r="N97" s="118">
        <f t="shared" si="93"/>
        <v>8.8768186542897268E-2</v>
      </c>
      <c r="O97" s="118">
        <f t="shared" si="93"/>
        <v>8.7657075431786163E-2</v>
      </c>
      <c r="P97" s="118">
        <f t="shared" si="93"/>
        <v>8.6545964320675059E-2</v>
      </c>
      <c r="Q97" s="118">
        <f t="shared" si="93"/>
        <v>8.5434853209563955E-2</v>
      </c>
      <c r="R97" s="118">
        <f t="shared" si="93"/>
        <v>8.432374209845285E-2</v>
      </c>
      <c r="S97" s="118">
        <f t="shared" si="93"/>
        <v>8.3212630987341746E-2</v>
      </c>
      <c r="T97" s="117">
        <f>T22</f>
        <v>8.2101519876230586E-2</v>
      </c>
    </row>
    <row r="98" spans="2:20" ht="16" customHeight="1" x14ac:dyDescent="0.2">
      <c r="B98" s="49" t="s">
        <v>53</v>
      </c>
      <c r="J98" s="76"/>
      <c r="K98" s="119">
        <f>1/(1+K97)</f>
        <v>0.91566578912309493</v>
      </c>
      <c r="L98" s="119">
        <f>K98*(1/(1+L97))</f>
        <v>0.8392977442941294</v>
      </c>
      <c r="M98" s="119">
        <f t="shared" ref="M98:T98" si="94">L98*(1/(1+M97))</f>
        <v>0.77008320655391671</v>
      </c>
      <c r="N98" s="119">
        <f t="shared" si="94"/>
        <v>0.70729767463092164</v>
      </c>
      <c r="O98" s="119">
        <f t="shared" si="94"/>
        <v>0.65029473958980433</v>
      </c>
      <c r="P98" s="119">
        <f t="shared" si="94"/>
        <v>0.59849722049851661</v>
      </c>
      <c r="Q98" s="119">
        <f t="shared" si="94"/>
        <v>0.55138935213734586</v>
      </c>
      <c r="R98" s="119">
        <f t="shared" si="94"/>
        <v>0.50850989490487575</v>
      </c>
      <c r="S98" s="119">
        <f t="shared" si="94"/>
        <v>0.46944605367218811</v>
      </c>
      <c r="T98" s="119">
        <f t="shared" si="94"/>
        <v>0.43382810674351774</v>
      </c>
    </row>
    <row r="99" spans="2:20" ht="16" customHeight="1" x14ac:dyDescent="0.2">
      <c r="J99" s="76"/>
    </row>
    <row r="100" spans="2:20" ht="16" customHeight="1" x14ac:dyDescent="0.2">
      <c r="B100" s="93" t="s">
        <v>54</v>
      </c>
      <c r="C100" s="93"/>
      <c r="D100" s="93"/>
      <c r="E100" s="93"/>
      <c r="F100" s="93"/>
      <c r="G100" s="93"/>
      <c r="H100" s="93"/>
      <c r="I100" s="93"/>
      <c r="J100" s="120"/>
      <c r="K100" s="121">
        <f t="shared" ref="K100:T100" ca="1" si="95">K98*K92</f>
        <v>56340.858149542903</v>
      </c>
      <c r="L100" s="121">
        <f t="shared" ca="1" si="95"/>
        <v>61177.126821131562</v>
      </c>
      <c r="M100" s="121">
        <f t="shared" ca="1" si="95"/>
        <v>64204.692171938208</v>
      </c>
      <c r="N100" s="121">
        <f t="shared" ca="1" si="95"/>
        <v>67542.987335895537</v>
      </c>
      <c r="O100" s="121">
        <f t="shared" ca="1" si="95"/>
        <v>70270.736267856541</v>
      </c>
      <c r="P100" s="121">
        <f t="shared" ca="1" si="95"/>
        <v>71604.67339693167</v>
      </c>
      <c r="Q100" s="121">
        <f t="shared" ca="1" si="95"/>
        <v>72418.601647120551</v>
      </c>
      <c r="R100" s="121">
        <f t="shared" ca="1" si="95"/>
        <v>72205.939190434729</v>
      </c>
      <c r="S100" s="121">
        <f t="shared" ca="1" si="95"/>
        <v>70756.672444647818</v>
      </c>
      <c r="T100" s="121">
        <f t="shared" ca="1" si="95"/>
        <v>68582.314950905769</v>
      </c>
    </row>
    <row r="101" spans="2:20" ht="16" customHeight="1" x14ac:dyDescent="0.2">
      <c r="B101" s="49" t="s">
        <v>55</v>
      </c>
      <c r="T101" s="72">
        <f ca="1">T98*T96</f>
        <v>1492136.9516370103</v>
      </c>
    </row>
    <row r="103" spans="2:20" ht="16" customHeight="1" x14ac:dyDescent="0.2">
      <c r="B103" s="122" t="s">
        <v>56</v>
      </c>
      <c r="C103" s="80"/>
      <c r="D103" s="81">
        <f ca="1">SUM(K100:T101)</f>
        <v>2167241.5540134157</v>
      </c>
    </row>
    <row r="105" spans="2:20" ht="16" customHeight="1" x14ac:dyDescent="0.2">
      <c r="B105" s="49" t="s">
        <v>57</v>
      </c>
      <c r="D105" s="149">
        <f>T9</f>
        <v>99508</v>
      </c>
    </row>
    <row r="106" spans="2:20" ht="16" customHeight="1" x14ac:dyDescent="0.2">
      <c r="B106" s="49" t="s">
        <v>58</v>
      </c>
      <c r="D106" s="149">
        <f>T10</f>
        <v>7097</v>
      </c>
    </row>
    <row r="107" spans="2:20" ht="16" customHeight="1" x14ac:dyDescent="0.2">
      <c r="B107" s="49" t="s">
        <v>59</v>
      </c>
      <c r="D107" s="149">
        <f>T11</f>
        <v>48116</v>
      </c>
    </row>
    <row r="108" spans="2:20" ht="16" customHeight="1" x14ac:dyDescent="0.2">
      <c r="B108" s="49" t="s">
        <v>60</v>
      </c>
      <c r="D108" s="149">
        <f>T12</f>
        <v>0</v>
      </c>
      <c r="H108" s="49" t="s">
        <v>61</v>
      </c>
    </row>
    <row r="109" spans="2:20" ht="16" customHeight="1" x14ac:dyDescent="0.2">
      <c r="B109" s="122" t="s">
        <v>62</v>
      </c>
      <c r="C109" s="80"/>
      <c r="D109" s="123">
        <f ca="1">D103+D105+D106-D107-D108</f>
        <v>2225730.5540134157</v>
      </c>
    </row>
    <row r="110" spans="2:20" ht="16" customHeight="1" x14ac:dyDescent="0.2">
      <c r="D110" s="9"/>
    </row>
    <row r="111" spans="2:20" ht="16" customHeight="1" x14ac:dyDescent="0.2">
      <c r="B111" s="115" t="s">
        <v>63</v>
      </c>
      <c r="C111" s="115"/>
      <c r="D111" s="124">
        <f>T16</f>
        <v>7473</v>
      </c>
    </row>
    <row r="112" spans="2:20" ht="16" customHeight="1" x14ac:dyDescent="0.2">
      <c r="B112" s="125" t="s">
        <v>1</v>
      </c>
      <c r="D112" s="126">
        <f ca="1">D109/D111</f>
        <v>297.83628449262886</v>
      </c>
    </row>
    <row r="114" spans="1:21" ht="16" customHeight="1" x14ac:dyDescent="0.2">
      <c r="A114" s="49" t="s">
        <v>10</v>
      </c>
      <c r="B114" s="56" t="s">
        <v>64</v>
      </c>
      <c r="C114" s="127"/>
      <c r="D114" s="127"/>
      <c r="E114" s="128"/>
      <c r="F114" s="128"/>
      <c r="G114" s="128"/>
      <c r="H114" s="128"/>
      <c r="I114" s="128"/>
      <c r="J114" s="128"/>
      <c r="K114" s="128"/>
      <c r="L114" s="128"/>
      <c r="M114" s="128"/>
      <c r="N114" s="128"/>
      <c r="O114" s="128"/>
      <c r="P114" s="128"/>
      <c r="Q114" s="128"/>
      <c r="R114" s="128"/>
      <c r="S114" s="128"/>
      <c r="T114" s="128"/>
      <c r="U114" s="128"/>
    </row>
    <row r="116" spans="1:21" ht="16" customHeight="1" x14ac:dyDescent="0.2">
      <c r="B116" s="49" t="s">
        <v>27</v>
      </c>
      <c r="D116" s="129">
        <f>D29</f>
        <v>3.5000000000000003E-2</v>
      </c>
      <c r="F116" s="49" t="s">
        <v>65</v>
      </c>
      <c r="H116" s="4">
        <v>5.0000000000000001E-3</v>
      </c>
      <c r="J116" s="49" t="s">
        <v>66</v>
      </c>
      <c r="L116" s="130">
        <f>D30</f>
        <v>13</v>
      </c>
      <c r="N116" s="49" t="s">
        <v>67</v>
      </c>
      <c r="P116" s="10">
        <v>0.5</v>
      </c>
    </row>
    <row r="117" spans="1:21" ht="16" customHeight="1" x14ac:dyDescent="0.2">
      <c r="B117" s="49" t="s">
        <v>25</v>
      </c>
      <c r="D117" s="129">
        <f>D28</f>
        <v>9.2101519876230581E-2</v>
      </c>
      <c r="F117" s="49" t="s">
        <v>68</v>
      </c>
      <c r="H117" s="4">
        <v>5.0000000000000001E-3</v>
      </c>
      <c r="J117" s="49" t="s">
        <v>69</v>
      </c>
      <c r="L117" s="129">
        <f>D28</f>
        <v>9.2101519876230581E-2</v>
      </c>
      <c r="N117" s="49" t="s">
        <v>68</v>
      </c>
      <c r="P117" s="4">
        <v>5.0000000000000001E-3</v>
      </c>
    </row>
    <row r="119" spans="1:21" ht="16" customHeight="1" x14ac:dyDescent="0.2">
      <c r="D119" s="153" t="s">
        <v>27</v>
      </c>
      <c r="E119" s="153"/>
      <c r="F119" s="153"/>
      <c r="G119" s="153"/>
      <c r="H119" s="153"/>
      <c r="L119" s="153" t="s">
        <v>28</v>
      </c>
      <c r="M119" s="153"/>
      <c r="N119" s="153"/>
      <c r="O119" s="153"/>
      <c r="P119" s="153"/>
    </row>
    <row r="120" spans="1:21" ht="16" customHeight="1" x14ac:dyDescent="0.2">
      <c r="D120" s="153"/>
      <c r="E120" s="153"/>
      <c r="F120" s="153"/>
      <c r="G120" s="153"/>
      <c r="H120" s="153"/>
      <c r="L120" s="153"/>
      <c r="M120" s="153"/>
      <c r="N120" s="153"/>
      <c r="O120" s="153"/>
      <c r="P120" s="153"/>
    </row>
    <row r="121" spans="1:21" ht="16" customHeight="1" x14ac:dyDescent="0.2">
      <c r="C121" s="126">
        <f ca="1">D112</f>
        <v>297.83628449262886</v>
      </c>
      <c r="D121" s="131">
        <f>E121-H116</f>
        <v>2.5000000000000001E-2</v>
      </c>
      <c r="E121" s="131">
        <f>F121-H116</f>
        <v>3.0000000000000002E-2</v>
      </c>
      <c r="F121" s="132">
        <f>CHOOSE(D24,H24,L24,P24,H29)</f>
        <v>3.5000000000000003E-2</v>
      </c>
      <c r="G121" s="131">
        <f>F121+H116</f>
        <v>0.04</v>
      </c>
      <c r="H121" s="131">
        <f>G121+H116</f>
        <v>4.4999999999999998E-2</v>
      </c>
      <c r="K121" s="126">
        <f ca="1">D112</f>
        <v>297.83628449262886</v>
      </c>
      <c r="L121" s="133">
        <f>M121-P116</f>
        <v>12</v>
      </c>
      <c r="M121" s="133">
        <f>N121-P116</f>
        <v>12.5</v>
      </c>
      <c r="N121" s="133">
        <f>CHOOSE(D25,H25,L25,P25,H30)</f>
        <v>13</v>
      </c>
      <c r="O121" s="133">
        <f>N121+P116</f>
        <v>13.5</v>
      </c>
      <c r="P121" s="133">
        <f>O121+P116</f>
        <v>14</v>
      </c>
    </row>
    <row r="122" spans="1:21" ht="16" customHeight="1" x14ac:dyDescent="0.2">
      <c r="B122" s="153" t="s">
        <v>25</v>
      </c>
      <c r="C122" s="134">
        <f>C123-H117</f>
        <v>8.2101519876230572E-2</v>
      </c>
      <c r="D122" s="119">
        <f t="dataTable" ref="D122:H126" dt2D="1" dtr="1" r1="D29" r2="D28" ca="1"/>
        <v>320.98650944160869</v>
      </c>
      <c r="E122" s="119">
        <v>334.59141007816959</v>
      </c>
      <c r="F122" s="119">
        <v>351.86324961155907</v>
      </c>
      <c r="G122" s="119">
        <v>374.51546976243401</v>
      </c>
      <c r="H122" s="119">
        <v>405.52597397055922</v>
      </c>
      <c r="J122" s="153" t="s">
        <v>25</v>
      </c>
      <c r="K122" s="134">
        <f>K123-P117</f>
        <v>8.2101519876230572E-2</v>
      </c>
      <c r="L122" s="119">
        <f t="dataTable" ref="L122:P126" dt2D="1" dtr="1" r1="D30" r2="D28" ca="1"/>
        <v>343.52407085427728</v>
      </c>
      <c r="M122" s="119">
        <v>347.69366023291815</v>
      </c>
      <c r="N122" s="119">
        <v>351.86324961155907</v>
      </c>
      <c r="O122" s="119">
        <v>356.03283899019999</v>
      </c>
      <c r="P122" s="119">
        <v>360.20242836884091</v>
      </c>
    </row>
    <row r="123" spans="1:21" ht="16" customHeight="1" x14ac:dyDescent="0.2">
      <c r="B123" s="153"/>
      <c r="C123" s="134">
        <f>C124-H117</f>
        <v>8.7101519876230576E-2</v>
      </c>
      <c r="D123" s="119">
        <v>298.59927087233848</v>
      </c>
      <c r="E123" s="135">
        <v>309.14434468755655</v>
      </c>
      <c r="F123" s="135">
        <v>322.19409620709951</v>
      </c>
      <c r="G123" s="135">
        <v>338.76115687275734</v>
      </c>
      <c r="H123" s="119">
        <v>360.48905127137641</v>
      </c>
      <c r="J123" s="153"/>
      <c r="K123" s="134">
        <f>K124-P117</f>
        <v>8.7101519876230576E-2</v>
      </c>
      <c r="L123" s="119">
        <v>314.23232992928206</v>
      </c>
      <c r="M123" s="135">
        <v>318.21321306819084</v>
      </c>
      <c r="N123" s="135">
        <v>322.19409620709951</v>
      </c>
      <c r="O123" s="135">
        <v>326.17497934600823</v>
      </c>
      <c r="P123" s="119">
        <v>330.15586248491695</v>
      </c>
    </row>
    <row r="124" spans="1:21" ht="16" customHeight="1" x14ac:dyDescent="0.2">
      <c r="B124" s="153"/>
      <c r="C124" s="134">
        <f>CHOOSE(D23,H23,L23,P23,H28)</f>
        <v>9.2101519876230581E-2</v>
      </c>
      <c r="D124" s="119">
        <v>279.37454662787951</v>
      </c>
      <c r="E124" s="135">
        <v>287.71956146671687</v>
      </c>
      <c r="F124" s="136">
        <v>297.83628449262886</v>
      </c>
      <c r="G124" s="135">
        <v>310.35594286521075</v>
      </c>
      <c r="H124" s="119">
        <v>326.25003398727216</v>
      </c>
      <c r="J124" s="153"/>
      <c r="K124" s="134">
        <f>CHOOSE(D23,H23,L23,P23,H28)</f>
        <v>9.2101519876230581E-2</v>
      </c>
      <c r="L124" s="119">
        <v>290.23322669198689</v>
      </c>
      <c r="M124" s="135">
        <v>294.03475559230799</v>
      </c>
      <c r="N124" s="136">
        <v>297.83628449262886</v>
      </c>
      <c r="O124" s="135">
        <v>301.63781339294991</v>
      </c>
      <c r="P124" s="119">
        <v>305.4393422932709</v>
      </c>
    </row>
    <row r="125" spans="1:21" ht="16" customHeight="1" x14ac:dyDescent="0.2">
      <c r="B125" s="153"/>
      <c r="C125" s="134">
        <f>C124+H117</f>
        <v>9.7101519876230585E-2</v>
      </c>
      <c r="D125" s="119">
        <v>262.60210270505974</v>
      </c>
      <c r="E125" s="135">
        <v>269.32022825207815</v>
      </c>
      <c r="F125" s="135">
        <v>277.3277836589121</v>
      </c>
      <c r="G125" s="135">
        <v>287.03540212695424</v>
      </c>
      <c r="H125" s="119">
        <v>299.04878497038709</v>
      </c>
      <c r="J125" s="153"/>
      <c r="K125" s="134">
        <f>K124+P117</f>
        <v>9.7101519876230585E-2</v>
      </c>
      <c r="L125" s="119">
        <v>270.06573699343312</v>
      </c>
      <c r="M125" s="135">
        <v>273.69676032617264</v>
      </c>
      <c r="N125" s="135">
        <v>277.3277836589121</v>
      </c>
      <c r="O125" s="135">
        <v>280.95880699165167</v>
      </c>
      <c r="P125" s="119">
        <v>284.58983032439113</v>
      </c>
    </row>
    <row r="126" spans="1:21" ht="16" customHeight="1" x14ac:dyDescent="0.2">
      <c r="B126" s="153"/>
      <c r="C126" s="134">
        <f>C125+H117</f>
        <v>0.10210151987623059</v>
      </c>
      <c r="D126" s="119">
        <v>247.77979570515785</v>
      </c>
      <c r="E126" s="119">
        <v>253.26658287444045</v>
      </c>
      <c r="F126" s="119">
        <v>259.71425290308923</v>
      </c>
      <c r="G126" s="119">
        <v>267.39944345781197</v>
      </c>
      <c r="H126" s="119">
        <v>276.71625663849613</v>
      </c>
      <c r="J126" s="153"/>
      <c r="K126" s="134">
        <f>K125+P117</f>
        <v>0.10210151987623059</v>
      </c>
      <c r="L126" s="119">
        <v>252.7764682599757</v>
      </c>
      <c r="M126" s="119">
        <v>256.24536058153251</v>
      </c>
      <c r="N126" s="119">
        <v>259.71425290308923</v>
      </c>
      <c r="O126" s="119">
        <v>263.18314522464601</v>
      </c>
      <c r="P126" s="119">
        <v>266.65203754620285</v>
      </c>
    </row>
    <row r="128" spans="1:21" ht="16" customHeight="1" x14ac:dyDescent="0.2">
      <c r="A128" s="49" t="s">
        <v>10</v>
      </c>
      <c r="B128" s="56" t="s">
        <v>164</v>
      </c>
      <c r="C128" s="127"/>
      <c r="D128" s="127"/>
      <c r="E128" s="67">
        <v>2017</v>
      </c>
      <c r="F128" s="67">
        <v>2018</v>
      </c>
      <c r="G128" s="67">
        <v>2019</v>
      </c>
      <c r="H128" s="67">
        <v>2020</v>
      </c>
      <c r="I128" s="67">
        <v>2021</v>
      </c>
      <c r="J128" s="67">
        <v>2022</v>
      </c>
      <c r="K128" s="68">
        <v>2023</v>
      </c>
      <c r="L128" s="68">
        <v>2024</v>
      </c>
      <c r="M128" s="68">
        <v>2025</v>
      </c>
      <c r="N128" s="68">
        <v>2026</v>
      </c>
      <c r="O128" s="68">
        <v>2027</v>
      </c>
      <c r="P128" s="68">
        <v>2028</v>
      </c>
      <c r="Q128" s="68">
        <v>2029</v>
      </c>
      <c r="R128" s="68">
        <v>2030</v>
      </c>
      <c r="S128" s="68">
        <v>2031</v>
      </c>
      <c r="T128" s="68">
        <v>2032</v>
      </c>
      <c r="U128" s="68">
        <v>2033</v>
      </c>
    </row>
    <row r="129" spans="2:21" ht="16" customHeight="1" x14ac:dyDescent="0.2">
      <c r="B129" s="56" t="s">
        <v>36</v>
      </c>
      <c r="C129" s="56"/>
      <c r="D129" s="56"/>
      <c r="E129" s="69">
        <f>E59</f>
        <v>42916</v>
      </c>
      <c r="F129" s="69">
        <f t="shared" ref="F129:U129" si="96">F59</f>
        <v>43281</v>
      </c>
      <c r="G129" s="69">
        <f t="shared" si="96"/>
        <v>43646</v>
      </c>
      <c r="H129" s="69">
        <f t="shared" si="96"/>
        <v>44012</v>
      </c>
      <c r="I129" s="69">
        <f t="shared" si="96"/>
        <v>44377</v>
      </c>
      <c r="J129" s="69">
        <f t="shared" si="96"/>
        <v>44742</v>
      </c>
      <c r="K129" s="69">
        <f t="shared" si="96"/>
        <v>45107</v>
      </c>
      <c r="L129" s="69">
        <f t="shared" si="96"/>
        <v>45473</v>
      </c>
      <c r="M129" s="69">
        <f t="shared" si="96"/>
        <v>45838</v>
      </c>
      <c r="N129" s="69">
        <f t="shared" si="96"/>
        <v>46203</v>
      </c>
      <c r="O129" s="69">
        <f t="shared" si="96"/>
        <v>46568</v>
      </c>
      <c r="P129" s="69">
        <f t="shared" si="96"/>
        <v>46934</v>
      </c>
      <c r="Q129" s="69">
        <f t="shared" si="96"/>
        <v>47299</v>
      </c>
      <c r="R129" s="69">
        <f t="shared" si="96"/>
        <v>47664</v>
      </c>
      <c r="S129" s="69">
        <f t="shared" si="96"/>
        <v>48029</v>
      </c>
      <c r="T129" s="69">
        <f t="shared" si="96"/>
        <v>48395</v>
      </c>
      <c r="U129" s="69">
        <f t="shared" si="96"/>
        <v>48760</v>
      </c>
    </row>
    <row r="130" spans="2:21" ht="16" customHeight="1" x14ac:dyDescent="0.2">
      <c r="B130" s="49" t="s">
        <v>40</v>
      </c>
      <c r="E130" s="72">
        <f>E60</f>
        <v>96571</v>
      </c>
      <c r="F130" s="72">
        <f t="shared" ref="F130:U130" si="97">F60</f>
        <v>110360</v>
      </c>
      <c r="G130" s="72">
        <f t="shared" si="97"/>
        <v>125843</v>
      </c>
      <c r="H130" s="72">
        <f t="shared" si="97"/>
        <v>143015</v>
      </c>
      <c r="I130" s="72">
        <f t="shared" si="97"/>
        <v>168088</v>
      </c>
      <c r="J130" s="137">
        <f t="shared" si="97"/>
        <v>198261</v>
      </c>
      <c r="K130" s="72">
        <f t="shared" ca="1" si="97"/>
        <v>212783.75</v>
      </c>
      <c r="L130" s="72">
        <f t="shared" ca="1" si="97"/>
        <v>239878.9268942239</v>
      </c>
      <c r="M130" s="72">
        <f t="shared" ca="1" si="97"/>
        <v>272676.51880421059</v>
      </c>
      <c r="N130" s="72">
        <f t="shared" ca="1" si="97"/>
        <v>310618.98859055695</v>
      </c>
      <c r="O130" s="72">
        <f t="shared" ca="1" si="97"/>
        <v>349970.35493664589</v>
      </c>
      <c r="P130" s="72">
        <f t="shared" ca="1" si="97"/>
        <v>389751.29242137657</v>
      </c>
      <c r="Q130" s="72">
        <f t="shared" ca="1" si="97"/>
        <v>428792.16747048183</v>
      </c>
      <c r="R130" s="72">
        <f t="shared" ca="1" si="97"/>
        <v>465778.2642342191</v>
      </c>
      <c r="S130" s="72">
        <f t="shared" ca="1" si="97"/>
        <v>499315.76065639418</v>
      </c>
      <c r="T130" s="72">
        <f t="shared" ca="1" si="97"/>
        <v>528015.21361862519</v>
      </c>
      <c r="U130" s="72">
        <f t="shared" ca="1" si="97"/>
        <v>550586.51505919674</v>
      </c>
    </row>
    <row r="131" spans="2:21" s="73" customFormat="1" ht="16" customHeight="1" x14ac:dyDescent="0.2">
      <c r="B131" s="73" t="s">
        <v>37</v>
      </c>
      <c r="F131" s="138">
        <f t="shared" ref="F131:U131" si="98">F61</f>
        <v>0.14278613662486661</v>
      </c>
      <c r="G131" s="138">
        <f t="shared" si="98"/>
        <v>0.14029539688292858</v>
      </c>
      <c r="H131" s="138">
        <f t="shared" si="98"/>
        <v>0.13645574247276371</v>
      </c>
      <c r="I131" s="138">
        <f t="shared" si="98"/>
        <v>0.17531727441177503</v>
      </c>
      <c r="J131" s="139">
        <f t="shared" si="98"/>
        <v>0.17950716291466384</v>
      </c>
      <c r="K131" s="138">
        <f t="shared" ca="1" si="98"/>
        <v>7.3250664528071496E-2</v>
      </c>
      <c r="L131" s="138">
        <f t="shared" ca="1" si="98"/>
        <v>0.12733668287274713</v>
      </c>
      <c r="M131" s="138">
        <f t="shared" ca="1" si="98"/>
        <v>0.13672560709948889</v>
      </c>
      <c r="N131" s="138">
        <f t="shared" ca="1" si="98"/>
        <v>0.13914828439477822</v>
      </c>
      <c r="O131" s="138">
        <f t="shared" ca="1" si="98"/>
        <v>0.12668693090736971</v>
      </c>
      <c r="P131" s="138">
        <f t="shared" ca="1" si="98"/>
        <v>0.11366944920786826</v>
      </c>
      <c r="Q131" s="138">
        <f t="shared" ca="1" si="98"/>
        <v>0.10016868656562794</v>
      </c>
      <c r="R131" s="138">
        <f t="shared" ca="1" si="98"/>
        <v>8.6256465415225581E-2</v>
      </c>
      <c r="S131" s="138">
        <f t="shared" ca="1" si="98"/>
        <v>7.2003137538660722E-2</v>
      </c>
      <c r="T131" s="138">
        <f t="shared" ca="1" si="98"/>
        <v>5.7477562744070232E-2</v>
      </c>
      <c r="U131" s="138">
        <f t="shared" ca="1" si="98"/>
        <v>4.2747445259928352E-2</v>
      </c>
    </row>
    <row r="132" spans="2:21" ht="16" customHeight="1" x14ac:dyDescent="0.2">
      <c r="B132" s="49" t="s">
        <v>70</v>
      </c>
      <c r="E132" s="72">
        <f t="shared" ref="E132:U132" si="99">E75+E63</f>
        <v>35431</v>
      </c>
      <c r="F132" s="72">
        <f t="shared" si="99"/>
        <v>42758</v>
      </c>
      <c r="G132" s="72">
        <f t="shared" si="99"/>
        <v>52659</v>
      </c>
      <c r="H132" s="72">
        <f t="shared" si="99"/>
        <v>63659</v>
      </c>
      <c r="I132" s="72">
        <f t="shared" si="99"/>
        <v>79216</v>
      </c>
      <c r="J132" s="137">
        <f t="shared" si="99"/>
        <v>95983</v>
      </c>
      <c r="K132" s="72">
        <f t="shared" ca="1" si="99"/>
        <v>98776.103567830054</v>
      </c>
      <c r="L132" s="72">
        <f t="shared" ca="1" si="99"/>
        <v>113502.26792526731</v>
      </c>
      <c r="M132" s="72">
        <f t="shared" ca="1" si="99"/>
        <v>131194.0143227462</v>
      </c>
      <c r="N132" s="72">
        <f t="shared" ca="1" si="99"/>
        <v>151531.01360214251</v>
      </c>
      <c r="O132" s="72">
        <f t="shared" ca="1" si="99"/>
        <v>173113.83394433509</v>
      </c>
      <c r="P132" s="72">
        <f t="shared" ca="1" si="99"/>
        <v>193397.30642065225</v>
      </c>
      <c r="Q132" s="72">
        <f t="shared" ca="1" si="99"/>
        <v>212959.35656727839</v>
      </c>
      <c r="R132" s="72">
        <f t="shared" ca="1" si="99"/>
        <v>231279.05767376549</v>
      </c>
      <c r="S132" s="72">
        <f t="shared" ca="1" si="99"/>
        <v>247812.92286021443</v>
      </c>
      <c r="T132" s="72">
        <f t="shared" ca="1" si="99"/>
        <v>261936.23723779822</v>
      </c>
      <c r="U132" s="72">
        <f t="shared" ca="1" si="99"/>
        <v>273130.786135495</v>
      </c>
    </row>
    <row r="133" spans="2:21" s="73" customFormat="1" ht="16" customHeight="1" x14ac:dyDescent="0.2">
      <c r="B133" s="73" t="s">
        <v>42</v>
      </c>
      <c r="E133" s="74">
        <f>E132/E130</f>
        <v>0.3668906814675213</v>
      </c>
      <c r="F133" s="74">
        <f>F132/F130</f>
        <v>0.38744110184849584</v>
      </c>
      <c r="G133" s="74">
        <f t="shared" ref="G133:U133" si="100">G132/G130</f>
        <v>0.41844997337952844</v>
      </c>
      <c r="H133" s="74">
        <f t="shared" si="100"/>
        <v>0.44512114113904133</v>
      </c>
      <c r="I133" s="74">
        <f t="shared" si="100"/>
        <v>0.4712769501689591</v>
      </c>
      <c r="J133" s="75">
        <f t="shared" si="100"/>
        <v>0.48412446219881872</v>
      </c>
      <c r="K133" s="74">
        <f t="shared" ca="1" si="100"/>
        <v>0.46420886730227312</v>
      </c>
      <c r="L133" s="74">
        <f t="shared" ca="1" si="100"/>
        <v>0.4731648144120506</v>
      </c>
      <c r="M133" s="74">
        <f t="shared" ca="1" si="100"/>
        <v>0.48113425717066305</v>
      </c>
      <c r="N133" s="74">
        <f t="shared" ca="1" si="100"/>
        <v>0.48783564163195259</v>
      </c>
      <c r="O133" s="74">
        <f t="shared" ca="1" si="100"/>
        <v>0.49465285131271586</v>
      </c>
      <c r="P133" s="74">
        <f t="shared" ca="1" si="100"/>
        <v>0.49620696629162753</v>
      </c>
      <c r="Q133" s="74">
        <f t="shared" ca="1" si="100"/>
        <v>0.49664936237889318</v>
      </c>
      <c r="R133" s="74">
        <f t="shared" ca="1" si="100"/>
        <v>0.49654325981485814</v>
      </c>
      <c r="S133" s="74">
        <f t="shared" ca="1" si="100"/>
        <v>0.49630502857438885</v>
      </c>
      <c r="T133" s="74">
        <f t="shared" ca="1" si="100"/>
        <v>0.49607706460327394</v>
      </c>
      <c r="U133" s="74">
        <f t="shared" ca="1" si="100"/>
        <v>0.4960724221626262</v>
      </c>
    </row>
    <row r="134" spans="2:21" ht="16" customHeight="1" x14ac:dyDescent="0.2">
      <c r="B134" s="49" t="s">
        <v>45</v>
      </c>
      <c r="E134" s="72">
        <f t="shared" ref="E134:U134" si="101">E75</f>
        <v>6100</v>
      </c>
      <c r="F134" s="72">
        <f t="shared" si="101"/>
        <v>7700</v>
      </c>
      <c r="G134" s="72">
        <f t="shared" si="101"/>
        <v>9700</v>
      </c>
      <c r="H134" s="72">
        <f t="shared" si="101"/>
        <v>10700</v>
      </c>
      <c r="I134" s="72">
        <f t="shared" si="101"/>
        <v>9300</v>
      </c>
      <c r="J134" s="137">
        <f t="shared" si="101"/>
        <v>12600</v>
      </c>
      <c r="K134" s="72">
        <f t="shared" ca="1" si="101"/>
        <v>14317.362670849812</v>
      </c>
      <c r="L134" s="72">
        <f t="shared" ca="1" si="101"/>
        <v>16305.205682330361</v>
      </c>
      <c r="M134" s="72">
        <f t="shared" ca="1" si="101"/>
        <v>18452.786903216456</v>
      </c>
      <c r="N134" s="72">
        <f t="shared" ca="1" si="101"/>
        <v>20533.443157413349</v>
      </c>
      <c r="O134" s="72">
        <f t="shared" ca="1" si="101"/>
        <v>22626.58132157736</v>
      </c>
      <c r="P134" s="72">
        <f t="shared" ca="1" si="101"/>
        <v>25804.250679460318</v>
      </c>
      <c r="Q134" s="72">
        <f t="shared" ca="1" si="101"/>
        <v>28578.724554971202</v>
      </c>
      <c r="R134" s="72">
        <f t="shared" ca="1" si="101"/>
        <v>30994.404053051279</v>
      </c>
      <c r="S134" s="72">
        <f t="shared" ca="1" si="101"/>
        <v>33107.145777964928</v>
      </c>
      <c r="T134" s="72">
        <f t="shared" ca="1" si="101"/>
        <v>34889.695381789395</v>
      </c>
      <c r="U134" s="72">
        <f t="shared" ca="1" si="101"/>
        <v>36378.584660040426</v>
      </c>
    </row>
    <row r="135" spans="2:21" s="73" customFormat="1" ht="16" customHeight="1" x14ac:dyDescent="0.2">
      <c r="B135" s="73" t="s">
        <v>46</v>
      </c>
      <c r="E135" s="138">
        <f t="shared" ref="E135:U135" si="102">E77</f>
        <v>0.75039980317382216</v>
      </c>
      <c r="F135" s="138">
        <f t="shared" si="102"/>
        <v>0.66196698762035766</v>
      </c>
      <c r="G135" s="138">
        <f t="shared" si="102"/>
        <v>0.696588868940754</v>
      </c>
      <c r="H135" s="138">
        <f t="shared" si="102"/>
        <v>0.69296030049867241</v>
      </c>
      <c r="I135" s="138">
        <f t="shared" si="102"/>
        <v>0.45097468722723305</v>
      </c>
      <c r="J135" s="139">
        <f t="shared" si="102"/>
        <v>0.52750565184626974</v>
      </c>
      <c r="K135" s="138">
        <f t="shared" ca="1" si="102"/>
        <v>0.59315698567817865</v>
      </c>
      <c r="L135" s="138">
        <f t="shared" ca="1" si="102"/>
        <v>0.59083860509553765</v>
      </c>
      <c r="M135" s="138">
        <f t="shared" ca="1" si="102"/>
        <v>0.58377644827122444</v>
      </c>
      <c r="N135" s="138">
        <f t="shared" ca="1" si="102"/>
        <v>0.56253074079283139</v>
      </c>
      <c r="O135" s="138">
        <f t="shared" ca="1" si="102"/>
        <v>0.5550602750237591</v>
      </c>
      <c r="P135" s="138">
        <f t="shared" ca="1" si="102"/>
        <v>0.57233221651893351</v>
      </c>
      <c r="Q135" s="138">
        <f t="shared" ca="1" si="102"/>
        <v>0.57393164810423014</v>
      </c>
      <c r="R135" s="138">
        <f t="shared" ca="1" si="102"/>
        <v>0.57195084242619321</v>
      </c>
      <c r="S135" s="138">
        <f t="shared" ca="1" si="102"/>
        <v>0.56949018355421432</v>
      </c>
      <c r="T135" s="138">
        <f t="shared" ca="1" si="102"/>
        <v>0.56859164980882171</v>
      </c>
      <c r="U135" s="138">
        <f t="shared" ca="1" si="102"/>
        <v>0.5688132354761366</v>
      </c>
    </row>
    <row r="136" spans="2:21" ht="16" customHeight="1" x14ac:dyDescent="0.2">
      <c r="B136" s="49" t="s">
        <v>71</v>
      </c>
      <c r="E136" s="72">
        <f t="shared" ref="E136:U136" si="103">E63</f>
        <v>29331</v>
      </c>
      <c r="F136" s="72">
        <f t="shared" si="103"/>
        <v>35058</v>
      </c>
      <c r="G136" s="72">
        <f t="shared" si="103"/>
        <v>42959</v>
      </c>
      <c r="H136" s="72">
        <f t="shared" si="103"/>
        <v>52959</v>
      </c>
      <c r="I136" s="72">
        <f t="shared" si="103"/>
        <v>69916</v>
      </c>
      <c r="J136" s="137">
        <f t="shared" si="103"/>
        <v>83383</v>
      </c>
      <c r="K136" s="72">
        <f t="shared" ca="1" si="103"/>
        <v>84458.740896980235</v>
      </c>
      <c r="L136" s="72">
        <f t="shared" ca="1" si="103"/>
        <v>97197.062242936954</v>
      </c>
      <c r="M136" s="72">
        <f t="shared" ca="1" si="103"/>
        <v>112741.22741952974</v>
      </c>
      <c r="N136" s="72">
        <f t="shared" ca="1" si="103"/>
        <v>130997.57044472916</v>
      </c>
      <c r="O136" s="72">
        <f t="shared" ca="1" si="103"/>
        <v>150487.25262275772</v>
      </c>
      <c r="P136" s="72">
        <f t="shared" ca="1" si="103"/>
        <v>167593.05574119193</v>
      </c>
      <c r="Q136" s="72">
        <f t="shared" ca="1" si="103"/>
        <v>184380.63201230718</v>
      </c>
      <c r="R136" s="72">
        <f t="shared" ca="1" si="103"/>
        <v>200284.65362071421</v>
      </c>
      <c r="S136" s="72">
        <f t="shared" ca="1" si="103"/>
        <v>214705.77708224949</v>
      </c>
      <c r="T136" s="72">
        <f t="shared" ca="1" si="103"/>
        <v>227046.54185600881</v>
      </c>
      <c r="U136" s="72">
        <f t="shared" ca="1" si="103"/>
        <v>236752.20147545458</v>
      </c>
    </row>
    <row r="137" spans="2:21" s="73" customFormat="1" ht="16" customHeight="1" x14ac:dyDescent="0.2">
      <c r="B137" s="73" t="s">
        <v>42</v>
      </c>
      <c r="E137" s="74">
        <f t="shared" ref="E137:U137" si="104">E64</f>
        <v>0.30372472067183731</v>
      </c>
      <c r="F137" s="74">
        <f t="shared" si="104"/>
        <v>0.31766944545125048</v>
      </c>
      <c r="G137" s="74">
        <f t="shared" si="104"/>
        <v>0.3413698020549415</v>
      </c>
      <c r="H137" s="74">
        <f t="shared" si="104"/>
        <v>0.37030381428521486</v>
      </c>
      <c r="I137" s="74">
        <f t="shared" si="104"/>
        <v>0.41594878872971303</v>
      </c>
      <c r="J137" s="75">
        <f t="shared" si="104"/>
        <v>0.4205718724307857</v>
      </c>
      <c r="K137" s="74">
        <f t="shared" ca="1" si="104"/>
        <v>0.39692288953916938</v>
      </c>
      <c r="L137" s="74">
        <f t="shared" ca="1" si="104"/>
        <v>0.405192167154377</v>
      </c>
      <c r="M137" s="74">
        <f t="shared" ca="1" si="104"/>
        <v>0.41346144476958469</v>
      </c>
      <c r="N137" s="74">
        <f t="shared" ca="1" si="104"/>
        <v>0.42173072238479237</v>
      </c>
      <c r="O137" s="74">
        <f t="shared" ca="1" si="104"/>
        <v>0.43</v>
      </c>
      <c r="P137" s="74">
        <f t="shared" ca="1" si="104"/>
        <v>0.43</v>
      </c>
      <c r="Q137" s="74">
        <f t="shared" ca="1" si="104"/>
        <v>0.43</v>
      </c>
      <c r="R137" s="74">
        <f t="shared" ca="1" si="104"/>
        <v>0.43</v>
      </c>
      <c r="S137" s="74">
        <f t="shared" ca="1" si="104"/>
        <v>0.43</v>
      </c>
      <c r="T137" s="74">
        <f t="shared" ca="1" si="104"/>
        <v>0.43</v>
      </c>
      <c r="U137" s="74">
        <f t="shared" ca="1" si="104"/>
        <v>0.43</v>
      </c>
    </row>
    <row r="138" spans="2:21" ht="16" customHeight="1" x14ac:dyDescent="0.2">
      <c r="B138" s="49" t="s">
        <v>21</v>
      </c>
      <c r="E138" s="72">
        <f t="shared" ref="E138:U138" si="105">E70</f>
        <v>4412</v>
      </c>
      <c r="F138" s="72">
        <f t="shared" si="105"/>
        <v>19903</v>
      </c>
      <c r="G138" s="72">
        <f t="shared" si="105"/>
        <v>4448</v>
      </c>
      <c r="H138" s="72">
        <f t="shared" si="105"/>
        <v>8755</v>
      </c>
      <c r="I138" s="72">
        <f t="shared" si="105"/>
        <v>9831</v>
      </c>
      <c r="J138" s="137">
        <f t="shared" si="105"/>
        <v>10978</v>
      </c>
      <c r="K138" s="72">
        <f t="shared" ca="1" si="105"/>
        <v>16227.879217902359</v>
      </c>
      <c r="L138" s="72">
        <f t="shared" ca="1" si="105"/>
        <v>20411.38307101676</v>
      </c>
      <c r="M138" s="72">
        <f t="shared" ca="1" si="105"/>
        <v>23675.657758101243</v>
      </c>
      <c r="N138" s="72">
        <f t="shared" ca="1" si="105"/>
        <v>27509.489793393124</v>
      </c>
      <c r="O138" s="72">
        <f t="shared" ca="1" si="105"/>
        <v>31602.32305077912</v>
      </c>
      <c r="P138" s="72">
        <f t="shared" ca="1" si="105"/>
        <v>35194.541705650307</v>
      </c>
      <c r="Q138" s="72">
        <f t="shared" ca="1" si="105"/>
        <v>38719.932722584505</v>
      </c>
      <c r="R138" s="72">
        <f t="shared" ca="1" si="105"/>
        <v>42059.777260349983</v>
      </c>
      <c r="S138" s="72">
        <f t="shared" ca="1" si="105"/>
        <v>45088.213187272391</v>
      </c>
      <c r="T138" s="72">
        <f t="shared" ca="1" si="105"/>
        <v>47679.77378976185</v>
      </c>
      <c r="U138" s="72">
        <f t="shared" ca="1" si="105"/>
        <v>49717.962309845461</v>
      </c>
    </row>
    <row r="139" spans="2:21" s="73" customFormat="1" ht="16" customHeight="1" x14ac:dyDescent="0.2">
      <c r="B139" s="73" t="s">
        <v>43</v>
      </c>
      <c r="E139" s="74">
        <f t="shared" ref="E139:U139" si="106">E71</f>
        <v>0.15042105622038116</v>
      </c>
      <c r="F139" s="74">
        <f t="shared" si="106"/>
        <v>0.56771635575332302</v>
      </c>
      <c r="G139" s="74">
        <f t="shared" si="106"/>
        <v>0.10354058520915291</v>
      </c>
      <c r="H139" s="74">
        <f t="shared" si="106"/>
        <v>0.1653165656451217</v>
      </c>
      <c r="I139" s="74">
        <f t="shared" si="106"/>
        <v>0.14061159105211968</v>
      </c>
      <c r="J139" s="75">
        <f t="shared" si="106"/>
        <v>0.13165753211086192</v>
      </c>
      <c r="K139" s="74">
        <f t="shared" si="106"/>
        <v>0.19213972462242301</v>
      </c>
      <c r="L139" s="74">
        <f t="shared" si="106"/>
        <v>0.21</v>
      </c>
      <c r="M139" s="74">
        <f t="shared" si="106"/>
        <v>0.21</v>
      </c>
      <c r="N139" s="74">
        <f t="shared" si="106"/>
        <v>0.21</v>
      </c>
      <c r="O139" s="74">
        <f t="shared" si="106"/>
        <v>0.21</v>
      </c>
      <c r="P139" s="74">
        <f t="shared" si="106"/>
        <v>0.21</v>
      </c>
      <c r="Q139" s="74">
        <f t="shared" si="106"/>
        <v>0.21</v>
      </c>
      <c r="R139" s="74">
        <f t="shared" si="106"/>
        <v>0.21</v>
      </c>
      <c r="S139" s="74">
        <f t="shared" si="106"/>
        <v>0.21</v>
      </c>
      <c r="T139" s="74">
        <f t="shared" si="106"/>
        <v>0.21</v>
      </c>
      <c r="U139" s="74">
        <f t="shared" si="106"/>
        <v>0.21</v>
      </c>
    </row>
    <row r="140" spans="2:21" ht="16" customHeight="1" x14ac:dyDescent="0.2">
      <c r="B140" s="49" t="s">
        <v>44</v>
      </c>
      <c r="E140" s="72">
        <f t="shared" ref="E140:U140" si="107">E73</f>
        <v>24919</v>
      </c>
      <c r="F140" s="72">
        <f t="shared" si="107"/>
        <v>15155</v>
      </c>
      <c r="G140" s="72">
        <f t="shared" si="107"/>
        <v>38511</v>
      </c>
      <c r="H140" s="72">
        <f t="shared" si="107"/>
        <v>44204</v>
      </c>
      <c r="I140" s="72">
        <f t="shared" si="107"/>
        <v>60085</v>
      </c>
      <c r="J140" s="137">
        <f t="shared" si="107"/>
        <v>72405</v>
      </c>
      <c r="K140" s="72">
        <f t="shared" ca="1" si="107"/>
        <v>68230.861679077876</v>
      </c>
      <c r="L140" s="72">
        <f t="shared" ca="1" si="107"/>
        <v>76785.679171920201</v>
      </c>
      <c r="M140" s="72">
        <f t="shared" ca="1" si="107"/>
        <v>89065.569661428497</v>
      </c>
      <c r="N140" s="72">
        <f t="shared" ca="1" si="107"/>
        <v>103488.08065133604</v>
      </c>
      <c r="O140" s="72">
        <f t="shared" ca="1" si="107"/>
        <v>118884.9295719786</v>
      </c>
      <c r="P140" s="72">
        <f t="shared" ca="1" si="107"/>
        <v>132398.51403554162</v>
      </c>
      <c r="Q140" s="72">
        <f t="shared" ca="1" si="107"/>
        <v>145660.69928972266</v>
      </c>
      <c r="R140" s="72">
        <f t="shared" ca="1" si="107"/>
        <v>158224.87636036423</v>
      </c>
      <c r="S140" s="72">
        <f t="shared" ca="1" si="107"/>
        <v>169617.56389497709</v>
      </c>
      <c r="T140" s="72">
        <f t="shared" ca="1" si="107"/>
        <v>179366.76806624696</v>
      </c>
      <c r="U140" s="72">
        <f t="shared" ca="1" si="107"/>
        <v>187034.23916560912</v>
      </c>
    </row>
    <row r="141" spans="2:21" ht="16" customHeight="1" x14ac:dyDescent="0.2">
      <c r="B141" s="49" t="s">
        <v>72</v>
      </c>
      <c r="E141" s="72">
        <f>E134</f>
        <v>6100</v>
      </c>
      <c r="F141" s="72">
        <f t="shared" ref="F141:U141" si="108">F134</f>
        <v>7700</v>
      </c>
      <c r="G141" s="72">
        <f t="shared" si="108"/>
        <v>9700</v>
      </c>
      <c r="H141" s="72">
        <f t="shared" si="108"/>
        <v>10700</v>
      </c>
      <c r="I141" s="72">
        <f t="shared" si="108"/>
        <v>9300</v>
      </c>
      <c r="J141" s="137">
        <f t="shared" si="108"/>
        <v>12600</v>
      </c>
      <c r="K141" s="72">
        <f t="shared" ca="1" si="108"/>
        <v>14317.362670849812</v>
      </c>
      <c r="L141" s="72">
        <f t="shared" ca="1" si="108"/>
        <v>16305.205682330361</v>
      </c>
      <c r="M141" s="72">
        <f t="shared" ca="1" si="108"/>
        <v>18452.786903216456</v>
      </c>
      <c r="N141" s="72">
        <f t="shared" ca="1" si="108"/>
        <v>20533.443157413349</v>
      </c>
      <c r="O141" s="72">
        <f t="shared" ca="1" si="108"/>
        <v>22626.58132157736</v>
      </c>
      <c r="P141" s="72">
        <f t="shared" ca="1" si="108"/>
        <v>25804.250679460318</v>
      </c>
      <c r="Q141" s="72">
        <f t="shared" ca="1" si="108"/>
        <v>28578.724554971202</v>
      </c>
      <c r="R141" s="72">
        <f t="shared" ca="1" si="108"/>
        <v>30994.404053051279</v>
      </c>
      <c r="S141" s="72">
        <f t="shared" ca="1" si="108"/>
        <v>33107.145777964928</v>
      </c>
      <c r="T141" s="72">
        <f t="shared" ca="1" si="108"/>
        <v>34889.695381789395</v>
      </c>
      <c r="U141" s="72">
        <f t="shared" ca="1" si="108"/>
        <v>36378.584660040426</v>
      </c>
    </row>
    <row r="142" spans="2:21" ht="16" customHeight="1" x14ac:dyDescent="0.2">
      <c r="B142" s="49" t="s">
        <v>73</v>
      </c>
      <c r="E142" s="72">
        <f t="shared" ref="E142:U142" si="109">E79</f>
        <v>8129</v>
      </c>
      <c r="F142" s="72">
        <f t="shared" si="109"/>
        <v>11632</v>
      </c>
      <c r="G142" s="72">
        <f t="shared" si="109"/>
        <v>13925</v>
      </c>
      <c r="H142" s="72">
        <f t="shared" si="109"/>
        <v>15441</v>
      </c>
      <c r="I142" s="72">
        <f t="shared" si="109"/>
        <v>20622</v>
      </c>
      <c r="J142" s="137">
        <f t="shared" si="109"/>
        <v>23886</v>
      </c>
      <c r="K142" s="72">
        <f t="shared" ca="1" si="109"/>
        <v>24137.56057256956</v>
      </c>
      <c r="L142" s="72">
        <f t="shared" ca="1" si="109"/>
        <v>27596.716838930719</v>
      </c>
      <c r="M142" s="72">
        <f t="shared" ca="1" si="109"/>
        <v>31609.337714568494</v>
      </c>
      <c r="N142" s="72">
        <f t="shared" ca="1" si="109"/>
        <v>36501.904106562237</v>
      </c>
      <c r="O142" s="72">
        <f t="shared" ca="1" si="109"/>
        <v>40764.187854389034</v>
      </c>
      <c r="P142" s="72">
        <f t="shared" ca="1" si="109"/>
        <v>45086.140417550094</v>
      </c>
      <c r="Q142" s="72">
        <f t="shared" ca="1" si="109"/>
        <v>49794.648281499016</v>
      </c>
      <c r="R142" s="72">
        <f t="shared" ca="1" si="109"/>
        <v>54190.678208592581</v>
      </c>
      <c r="S142" s="72">
        <f t="shared" ca="1" si="109"/>
        <v>58134.708435783243</v>
      </c>
      <c r="T142" s="72">
        <f t="shared" ca="1" si="109"/>
        <v>61361.603522528698</v>
      </c>
      <c r="U142" s="72">
        <f t="shared" ca="1" si="109"/>
        <v>63955.235903730325</v>
      </c>
    </row>
    <row r="143" spans="2:21" ht="16" customHeight="1" x14ac:dyDescent="0.2">
      <c r="B143" s="49" t="s">
        <v>74</v>
      </c>
      <c r="E143" s="72">
        <f t="shared" ref="E143:U143" si="110">E82</f>
        <v>5222</v>
      </c>
      <c r="F143" s="72">
        <f t="shared" si="110"/>
        <v>-2624</v>
      </c>
      <c r="G143" s="72">
        <f t="shared" si="110"/>
        <v>-3435</v>
      </c>
      <c r="H143" s="72">
        <f t="shared" si="110"/>
        <v>-630</v>
      </c>
      <c r="I143" s="72">
        <f t="shared" si="110"/>
        <v>-2700</v>
      </c>
      <c r="J143" s="137">
        <f t="shared" si="110"/>
        <v>-428</v>
      </c>
      <c r="K143" s="72">
        <f t="shared" ca="1" si="110"/>
        <v>3191.7562499999999</v>
      </c>
      <c r="L143" s="72">
        <f t="shared" ca="1" si="110"/>
        <v>-2346.7980898158739</v>
      </c>
      <c r="M143" s="72">
        <f t="shared" ca="1" si="110"/>
        <v>-2031.7170380013952</v>
      </c>
      <c r="N143" s="72">
        <f t="shared" ca="1" si="110"/>
        <v>-1287.0598202097672</v>
      </c>
      <c r="O143" s="72">
        <f t="shared" ca="1" si="110"/>
        <v>-1434.8547710732432</v>
      </c>
      <c r="P143" s="72">
        <f t="shared" ca="1" si="110"/>
        <v>-820.84945886444405</v>
      </c>
      <c r="Q143" s="72">
        <f t="shared" ca="1" si="110"/>
        <v>-899.30770188575048</v>
      </c>
      <c r="R143" s="72">
        <f t="shared" ca="1" si="110"/>
        <v>-2304.1376004185031</v>
      </c>
      <c r="S143" s="72">
        <f t="shared" ca="1" si="110"/>
        <v>-2067.560479429209</v>
      </c>
      <c r="T143" s="72">
        <f t="shared" ca="1" si="110"/>
        <v>-1895.0903400026036</v>
      </c>
      <c r="U143" s="72">
        <f t="shared" ca="1" si="110"/>
        <v>-1925.2218751273219</v>
      </c>
    </row>
    <row r="144" spans="2:21" ht="16" customHeight="1" x14ac:dyDescent="0.2">
      <c r="J144" s="76"/>
    </row>
    <row r="145" spans="2:21" ht="16" customHeight="1" x14ac:dyDescent="0.2">
      <c r="B145" s="115" t="s">
        <v>75</v>
      </c>
      <c r="C145" s="115"/>
      <c r="D145" s="115"/>
      <c r="E145" s="114">
        <f>E140+E141-E142-E143</f>
        <v>17668</v>
      </c>
      <c r="F145" s="114">
        <f t="shared" ref="F145:U145" si="111">F140+F141-F142-F143</f>
        <v>13847</v>
      </c>
      <c r="G145" s="114">
        <f t="shared" si="111"/>
        <v>37721</v>
      </c>
      <c r="H145" s="114">
        <f t="shared" si="111"/>
        <v>40093</v>
      </c>
      <c r="I145" s="114">
        <f t="shared" si="111"/>
        <v>51463</v>
      </c>
      <c r="J145" s="140">
        <f t="shared" si="111"/>
        <v>61547</v>
      </c>
      <c r="K145" s="114">
        <f t="shared" ca="1" si="111"/>
        <v>55218.907527358118</v>
      </c>
      <c r="L145" s="114">
        <f t="shared" ca="1" si="111"/>
        <v>67840.966105135711</v>
      </c>
      <c r="M145" s="114">
        <f t="shared" ca="1" si="111"/>
        <v>77940.735888077863</v>
      </c>
      <c r="N145" s="114">
        <f t="shared" ca="1" si="111"/>
        <v>88806.679522396924</v>
      </c>
      <c r="O145" s="114">
        <f t="shared" ca="1" si="111"/>
        <v>102182.17781024017</v>
      </c>
      <c r="P145" s="114">
        <f t="shared" ca="1" si="111"/>
        <v>113937.47375631629</v>
      </c>
      <c r="Q145" s="114">
        <f t="shared" ca="1" si="111"/>
        <v>125344.0832650806</v>
      </c>
      <c r="R145" s="114">
        <f t="shared" ca="1" si="111"/>
        <v>137332.73980524144</v>
      </c>
      <c r="S145" s="114">
        <f t="shared" ca="1" si="111"/>
        <v>146657.56171658798</v>
      </c>
      <c r="T145" s="114">
        <f t="shared" ca="1" si="111"/>
        <v>154789.95026551027</v>
      </c>
      <c r="U145" s="114">
        <f t="shared" ca="1" si="111"/>
        <v>161382.80979704653</v>
      </c>
    </row>
    <row r="146" spans="2:21" ht="16" customHeight="1" x14ac:dyDescent="0.2">
      <c r="E146" s="72"/>
    </row>
  </sheetData>
  <sheetProtection algorithmName="SHA-512" hashValue="DpXs24lMpmZBJ2GiPGDV8Ytt9mF2FHYAnFC9C8da7VQqaUM3C/761S7cyT6pOR2EpRv9wb1tC0XxH0Zm/+oQGg==" saltValue="FQU2lJvmIOuPi7H4kUYNKw==" spinCount="100000" sheet="1" objects="1" scenarios="1" selectLockedCells="1"/>
  <mergeCells count="4">
    <mergeCell ref="D119:H120"/>
    <mergeCell ref="L119:P120"/>
    <mergeCell ref="B122:B126"/>
    <mergeCell ref="J122:J126"/>
  </mergeCells>
  <pageMargins left="0.7" right="0.7" top="0.75" bottom="0.75" header="0.3" footer="0.3"/>
  <ignoredErrors>
    <ignoredError sqref="K36:K38 M36:U36 K45 K51 K52 U50 U51 U52 L50:N52 O50:T52 K66:O66 K65 O65 K67 O67 L65:N65 L67:N67 P65:U67 L36:L38 M37:U38 K43 U43 K44 U44 U45 L43:L45 P23:P24 L23 H23:H24 T22 M43:T45 T11" unlockedFormula="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1C70B-88C4-3D40-B1FA-FBB2310A7FE3}">
  <dimension ref="B1:EZ63"/>
  <sheetViews>
    <sheetView zoomScale="120" zoomScaleNormal="120" workbookViewId="0">
      <pane xSplit="2" ySplit="2" topLeftCell="F4" activePane="bottomRight" state="frozen"/>
      <selection activeCell="U46" sqref="U46"/>
      <selection pane="topRight" activeCell="U46" sqref="U46"/>
      <selection pane="bottomLeft" activeCell="U46" sqref="U46"/>
      <selection pane="bottomRight" activeCell="R31" sqref="R31"/>
    </sheetView>
  </sheetViews>
  <sheetFormatPr baseColWidth="10" defaultRowHeight="16" x14ac:dyDescent="0.2"/>
  <cols>
    <col min="2" max="2" width="35.33203125" customWidth="1"/>
    <col min="25" max="33" width="10.83203125" hidden="1" customWidth="1"/>
    <col min="36" max="36" width="10.83203125" customWidth="1"/>
  </cols>
  <sheetData>
    <row r="1" spans="2:40" x14ac:dyDescent="0.2">
      <c r="B1" s="9" t="e" vm="1">
        <v>#VALUE!</v>
      </c>
      <c r="C1" s="32"/>
      <c r="D1" s="32"/>
      <c r="E1" s="32"/>
      <c r="F1" s="32"/>
      <c r="G1" s="32"/>
      <c r="H1" s="32"/>
      <c r="I1" s="32"/>
      <c r="J1" s="32"/>
      <c r="K1" s="33">
        <v>44834</v>
      </c>
      <c r="L1" s="33">
        <v>44926</v>
      </c>
      <c r="M1" s="32"/>
      <c r="N1" s="32"/>
      <c r="O1" s="32"/>
    </row>
    <row r="2" spans="2:40" x14ac:dyDescent="0.2">
      <c r="B2" s="11" t="s">
        <v>76</v>
      </c>
      <c r="C2" s="12" t="s">
        <v>77</v>
      </c>
      <c r="D2" s="12" t="s">
        <v>78</v>
      </c>
      <c r="E2" s="12" t="s">
        <v>79</v>
      </c>
      <c r="F2" s="12" t="s">
        <v>80</v>
      </c>
      <c r="G2" s="12" t="s">
        <v>81</v>
      </c>
      <c r="H2" s="12" t="s">
        <v>82</v>
      </c>
      <c r="I2" s="12" t="s">
        <v>83</v>
      </c>
      <c r="J2" s="12" t="s">
        <v>134</v>
      </c>
      <c r="K2" s="12" t="s">
        <v>135</v>
      </c>
      <c r="L2" s="12" t="s">
        <v>166</v>
      </c>
      <c r="M2" s="12" t="s">
        <v>84</v>
      </c>
      <c r="N2" s="12" t="s">
        <v>85</v>
      </c>
      <c r="O2" s="32" t="s">
        <v>133</v>
      </c>
      <c r="R2" s="32" t="s">
        <v>144</v>
      </c>
      <c r="S2" s="32" t="s">
        <v>143</v>
      </c>
      <c r="T2" s="42">
        <v>2019</v>
      </c>
      <c r="U2" s="42">
        <f>T2+1</f>
        <v>2020</v>
      </c>
      <c r="V2" s="42">
        <f t="shared" ref="V2:AG2" si="0">U2+1</f>
        <v>2021</v>
      </c>
      <c r="W2" s="42">
        <f t="shared" si="0"/>
        <v>2022</v>
      </c>
      <c r="X2" s="43">
        <v>2023</v>
      </c>
      <c r="Y2" s="42">
        <f t="shared" si="0"/>
        <v>2024</v>
      </c>
      <c r="Z2" s="42">
        <f t="shared" si="0"/>
        <v>2025</v>
      </c>
      <c r="AA2" s="42">
        <f t="shared" si="0"/>
        <v>2026</v>
      </c>
      <c r="AB2" s="42">
        <f t="shared" si="0"/>
        <v>2027</v>
      </c>
      <c r="AC2" s="42">
        <f t="shared" si="0"/>
        <v>2028</v>
      </c>
      <c r="AD2" s="42">
        <f t="shared" si="0"/>
        <v>2029</v>
      </c>
      <c r="AE2" s="42">
        <f t="shared" si="0"/>
        <v>2030</v>
      </c>
      <c r="AF2" s="42">
        <f t="shared" si="0"/>
        <v>2031</v>
      </c>
      <c r="AG2" s="42">
        <f t="shared" si="0"/>
        <v>2032</v>
      </c>
    </row>
    <row r="3" spans="2:40" x14ac:dyDescent="0.2">
      <c r="B3" t="s">
        <v>102</v>
      </c>
      <c r="C3" s="34">
        <v>11195</v>
      </c>
      <c r="D3" s="34">
        <v>12729</v>
      </c>
      <c r="E3" s="34">
        <v>13204</v>
      </c>
      <c r="F3" s="34">
        <f>52589-E3-D3-C3</f>
        <v>15461</v>
      </c>
      <c r="G3" s="34">
        <v>15069</v>
      </c>
      <c r="H3" s="34">
        <v>16375</v>
      </c>
      <c r="I3" s="34">
        <v>17038</v>
      </c>
      <c r="J3" s="34">
        <f>67312-I3-H3-G3</f>
        <v>18830</v>
      </c>
      <c r="K3" s="34">
        <v>18388</v>
      </c>
      <c r="L3" s="34">
        <v>19594</v>
      </c>
      <c r="M3" s="34">
        <f t="shared" ref="M3:M11" si="1">I3*(1+M30)</f>
        <v>20445.599999999999</v>
      </c>
      <c r="N3" s="34">
        <f t="shared" ref="N3:N11" si="2">J3*(1+N30)</f>
        <v>22972.6</v>
      </c>
      <c r="O3" s="34">
        <f t="shared" ref="O3:O11" si="3">K3*(1+O30)</f>
        <v>22985</v>
      </c>
      <c r="R3" s="34">
        <v>25573</v>
      </c>
      <c r="S3" s="34">
        <v>26129</v>
      </c>
      <c r="T3" s="34">
        <v>32622</v>
      </c>
      <c r="U3" s="34">
        <v>41379</v>
      </c>
      <c r="V3" s="34">
        <f>SUM(C3:F3)</f>
        <v>52589</v>
      </c>
      <c r="W3" s="34">
        <f>SUM(G3:J3)</f>
        <v>67312</v>
      </c>
      <c r="X3" s="34">
        <f>SUM(K3:N3)</f>
        <v>81400.2</v>
      </c>
      <c r="Y3" s="34">
        <f t="shared" ref="Y3:AG3" si="4">X3*(1+Y30)</f>
        <v>92796.228000000003</v>
      </c>
      <c r="Z3" s="34">
        <f t="shared" si="4"/>
        <v>107643.62448</v>
      </c>
      <c r="AA3" s="34">
        <f t="shared" si="4"/>
        <v>122713.73190720001</v>
      </c>
      <c r="AB3" s="34">
        <f t="shared" si="4"/>
        <v>137439.37973606403</v>
      </c>
      <c r="AC3" s="34">
        <f t="shared" si="4"/>
        <v>153932.10530439173</v>
      </c>
      <c r="AD3" s="34">
        <f t="shared" si="4"/>
        <v>170864.63688787483</v>
      </c>
      <c r="AE3" s="34">
        <f t="shared" si="4"/>
        <v>187951.10057666234</v>
      </c>
      <c r="AF3" s="34">
        <f t="shared" si="4"/>
        <v>204866.69962856197</v>
      </c>
      <c r="AG3" s="34">
        <f t="shared" si="4"/>
        <v>221256.03559884694</v>
      </c>
      <c r="AH3" s="31"/>
    </row>
    <row r="4" spans="2:40" x14ac:dyDescent="0.2">
      <c r="B4" t="s">
        <v>103</v>
      </c>
      <c r="C4" s="34">
        <v>9278</v>
      </c>
      <c r="D4" s="34">
        <v>9881</v>
      </c>
      <c r="E4" s="34">
        <v>10016</v>
      </c>
      <c r="F4" s="34">
        <f>39872-E4-D4-C4</f>
        <v>10697</v>
      </c>
      <c r="G4" s="34">
        <v>10808</v>
      </c>
      <c r="H4" s="34">
        <v>11251</v>
      </c>
      <c r="I4" s="34">
        <v>11164</v>
      </c>
      <c r="J4" s="34">
        <f>44862-I4-H4-G4</f>
        <v>11639</v>
      </c>
      <c r="K4" s="34">
        <v>11548</v>
      </c>
      <c r="L4" s="34">
        <v>11837</v>
      </c>
      <c r="M4" s="34">
        <f t="shared" si="1"/>
        <v>12280.400000000001</v>
      </c>
      <c r="N4" s="34">
        <f t="shared" si="2"/>
        <v>13152.069999999998</v>
      </c>
      <c r="O4" s="34">
        <f t="shared" si="3"/>
        <v>13164.720000000001</v>
      </c>
      <c r="R4" s="34">
        <v>21649</v>
      </c>
      <c r="S4" s="34">
        <v>28316</v>
      </c>
      <c r="T4" s="34">
        <v>31769</v>
      </c>
      <c r="U4" s="34">
        <v>35316</v>
      </c>
      <c r="V4" s="34">
        <f>SUM(C4:F4)</f>
        <v>39872</v>
      </c>
      <c r="W4" s="34">
        <f t="shared" ref="W4:W11" si="5">SUM(G4:J4)</f>
        <v>44862</v>
      </c>
      <c r="X4" s="34">
        <f t="shared" ref="X4:X11" si="6">SUM(K4:N4)</f>
        <v>48817.47</v>
      </c>
      <c r="Y4" s="34">
        <f t="shared" ref="Y4:AG4" si="7">X4*(1+Y31)</f>
        <v>52722.867600000005</v>
      </c>
      <c r="Z4" s="34">
        <f t="shared" si="7"/>
        <v>59049.611712000013</v>
      </c>
      <c r="AA4" s="34">
        <f t="shared" si="7"/>
        <v>63773.580648960015</v>
      </c>
      <c r="AB4" s="34">
        <f t="shared" si="7"/>
        <v>68604.9982400843</v>
      </c>
      <c r="AC4" s="34">
        <f t="shared" si="7"/>
        <v>73407.348116890207</v>
      </c>
      <c r="AD4" s="34">
        <f t="shared" si="7"/>
        <v>77811.789003903628</v>
      </c>
      <c r="AE4" s="34">
        <f t="shared" si="7"/>
        <v>81702.378454098813</v>
      </c>
      <c r="AF4" s="34">
        <f t="shared" si="7"/>
        <v>85787.49737680376</v>
      </c>
      <c r="AG4" s="34">
        <f t="shared" si="7"/>
        <v>90076.872245643957</v>
      </c>
      <c r="AH4" s="31"/>
    </row>
    <row r="5" spans="2:40" x14ac:dyDescent="0.2">
      <c r="B5" t="s">
        <v>104</v>
      </c>
      <c r="C5" s="34">
        <v>5305</v>
      </c>
      <c r="D5" s="34">
        <v>5716</v>
      </c>
      <c r="E5" s="34">
        <v>5646</v>
      </c>
      <c r="F5" s="34">
        <f t="shared" ref="F5:F11" si="8">V5-E5-D5-C5</f>
        <v>5821</v>
      </c>
      <c r="G5" s="34">
        <v>5676</v>
      </c>
      <c r="H5" s="34">
        <v>6600</v>
      </c>
      <c r="I5" s="34">
        <v>6077</v>
      </c>
      <c r="J5" s="34">
        <f>24761-I5-H5-G5</f>
        <v>6408</v>
      </c>
      <c r="K5" s="34">
        <v>5313</v>
      </c>
      <c r="L5" s="34">
        <v>4808</v>
      </c>
      <c r="M5" s="34">
        <f t="shared" si="1"/>
        <v>4983.1400000000003</v>
      </c>
      <c r="N5" s="34">
        <f t="shared" si="2"/>
        <v>5510.88</v>
      </c>
      <c r="O5" s="34">
        <f t="shared" si="3"/>
        <v>4781.7</v>
      </c>
      <c r="R5" s="34">
        <v>18593</v>
      </c>
      <c r="S5" s="34">
        <v>19518</v>
      </c>
      <c r="T5" s="34">
        <v>20395</v>
      </c>
      <c r="U5" s="34">
        <v>21510</v>
      </c>
      <c r="V5" s="34">
        <v>22488</v>
      </c>
      <c r="W5" s="34">
        <f t="shared" si="5"/>
        <v>24761</v>
      </c>
      <c r="X5" s="34">
        <f>SUM(K5:N5)</f>
        <v>20615.02</v>
      </c>
      <c r="Y5" s="34">
        <f t="shared" ref="Y5:AG5" si="9">X5*(1+Y32)</f>
        <v>19584.269</v>
      </c>
      <c r="Z5" s="34">
        <f t="shared" si="9"/>
        <v>19192.583620000001</v>
      </c>
      <c r="AA5" s="34">
        <f t="shared" si="9"/>
        <v>19384.509456200001</v>
      </c>
      <c r="AB5" s="34">
        <f t="shared" si="9"/>
        <v>19642.969582282669</v>
      </c>
      <c r="AC5" s="34">
        <f t="shared" si="9"/>
        <v>19970.352408654046</v>
      </c>
      <c r="AD5" s="34">
        <f t="shared" si="9"/>
        <v>20369.759456827127</v>
      </c>
      <c r="AE5" s="34">
        <f t="shared" si="9"/>
        <v>20845.053844153095</v>
      </c>
      <c r="AF5" s="34">
        <f t="shared" si="9"/>
        <v>21470.40545947769</v>
      </c>
      <c r="AG5" s="34">
        <f t="shared" si="9"/>
        <v>22114.517623262022</v>
      </c>
      <c r="AH5" s="31"/>
    </row>
    <row r="6" spans="2:40" x14ac:dyDescent="0.2">
      <c r="B6" t="s">
        <v>106</v>
      </c>
      <c r="C6" s="34">
        <v>3092</v>
      </c>
      <c r="D6" s="34">
        <v>5031</v>
      </c>
      <c r="E6" s="34">
        <v>3533</v>
      </c>
      <c r="F6" s="34">
        <f>V6-E6-D6-C6</f>
        <v>3714</v>
      </c>
      <c r="G6" s="34">
        <v>3593</v>
      </c>
      <c r="H6" s="34">
        <v>5442</v>
      </c>
      <c r="I6" s="34">
        <v>3740</v>
      </c>
      <c r="J6" s="34">
        <f>16230-I6-H6-G6</f>
        <v>3455</v>
      </c>
      <c r="K6" s="34">
        <v>3610</v>
      </c>
      <c r="L6" s="34">
        <v>4758</v>
      </c>
      <c r="M6" s="34">
        <f t="shared" si="1"/>
        <v>3440.8</v>
      </c>
      <c r="N6" s="34">
        <f t="shared" si="2"/>
        <v>3247.7</v>
      </c>
      <c r="O6" s="34">
        <f t="shared" si="3"/>
        <v>3537.7999999999997</v>
      </c>
      <c r="R6" s="34">
        <v>9051</v>
      </c>
      <c r="S6" s="34">
        <v>10353</v>
      </c>
      <c r="T6" s="34">
        <v>11386</v>
      </c>
      <c r="U6" s="34">
        <v>11575</v>
      </c>
      <c r="V6" s="34">
        <v>15370</v>
      </c>
      <c r="W6" s="34">
        <f>SUM(G6:J6)</f>
        <v>16230</v>
      </c>
      <c r="X6" s="34">
        <f>SUM(K6:N6)</f>
        <v>15056.5</v>
      </c>
      <c r="Y6" s="34">
        <f t="shared" ref="Y6:AG6" si="10">X6*(1+Y33)</f>
        <v>14905.934999999999</v>
      </c>
      <c r="Z6" s="34">
        <f t="shared" si="10"/>
        <v>15353.11305</v>
      </c>
      <c r="AA6" s="34">
        <f t="shared" si="10"/>
        <v>16076.902665214286</v>
      </c>
      <c r="AB6" s="34">
        <f t="shared" si="10"/>
        <v>17110.417836549488</v>
      </c>
      <c r="AC6" s="34">
        <f t="shared" si="10"/>
        <v>18503.694717525661</v>
      </c>
      <c r="AD6" s="34">
        <f t="shared" si="10"/>
        <v>20327.63033968176</v>
      </c>
      <c r="AE6" s="34">
        <f t="shared" si="10"/>
        <v>22679.827564702078</v>
      </c>
      <c r="AF6" s="34">
        <f t="shared" si="10"/>
        <v>25693.004655441066</v>
      </c>
      <c r="AG6" s="34">
        <f t="shared" si="10"/>
        <v>29546.955353757225</v>
      </c>
      <c r="AH6" s="31"/>
    </row>
    <row r="7" spans="2:40" x14ac:dyDescent="0.2">
      <c r="B7" t="s">
        <v>105</v>
      </c>
      <c r="C7" s="34">
        <v>2206</v>
      </c>
      <c r="D7" s="34">
        <v>2577</v>
      </c>
      <c r="E7" s="34">
        <v>2562</v>
      </c>
      <c r="F7" s="34">
        <f t="shared" si="8"/>
        <v>2944</v>
      </c>
      <c r="G7" s="34">
        <v>3136</v>
      </c>
      <c r="H7" s="34">
        <v>3531</v>
      </c>
      <c r="I7" s="34">
        <v>3437</v>
      </c>
      <c r="J7" s="34">
        <f>13816-I7-H7-G7</f>
        <v>3712</v>
      </c>
      <c r="K7" s="34">
        <v>3663</v>
      </c>
      <c r="L7" s="34">
        <v>3876</v>
      </c>
      <c r="M7" s="34">
        <f t="shared" si="1"/>
        <v>3952.5499999999997</v>
      </c>
      <c r="N7" s="34">
        <f t="shared" si="2"/>
        <v>4194.5599999999995</v>
      </c>
      <c r="O7" s="34">
        <f t="shared" si="3"/>
        <v>4212.45</v>
      </c>
      <c r="R7" s="34">
        <v>2271</v>
      </c>
      <c r="S7" s="34">
        <v>5259</v>
      </c>
      <c r="T7" s="34">
        <v>6754</v>
      </c>
      <c r="U7" s="34">
        <v>8077</v>
      </c>
      <c r="V7" s="34">
        <v>10289</v>
      </c>
      <c r="W7" s="34">
        <f t="shared" si="5"/>
        <v>13816</v>
      </c>
      <c r="X7" s="34">
        <f t="shared" si="6"/>
        <v>15686.109999999999</v>
      </c>
      <c r="Y7" s="34">
        <f t="shared" ref="Y7:AG7" si="11">X7*(1+Y34)</f>
        <v>17568.443200000002</v>
      </c>
      <c r="Z7" s="34">
        <f t="shared" si="11"/>
        <v>19676.656384000005</v>
      </c>
      <c r="AA7" s="34">
        <f t="shared" si="11"/>
        <v>22037.855150080009</v>
      </c>
      <c r="AB7" s="34">
        <f t="shared" si="11"/>
        <v>24682.397768089613</v>
      </c>
      <c r="AC7" s="34">
        <f t="shared" si="11"/>
        <v>27644.285500260368</v>
      </c>
      <c r="AD7" s="34">
        <f t="shared" si="11"/>
        <v>30961.599760291614</v>
      </c>
      <c r="AE7" s="34">
        <f t="shared" si="11"/>
        <v>34676.991731526614</v>
      </c>
      <c r="AF7" s="34">
        <f t="shared" si="11"/>
        <v>38838.230739309809</v>
      </c>
      <c r="AG7" s="34">
        <f t="shared" si="11"/>
        <v>43498.818428026992</v>
      </c>
      <c r="AH7" s="31"/>
    </row>
    <row r="8" spans="2:40" x14ac:dyDescent="0.2">
      <c r="B8" t="s">
        <v>107</v>
      </c>
      <c r="C8" s="34">
        <v>1789</v>
      </c>
      <c r="D8" s="34">
        <v>2184</v>
      </c>
      <c r="E8" s="34">
        <v>2218</v>
      </c>
      <c r="F8" s="34">
        <f t="shared" si="8"/>
        <v>3076</v>
      </c>
      <c r="G8" s="34">
        <v>2656</v>
      </c>
      <c r="H8" s="34">
        <v>3064</v>
      </c>
      <c r="I8" s="34">
        <v>2945</v>
      </c>
      <c r="J8" s="34">
        <f>11591-I8-H8-G8</f>
        <v>2926</v>
      </c>
      <c r="K8" s="34">
        <v>2928</v>
      </c>
      <c r="L8" s="34">
        <v>3223</v>
      </c>
      <c r="M8" s="34">
        <f t="shared" si="1"/>
        <v>3062.8</v>
      </c>
      <c r="N8" s="34">
        <f t="shared" si="2"/>
        <v>3101.56</v>
      </c>
      <c r="O8" s="34">
        <f t="shared" si="3"/>
        <v>3162.2400000000002</v>
      </c>
      <c r="R8" s="34">
        <v>6219</v>
      </c>
      <c r="S8" s="34">
        <v>7012</v>
      </c>
      <c r="T8" s="34">
        <v>7628</v>
      </c>
      <c r="U8" s="34">
        <v>8524</v>
      </c>
      <c r="V8" s="34">
        <v>9267</v>
      </c>
      <c r="W8" s="34">
        <f t="shared" si="5"/>
        <v>11591</v>
      </c>
      <c r="X8" s="34">
        <f t="shared" si="6"/>
        <v>12315.359999999999</v>
      </c>
      <c r="Y8" s="34">
        <f t="shared" ref="Y8:AG8" si="12">X8*(1+Y35)</f>
        <v>13670.0496</v>
      </c>
      <c r="Z8" s="34">
        <f t="shared" si="12"/>
        <v>15173.755056000002</v>
      </c>
      <c r="AA8" s="34">
        <f t="shared" si="12"/>
        <v>16842.868112160002</v>
      </c>
      <c r="AB8" s="34">
        <f t="shared" si="12"/>
        <v>18695.583604497602</v>
      </c>
      <c r="AC8" s="34">
        <f t="shared" si="12"/>
        <v>20752.097800992342</v>
      </c>
      <c r="AD8" s="34">
        <f t="shared" si="12"/>
        <v>23034.828559101501</v>
      </c>
      <c r="AE8" s="34">
        <f t="shared" si="12"/>
        <v>25568.659700602668</v>
      </c>
      <c r="AF8" s="34">
        <f t="shared" si="12"/>
        <v>28381.212267668965</v>
      </c>
      <c r="AG8" s="34">
        <f t="shared" si="12"/>
        <v>31503.145617112554</v>
      </c>
      <c r="AH8" s="31"/>
    </row>
    <row r="9" spans="2:40" x14ac:dyDescent="0.2">
      <c r="B9" t="s">
        <v>108</v>
      </c>
      <c r="C9" s="34">
        <v>1637</v>
      </c>
      <c r="D9" s="34">
        <v>1695</v>
      </c>
      <c r="E9" s="34">
        <v>1803</v>
      </c>
      <c r="F9" s="34">
        <f t="shared" si="8"/>
        <v>1808</v>
      </c>
      <c r="G9" s="34">
        <v>1791</v>
      </c>
      <c r="H9" s="34">
        <v>1823</v>
      </c>
      <c r="I9" s="34">
        <v>1891</v>
      </c>
      <c r="J9" s="34">
        <f>7407-I9-H9-G9</f>
        <v>1902</v>
      </c>
      <c r="K9" s="34">
        <v>1876</v>
      </c>
      <c r="L9" s="34">
        <v>1862</v>
      </c>
      <c r="M9" s="34">
        <f t="shared" si="1"/>
        <v>1947.73</v>
      </c>
      <c r="N9" s="34">
        <f t="shared" si="2"/>
        <v>1997.1000000000001</v>
      </c>
      <c r="O9" s="34">
        <f t="shared" si="3"/>
        <v>1988.5600000000002</v>
      </c>
      <c r="R9" s="34">
        <v>5542</v>
      </c>
      <c r="S9" s="34">
        <v>5846</v>
      </c>
      <c r="T9" s="34">
        <v>6124</v>
      </c>
      <c r="U9" s="34">
        <v>6409</v>
      </c>
      <c r="V9" s="34">
        <v>6943</v>
      </c>
      <c r="W9" s="34">
        <f t="shared" si="5"/>
        <v>7407</v>
      </c>
      <c r="X9" s="34">
        <f t="shared" si="6"/>
        <v>7682.83</v>
      </c>
      <c r="Y9" s="34">
        <f t="shared" ref="Y9:AG9" si="13">X9*(1+Y36)</f>
        <v>8132.1363802937185</v>
      </c>
      <c r="Z9" s="34">
        <f t="shared" si="13"/>
        <v>8632.0009424165273</v>
      </c>
      <c r="AA9" s="34">
        <f t="shared" si="13"/>
        <v>9115.4333225389546</v>
      </c>
      <c r="AB9" s="34">
        <f t="shared" si="13"/>
        <v>9601.27101168851</v>
      </c>
      <c r="AC9" s="34">
        <f t="shared" si="13"/>
        <v>10151.55039762731</v>
      </c>
      <c r="AD9" s="34">
        <f t="shared" si="13"/>
        <v>10730.40200714493</v>
      </c>
      <c r="AE9" s="34">
        <f t="shared" si="13"/>
        <v>11330.331334081055</v>
      </c>
      <c r="AF9" s="34">
        <f t="shared" si="13"/>
        <v>11963.532160924711</v>
      </c>
      <c r="AG9" s="34">
        <f t="shared" si="13"/>
        <v>12639.857422305196</v>
      </c>
      <c r="AH9" s="31"/>
    </row>
    <row r="10" spans="2:40" x14ac:dyDescent="0.2">
      <c r="B10" t="s">
        <v>109</v>
      </c>
      <c r="C10" s="34">
        <v>1620</v>
      </c>
      <c r="D10" s="34">
        <v>2120</v>
      </c>
      <c r="E10" s="34">
        <v>1599</v>
      </c>
      <c r="F10" s="34">
        <f t="shared" si="8"/>
        <v>1452</v>
      </c>
      <c r="G10" s="34">
        <v>1361</v>
      </c>
      <c r="H10" s="34">
        <v>2285</v>
      </c>
      <c r="I10" s="34">
        <v>1764</v>
      </c>
      <c r="J10" s="34">
        <f>6991-I10-H10-G10</f>
        <v>1581</v>
      </c>
      <c r="K10" s="34">
        <v>1448</v>
      </c>
      <c r="L10" s="34">
        <v>1430</v>
      </c>
      <c r="M10" s="34">
        <f t="shared" si="1"/>
        <v>1411.2</v>
      </c>
      <c r="N10" s="34">
        <f t="shared" si="2"/>
        <v>1359.66</v>
      </c>
      <c r="O10" s="34">
        <f t="shared" si="3"/>
        <v>1332.16</v>
      </c>
      <c r="R10" s="34">
        <v>5062</v>
      </c>
      <c r="S10" s="34">
        <v>5134</v>
      </c>
      <c r="T10" s="34">
        <v>6095</v>
      </c>
      <c r="U10" s="34">
        <v>6457</v>
      </c>
      <c r="V10" s="34">
        <v>6791</v>
      </c>
      <c r="W10" s="34">
        <f t="shared" si="5"/>
        <v>6991</v>
      </c>
      <c r="X10" s="34">
        <f t="shared" si="6"/>
        <v>5648.86</v>
      </c>
      <c r="Y10" s="34">
        <f t="shared" ref="Y10:AG10" si="14">X10*(1+Y37)</f>
        <v>5309.9283999999998</v>
      </c>
      <c r="Z10" s="34">
        <f t="shared" si="14"/>
        <v>5256.8291159999999</v>
      </c>
      <c r="AA10" s="34">
        <f t="shared" si="14"/>
        <v>5414.5339894799999</v>
      </c>
      <c r="AB10" s="34">
        <f t="shared" si="14"/>
        <v>5576.9700091643999</v>
      </c>
      <c r="AC10" s="34">
        <f t="shared" si="14"/>
        <v>5800.0488095309765</v>
      </c>
      <c r="AD10" s="34">
        <f t="shared" si="14"/>
        <v>6148.0517381028358</v>
      </c>
      <c r="AE10" s="34">
        <f t="shared" si="14"/>
        <v>6455.4543250079778</v>
      </c>
      <c r="AF10" s="34">
        <f t="shared" si="14"/>
        <v>6778.2270412583766</v>
      </c>
      <c r="AG10" s="34">
        <f t="shared" si="14"/>
        <v>6981.573852496128</v>
      </c>
      <c r="AH10" s="31"/>
    </row>
    <row r="11" spans="2:40" x14ac:dyDescent="0.2">
      <c r="B11" t="s">
        <v>86</v>
      </c>
      <c r="C11" s="34">
        <v>1032</v>
      </c>
      <c r="D11" s="34">
        <v>1143</v>
      </c>
      <c r="E11" s="34">
        <v>1125</v>
      </c>
      <c r="F11" s="34">
        <f t="shared" si="8"/>
        <v>1179</v>
      </c>
      <c r="G11" s="34">
        <v>1227</v>
      </c>
      <c r="H11" s="34">
        <v>1357</v>
      </c>
      <c r="I11" s="34">
        <v>1304</v>
      </c>
      <c r="J11" s="34">
        <f>5291-I11-H11-G11</f>
        <v>1403</v>
      </c>
      <c r="K11" s="34">
        <v>1348</v>
      </c>
      <c r="L11" s="34">
        <v>1359</v>
      </c>
      <c r="M11" s="34">
        <f t="shared" si="1"/>
        <v>1395.28</v>
      </c>
      <c r="N11" s="34">
        <f t="shared" si="2"/>
        <v>1459.1200000000001</v>
      </c>
      <c r="O11" s="34">
        <f t="shared" si="3"/>
        <v>1415.4</v>
      </c>
      <c r="R11" s="34">
        <v>2611</v>
      </c>
      <c r="S11" s="34">
        <v>2793</v>
      </c>
      <c r="T11" s="34">
        <v>3070</v>
      </c>
      <c r="U11" s="34">
        <v>3768</v>
      </c>
      <c r="V11" s="34">
        <v>4479</v>
      </c>
      <c r="W11" s="34">
        <f t="shared" si="5"/>
        <v>5291</v>
      </c>
      <c r="X11" s="34">
        <f t="shared" si="6"/>
        <v>5561.4</v>
      </c>
      <c r="Y11" s="34">
        <f t="shared" ref="Y11:AG11" si="15">X11*(1+Y38)</f>
        <v>6117.54</v>
      </c>
      <c r="Z11" s="34">
        <f t="shared" si="15"/>
        <v>6668.1186000000007</v>
      </c>
      <c r="AA11" s="34">
        <f t="shared" si="15"/>
        <v>7268.2492740000016</v>
      </c>
      <c r="AB11" s="34">
        <f t="shared" si="15"/>
        <v>7849.709215920002</v>
      </c>
      <c r="AC11" s="34">
        <f t="shared" si="15"/>
        <v>8399.1888610344031</v>
      </c>
      <c r="AD11" s="34">
        <f t="shared" si="15"/>
        <v>8903.1401926964681</v>
      </c>
      <c r="AE11" s="34">
        <f t="shared" si="15"/>
        <v>9348.2972023312923</v>
      </c>
      <c r="AF11" s="34">
        <f t="shared" si="15"/>
        <v>9815.7120624478575</v>
      </c>
      <c r="AG11" s="34">
        <f t="shared" si="15"/>
        <v>10110.183424321294</v>
      </c>
      <c r="AH11" s="31"/>
      <c r="AK11" s="34"/>
      <c r="AL11" s="34"/>
      <c r="AM11" s="34"/>
      <c r="AN11" s="34"/>
    </row>
    <row r="12" spans="2:40" x14ac:dyDescent="0.2">
      <c r="C12" s="34"/>
      <c r="D12" s="34"/>
      <c r="E12" s="34"/>
      <c r="F12" s="34"/>
      <c r="G12" s="34"/>
      <c r="H12" s="34"/>
      <c r="I12" s="34"/>
      <c r="J12" s="34"/>
      <c r="K12" s="34"/>
      <c r="L12" s="34"/>
      <c r="M12" s="34"/>
      <c r="N12" s="34"/>
      <c r="O12" s="34"/>
      <c r="R12" s="34"/>
      <c r="S12" s="34"/>
      <c r="T12" s="34"/>
      <c r="U12" s="34"/>
      <c r="V12" s="34"/>
      <c r="W12" s="34"/>
      <c r="X12" s="34"/>
      <c r="Y12" s="34"/>
      <c r="Z12" s="34"/>
      <c r="AA12" s="34"/>
      <c r="AB12" s="34"/>
      <c r="AC12" s="34"/>
      <c r="AD12" s="34"/>
      <c r="AE12" s="34"/>
      <c r="AF12" s="34"/>
      <c r="AG12" s="34"/>
      <c r="AH12" s="39"/>
      <c r="AK12" s="34"/>
      <c r="AL12" s="34"/>
      <c r="AM12" s="34"/>
      <c r="AN12" s="34"/>
    </row>
    <row r="13" spans="2:40" x14ac:dyDescent="0.2">
      <c r="B13" t="s">
        <v>140</v>
      </c>
      <c r="C13" s="34">
        <f t="shared" ref="C13:O13" si="16">C4+C7+C11</f>
        <v>12516</v>
      </c>
      <c r="D13" s="34">
        <f t="shared" si="16"/>
        <v>13601</v>
      </c>
      <c r="E13" s="34">
        <f t="shared" si="16"/>
        <v>13703</v>
      </c>
      <c r="F13" s="34">
        <f t="shared" si="16"/>
        <v>14820</v>
      </c>
      <c r="G13" s="34">
        <f t="shared" si="16"/>
        <v>15171</v>
      </c>
      <c r="H13" s="34">
        <f t="shared" si="16"/>
        <v>16139</v>
      </c>
      <c r="I13" s="34">
        <f t="shared" si="16"/>
        <v>15905</v>
      </c>
      <c r="J13" s="34">
        <f t="shared" si="16"/>
        <v>16754</v>
      </c>
      <c r="K13" s="34">
        <f t="shared" si="16"/>
        <v>16559</v>
      </c>
      <c r="L13" s="34">
        <f t="shared" si="16"/>
        <v>17072</v>
      </c>
      <c r="M13" s="34">
        <f t="shared" si="16"/>
        <v>17628.23</v>
      </c>
      <c r="N13" s="34">
        <f t="shared" si="16"/>
        <v>18805.749999999996</v>
      </c>
      <c r="O13" s="34">
        <f t="shared" si="16"/>
        <v>18792.570000000003</v>
      </c>
      <c r="R13" s="34">
        <f t="shared" ref="R13:AG13" si="17">R4+R7+R11</f>
        <v>26531</v>
      </c>
      <c r="S13" s="34">
        <f t="shared" si="17"/>
        <v>36368</v>
      </c>
      <c r="T13" s="34">
        <f t="shared" si="17"/>
        <v>41593</v>
      </c>
      <c r="U13" s="34">
        <f t="shared" si="17"/>
        <v>47161</v>
      </c>
      <c r="V13" s="34">
        <f t="shared" si="17"/>
        <v>54640</v>
      </c>
      <c r="W13" s="34">
        <f t="shared" si="17"/>
        <v>63969</v>
      </c>
      <c r="X13" s="34">
        <f t="shared" si="17"/>
        <v>70064.98</v>
      </c>
      <c r="Y13" s="34">
        <f t="shared" si="17"/>
        <v>76408.8508</v>
      </c>
      <c r="Z13" s="34">
        <f t="shared" si="17"/>
        <v>85394.386696000016</v>
      </c>
      <c r="AA13" s="34">
        <f t="shared" si="17"/>
        <v>93079.685073040018</v>
      </c>
      <c r="AB13" s="34">
        <f t="shared" si="17"/>
        <v>101137.1052240939</v>
      </c>
      <c r="AC13" s="34">
        <f t="shared" si="17"/>
        <v>109450.82247818497</v>
      </c>
      <c r="AD13" s="34">
        <f t="shared" si="17"/>
        <v>117676.52895689171</v>
      </c>
      <c r="AE13" s="34">
        <f t="shared" si="17"/>
        <v>125727.66738795671</v>
      </c>
      <c r="AF13" s="34">
        <f t="shared" si="17"/>
        <v>134441.44017856143</v>
      </c>
      <c r="AG13" s="34">
        <f t="shared" si="17"/>
        <v>143685.87409799226</v>
      </c>
      <c r="AH13" s="39"/>
    </row>
    <row r="14" spans="2:40" x14ac:dyDescent="0.2">
      <c r="B14" t="s">
        <v>141</v>
      </c>
      <c r="C14" s="34">
        <f t="shared" ref="C14:O14" si="18">C9+C3</f>
        <v>12832</v>
      </c>
      <c r="D14" s="34">
        <f t="shared" si="18"/>
        <v>14424</v>
      </c>
      <c r="E14" s="34">
        <f t="shared" si="18"/>
        <v>15007</v>
      </c>
      <c r="F14" s="34">
        <f t="shared" si="18"/>
        <v>17269</v>
      </c>
      <c r="G14" s="34">
        <f t="shared" si="18"/>
        <v>16860</v>
      </c>
      <c r="H14" s="34">
        <f t="shared" si="18"/>
        <v>18198</v>
      </c>
      <c r="I14" s="34">
        <f t="shared" si="18"/>
        <v>18929</v>
      </c>
      <c r="J14" s="34">
        <f t="shared" si="18"/>
        <v>20732</v>
      </c>
      <c r="K14" s="34">
        <f t="shared" si="18"/>
        <v>20264</v>
      </c>
      <c r="L14" s="34">
        <f t="shared" si="18"/>
        <v>21456</v>
      </c>
      <c r="M14" s="34">
        <f t="shared" si="18"/>
        <v>22393.329999999998</v>
      </c>
      <c r="N14" s="34">
        <f t="shared" si="18"/>
        <v>24969.699999999997</v>
      </c>
      <c r="O14" s="34">
        <f t="shared" si="18"/>
        <v>24973.56</v>
      </c>
      <c r="R14" s="34">
        <f t="shared" ref="R14:AG14" si="19">R9+R3</f>
        <v>31115</v>
      </c>
      <c r="S14" s="34">
        <f t="shared" si="19"/>
        <v>31975</v>
      </c>
      <c r="T14" s="34">
        <f t="shared" si="19"/>
        <v>38746</v>
      </c>
      <c r="U14" s="34">
        <f t="shared" si="19"/>
        <v>47788</v>
      </c>
      <c r="V14" s="34">
        <f t="shared" si="19"/>
        <v>59532</v>
      </c>
      <c r="W14" s="34">
        <f t="shared" si="19"/>
        <v>74719</v>
      </c>
      <c r="X14" s="34">
        <f t="shared" si="19"/>
        <v>89083.03</v>
      </c>
      <c r="Y14" s="34">
        <f t="shared" si="19"/>
        <v>100928.36438029371</v>
      </c>
      <c r="Z14" s="34">
        <f t="shared" si="19"/>
        <v>116275.62542241653</v>
      </c>
      <c r="AA14" s="34">
        <f t="shared" si="19"/>
        <v>131829.16522973895</v>
      </c>
      <c r="AB14" s="34">
        <f t="shared" si="19"/>
        <v>147040.65074775254</v>
      </c>
      <c r="AC14" s="34">
        <f t="shared" si="19"/>
        <v>164083.65570201905</v>
      </c>
      <c r="AD14" s="34">
        <f t="shared" si="19"/>
        <v>181595.03889501977</v>
      </c>
      <c r="AE14" s="34">
        <f t="shared" si="19"/>
        <v>199281.43191074338</v>
      </c>
      <c r="AF14" s="34">
        <f t="shared" si="19"/>
        <v>216830.23178948669</v>
      </c>
      <c r="AG14" s="34">
        <f t="shared" si="19"/>
        <v>233895.89302115212</v>
      </c>
      <c r="AH14" s="39"/>
    </row>
    <row r="15" spans="2:40" x14ac:dyDescent="0.2">
      <c r="B15" t="s">
        <v>142</v>
      </c>
      <c r="C15" s="34">
        <f t="shared" ref="C15:O15" si="20">C5+C10+C8+C6</f>
        <v>11806</v>
      </c>
      <c r="D15" s="34">
        <f t="shared" si="20"/>
        <v>15051</v>
      </c>
      <c r="E15" s="34">
        <f t="shared" si="20"/>
        <v>12996</v>
      </c>
      <c r="F15" s="34">
        <f t="shared" si="20"/>
        <v>14063</v>
      </c>
      <c r="G15" s="34">
        <f t="shared" si="20"/>
        <v>13286</v>
      </c>
      <c r="H15" s="34">
        <f t="shared" si="20"/>
        <v>17391</v>
      </c>
      <c r="I15" s="34">
        <f t="shared" si="20"/>
        <v>14526</v>
      </c>
      <c r="J15" s="34">
        <f t="shared" si="20"/>
        <v>14370</v>
      </c>
      <c r="K15" s="34">
        <f t="shared" si="20"/>
        <v>13299</v>
      </c>
      <c r="L15" s="34">
        <f t="shared" si="20"/>
        <v>14219</v>
      </c>
      <c r="M15" s="34">
        <f t="shared" si="20"/>
        <v>12897.939999999999</v>
      </c>
      <c r="N15" s="34">
        <f t="shared" si="20"/>
        <v>13219.8</v>
      </c>
      <c r="O15" s="34">
        <f t="shared" si="20"/>
        <v>12813.9</v>
      </c>
      <c r="R15" s="34">
        <f t="shared" ref="R15:AG15" si="21">R5+R10+R8+R6</f>
        <v>38925</v>
      </c>
      <c r="S15" s="34">
        <f t="shared" si="21"/>
        <v>42017</v>
      </c>
      <c r="T15" s="34">
        <f t="shared" si="21"/>
        <v>45504</v>
      </c>
      <c r="U15" s="34">
        <f t="shared" si="21"/>
        <v>48066</v>
      </c>
      <c r="V15" s="34">
        <f t="shared" si="21"/>
        <v>53916</v>
      </c>
      <c r="W15" s="34">
        <f t="shared" si="21"/>
        <v>59573</v>
      </c>
      <c r="X15" s="34">
        <f t="shared" si="21"/>
        <v>53635.74</v>
      </c>
      <c r="Y15" s="34">
        <f t="shared" si="21"/>
        <v>53470.182000000001</v>
      </c>
      <c r="Z15" s="34">
        <f t="shared" si="21"/>
        <v>54976.280842000007</v>
      </c>
      <c r="AA15" s="34">
        <f t="shared" si="21"/>
        <v>57718.814223054287</v>
      </c>
      <c r="AB15" s="34">
        <f t="shared" si="21"/>
        <v>61025.941032494156</v>
      </c>
      <c r="AC15" s="34">
        <f t="shared" si="21"/>
        <v>65026.193736703033</v>
      </c>
      <c r="AD15" s="34">
        <f t="shared" si="21"/>
        <v>69880.270093713218</v>
      </c>
      <c r="AE15" s="34">
        <f t="shared" si="21"/>
        <v>75548.995434465818</v>
      </c>
      <c r="AF15" s="34">
        <f t="shared" si="21"/>
        <v>82322.849423846099</v>
      </c>
      <c r="AG15" s="34">
        <f t="shared" si="21"/>
        <v>90146.192446627931</v>
      </c>
      <c r="AH15" s="39"/>
    </row>
    <row r="16" spans="2:40" x14ac:dyDescent="0.2">
      <c r="C16" s="34"/>
      <c r="D16" s="34"/>
      <c r="E16" s="34"/>
      <c r="F16" s="34"/>
      <c r="G16" s="34"/>
      <c r="H16" s="34"/>
      <c r="I16" s="34"/>
      <c r="J16" s="34"/>
      <c r="K16" s="34"/>
      <c r="L16" s="34"/>
      <c r="M16" s="34"/>
      <c r="N16" s="34"/>
      <c r="O16" s="34"/>
      <c r="R16" s="34"/>
      <c r="S16" s="34"/>
      <c r="T16" s="34"/>
      <c r="U16" s="34"/>
      <c r="V16" s="34"/>
      <c r="W16" s="34"/>
      <c r="X16" s="34"/>
      <c r="Y16" s="34"/>
      <c r="Z16" s="34"/>
      <c r="AA16" s="34"/>
      <c r="AB16" s="34"/>
      <c r="AC16" s="34"/>
      <c r="AD16" s="34"/>
      <c r="AE16" s="34"/>
      <c r="AF16" s="34"/>
      <c r="AG16" s="34"/>
      <c r="AH16" s="39"/>
    </row>
    <row r="17" spans="2:156" x14ac:dyDescent="0.2">
      <c r="B17" s="40" t="s">
        <v>40</v>
      </c>
      <c r="C17" s="41">
        <f t="shared" ref="C17:O17" si="22">SUM(C3:C11)</f>
        <v>37154</v>
      </c>
      <c r="D17" s="41">
        <f t="shared" si="22"/>
        <v>43076</v>
      </c>
      <c r="E17" s="41">
        <f t="shared" si="22"/>
        <v>41706</v>
      </c>
      <c r="F17" s="41">
        <f t="shared" si="22"/>
        <v>46152</v>
      </c>
      <c r="G17" s="41">
        <f t="shared" si="22"/>
        <v>45317</v>
      </c>
      <c r="H17" s="41">
        <f t="shared" si="22"/>
        <v>51728</v>
      </c>
      <c r="I17" s="41">
        <f t="shared" si="22"/>
        <v>49360</v>
      </c>
      <c r="J17" s="41">
        <f t="shared" si="22"/>
        <v>51856</v>
      </c>
      <c r="K17" s="41">
        <f t="shared" si="22"/>
        <v>50122</v>
      </c>
      <c r="L17" s="41">
        <f t="shared" si="22"/>
        <v>52747</v>
      </c>
      <c r="M17" s="41">
        <f t="shared" si="22"/>
        <v>52919.500000000007</v>
      </c>
      <c r="N17" s="41">
        <f t="shared" si="22"/>
        <v>56995.249999999993</v>
      </c>
      <c r="O17" s="41">
        <f t="shared" si="22"/>
        <v>56580.03</v>
      </c>
      <c r="R17" s="41">
        <f>SUM(R3:R11)</f>
        <v>96571</v>
      </c>
      <c r="S17" s="41">
        <f>SUM(S3:S11)</f>
        <v>110360</v>
      </c>
      <c r="T17" s="41">
        <f>SUM(T3:T11)</f>
        <v>125843</v>
      </c>
      <c r="U17" s="41">
        <f>SUM(U3:U11)</f>
        <v>143015</v>
      </c>
      <c r="V17" s="41">
        <f>SUM(V3:V11)</f>
        <v>168088</v>
      </c>
      <c r="W17" s="41">
        <v>198270</v>
      </c>
      <c r="X17" s="41">
        <f t="shared" ref="X17:X27" si="23">SUM(K17:N17)</f>
        <v>212783.75</v>
      </c>
      <c r="Y17" s="41">
        <f t="shared" ref="Y17:AG17" si="24">SUM(Y3:Y11)</f>
        <v>230807.39718029374</v>
      </c>
      <c r="Z17" s="41">
        <f t="shared" si="24"/>
        <v>256646.29296041653</v>
      </c>
      <c r="AA17" s="41">
        <f t="shared" si="24"/>
        <v>282627.66452583333</v>
      </c>
      <c r="AB17" s="41">
        <f t="shared" si="24"/>
        <v>309203.69700434065</v>
      </c>
      <c r="AC17" s="41">
        <f t="shared" si="24"/>
        <v>338560.67191690707</v>
      </c>
      <c r="AD17" s="41">
        <f t="shared" si="24"/>
        <v>369151.83794562472</v>
      </c>
      <c r="AE17" s="41">
        <f t="shared" si="24"/>
        <v>400558.09473316593</v>
      </c>
      <c r="AF17" s="41">
        <f t="shared" si="24"/>
        <v>433594.52139189414</v>
      </c>
      <c r="AG17" s="41">
        <f t="shared" si="24"/>
        <v>467727.95956577233</v>
      </c>
    </row>
    <row r="18" spans="2:156" x14ac:dyDescent="0.2">
      <c r="B18" t="s">
        <v>110</v>
      </c>
      <c r="C18" s="34">
        <f>C17-C19</f>
        <v>11002</v>
      </c>
      <c r="D18" s="34">
        <f t="shared" ref="D18:O18" si="25">D17-D19</f>
        <v>14194</v>
      </c>
      <c r="E18" s="34">
        <f t="shared" si="25"/>
        <v>13045</v>
      </c>
      <c r="F18" s="34">
        <f t="shared" si="25"/>
        <v>13991</v>
      </c>
      <c r="G18" s="34">
        <f t="shared" si="25"/>
        <v>13646</v>
      </c>
      <c r="H18" s="34">
        <f t="shared" si="25"/>
        <v>16960</v>
      </c>
      <c r="I18" s="34">
        <f t="shared" si="25"/>
        <v>15615</v>
      </c>
      <c r="J18" s="34">
        <f t="shared" si="25"/>
        <v>16429</v>
      </c>
      <c r="K18" s="34">
        <f t="shared" si="25"/>
        <v>15452</v>
      </c>
      <c r="L18" s="34">
        <f t="shared" si="25"/>
        <v>17488</v>
      </c>
      <c r="M18" s="34">
        <f t="shared" si="25"/>
        <v>17992.629999999997</v>
      </c>
      <c r="N18" s="34">
        <f t="shared" si="25"/>
        <v>18808.432499999995</v>
      </c>
      <c r="O18" s="34">
        <f t="shared" si="25"/>
        <v>18105.609599999996</v>
      </c>
      <c r="R18" s="34">
        <f>R17-R19</f>
        <v>34261</v>
      </c>
      <c r="S18" s="34">
        <f t="shared" ref="S18:AG18" si="26">S17-S19</f>
        <v>38353</v>
      </c>
      <c r="T18" s="34">
        <f t="shared" si="26"/>
        <v>42910</v>
      </c>
      <c r="U18" s="34">
        <f t="shared" si="26"/>
        <v>46078</v>
      </c>
      <c r="V18" s="34">
        <f t="shared" si="26"/>
        <v>52232</v>
      </c>
      <c r="W18" s="34">
        <f t="shared" si="26"/>
        <v>62650</v>
      </c>
      <c r="X18" s="34">
        <f t="shared" si="26"/>
        <v>69741.0625</v>
      </c>
      <c r="Y18" s="34">
        <f t="shared" si="26"/>
        <v>74872.61861056331</v>
      </c>
      <c r="Z18" s="34">
        <f t="shared" si="26"/>
        <v>82387.652339706285</v>
      </c>
      <c r="AA18" s="34">
        <f t="shared" si="26"/>
        <v>89768.599178560777</v>
      </c>
      <c r="AB18" s="34">
        <f t="shared" si="26"/>
        <v>97154.746358423436</v>
      </c>
      <c r="AC18" s="34">
        <f t="shared" si="26"/>
        <v>105218.07904036163</v>
      </c>
      <c r="AD18" s="34">
        <f t="shared" si="26"/>
        <v>113453.08600145913</v>
      </c>
      <c r="AE18" s="34">
        <f t="shared" si="26"/>
        <v>121718.04750011547</v>
      </c>
      <c r="AF18" s="34">
        <f t="shared" si="26"/>
        <v>130247.67606106773</v>
      </c>
      <c r="AG18" s="34">
        <f t="shared" si="26"/>
        <v>138864.9020838759</v>
      </c>
    </row>
    <row r="19" spans="2:156" x14ac:dyDescent="0.2">
      <c r="B19" t="s">
        <v>111</v>
      </c>
      <c r="C19" s="34">
        <v>26152</v>
      </c>
      <c r="D19" s="34">
        <v>28882</v>
      </c>
      <c r="E19" s="34">
        <v>28661</v>
      </c>
      <c r="F19" s="34">
        <v>32161</v>
      </c>
      <c r="G19" s="34">
        <v>31671</v>
      </c>
      <c r="H19" s="34">
        <v>34768</v>
      </c>
      <c r="I19" s="34">
        <v>33745</v>
      </c>
      <c r="J19" s="34">
        <v>35427</v>
      </c>
      <c r="K19" s="34">
        <v>34670</v>
      </c>
      <c r="L19" s="34">
        <v>35259</v>
      </c>
      <c r="M19" s="34">
        <f>M17*M44</f>
        <v>34926.87000000001</v>
      </c>
      <c r="N19" s="34">
        <f>N17*N44</f>
        <v>38186.817499999997</v>
      </c>
      <c r="O19" s="34">
        <f>O17*O44</f>
        <v>38474.420400000003</v>
      </c>
      <c r="R19" s="34">
        <v>62310</v>
      </c>
      <c r="S19" s="34">
        <v>72007</v>
      </c>
      <c r="T19" s="34">
        <v>82933</v>
      </c>
      <c r="U19" s="34">
        <v>96937</v>
      </c>
      <c r="V19" s="34">
        <f>SUM(C19:F19)</f>
        <v>115856</v>
      </c>
      <c r="W19" s="34">
        <v>135620</v>
      </c>
      <c r="X19" s="34">
        <f>SUM(K19:N19)</f>
        <v>143042.6875</v>
      </c>
      <c r="Y19" s="34">
        <f t="shared" ref="Y19:AG19" si="27">Y17*Y44</f>
        <v>155934.77856973044</v>
      </c>
      <c r="Z19" s="34">
        <f t="shared" si="27"/>
        <v>174258.64062071024</v>
      </c>
      <c r="AA19" s="34">
        <f t="shared" si="27"/>
        <v>192859.06534727255</v>
      </c>
      <c r="AB19" s="34">
        <f t="shared" si="27"/>
        <v>212048.95064591721</v>
      </c>
      <c r="AC19" s="34">
        <f t="shared" si="27"/>
        <v>233342.59287654544</v>
      </c>
      <c r="AD19" s="34">
        <f t="shared" si="27"/>
        <v>255698.75194416559</v>
      </c>
      <c r="AE19" s="34">
        <f t="shared" si="27"/>
        <v>278840.04723305046</v>
      </c>
      <c r="AF19" s="34">
        <f t="shared" si="27"/>
        <v>303346.84533082641</v>
      </c>
      <c r="AG19" s="34">
        <f t="shared" si="27"/>
        <v>328863.05748189642</v>
      </c>
    </row>
    <row r="20" spans="2:156" x14ac:dyDescent="0.2">
      <c r="B20" t="s">
        <v>112</v>
      </c>
      <c r="C20" s="34">
        <v>4926</v>
      </c>
      <c r="D20" s="34">
        <v>4899</v>
      </c>
      <c r="E20" s="34">
        <v>5204</v>
      </c>
      <c r="F20" s="34">
        <f>V20-E20-D20-C20</f>
        <v>5687</v>
      </c>
      <c r="G20" s="34">
        <v>5599</v>
      </c>
      <c r="H20" s="34">
        <v>5758</v>
      </c>
      <c r="I20" s="34">
        <v>6306</v>
      </c>
      <c r="J20" s="34">
        <f>W20-I20-H20-G20</f>
        <v>6849</v>
      </c>
      <c r="K20" s="34">
        <v>6628</v>
      </c>
      <c r="L20" s="34">
        <v>6844</v>
      </c>
      <c r="M20" s="34">
        <f t="shared" ref="M20:O22" si="28">M$17*M45</f>
        <v>6951.2600953560113</v>
      </c>
      <c r="N20" s="34">
        <f t="shared" si="28"/>
        <v>7472.9162118247459</v>
      </c>
      <c r="O20" s="34">
        <f t="shared" si="28"/>
        <v>7397.3021058460117</v>
      </c>
      <c r="R20" s="34">
        <v>13037</v>
      </c>
      <c r="S20" s="34">
        <v>14726</v>
      </c>
      <c r="T20" s="34">
        <v>16876</v>
      </c>
      <c r="U20" s="34">
        <v>19269</v>
      </c>
      <c r="V20" s="34">
        <v>20716</v>
      </c>
      <c r="W20" s="34">
        <v>24512</v>
      </c>
      <c r="X20" s="34">
        <f>SUM(K20:N20)</f>
        <v>27896.176307180758</v>
      </c>
      <c r="Y20" s="34">
        <f t="shared" ref="Y20:AG20" si="29">Y$17*Y45</f>
        <v>30259.095653417942</v>
      </c>
      <c r="Z20" s="34">
        <f t="shared" si="29"/>
        <v>33646.602416811169</v>
      </c>
      <c r="AA20" s="34">
        <f t="shared" si="29"/>
        <v>37052.787907438345</v>
      </c>
      <c r="AB20" s="34">
        <f t="shared" si="29"/>
        <v>40536.934077274163</v>
      </c>
      <c r="AC20" s="34">
        <f t="shared" si="29"/>
        <v>44385.664762800829</v>
      </c>
      <c r="AD20" s="34">
        <f t="shared" si="29"/>
        <v>48396.199218459908</v>
      </c>
      <c r="AE20" s="34">
        <f t="shared" si="29"/>
        <v>52513.592940930917</v>
      </c>
      <c r="AF20" s="34">
        <f t="shared" si="29"/>
        <v>56844.703670162497</v>
      </c>
      <c r="AG20" s="34">
        <f t="shared" si="29"/>
        <v>61319.633777695424</v>
      </c>
    </row>
    <row r="21" spans="2:156" x14ac:dyDescent="0.2">
      <c r="B21" t="s">
        <v>113</v>
      </c>
      <c r="C21" s="34">
        <v>4231</v>
      </c>
      <c r="D21" s="34">
        <v>4947</v>
      </c>
      <c r="E21" s="34">
        <v>5082</v>
      </c>
      <c r="F21" s="34">
        <f t="shared" ref="F21:F22" si="30">V21-E21-D21-C21</f>
        <v>5857</v>
      </c>
      <c r="G21" s="34">
        <v>4547</v>
      </c>
      <c r="H21" s="34">
        <v>5379</v>
      </c>
      <c r="I21" s="34">
        <v>5595</v>
      </c>
      <c r="J21" s="34">
        <f t="shared" ref="J21:J22" si="31">W21-I21-H21-G21</f>
        <v>6304</v>
      </c>
      <c r="K21" s="34">
        <v>5126</v>
      </c>
      <c r="L21" s="34">
        <v>5679</v>
      </c>
      <c r="M21" s="34">
        <f t="shared" si="28"/>
        <v>5979.9035000000013</v>
      </c>
      <c r="N21" s="34">
        <f t="shared" si="28"/>
        <v>6135.2603541562139</v>
      </c>
      <c r="O21" s="34">
        <f t="shared" si="28"/>
        <v>6191.9300318079513</v>
      </c>
      <c r="R21" s="34">
        <v>15461</v>
      </c>
      <c r="S21" s="34">
        <v>17469</v>
      </c>
      <c r="T21" s="34">
        <v>18213</v>
      </c>
      <c r="U21" s="34">
        <v>19598</v>
      </c>
      <c r="V21" s="34">
        <v>20117</v>
      </c>
      <c r="W21" s="34">
        <v>21825</v>
      </c>
      <c r="X21" s="34">
        <f t="shared" si="23"/>
        <v>22920.163854156213</v>
      </c>
      <c r="Y21" s="34">
        <f t="shared" ref="Y21:AG21" si="32">Y$17*Y46</f>
        <v>24861.594751120068</v>
      </c>
      <c r="Z21" s="34">
        <f t="shared" si="32"/>
        <v>27644.851109234256</v>
      </c>
      <c r="AA21" s="34">
        <f t="shared" si="32"/>
        <v>30443.454355182635</v>
      </c>
      <c r="AB21" s="34">
        <f t="shared" si="32"/>
        <v>33306.111954744469</v>
      </c>
      <c r="AC21" s="34">
        <f t="shared" si="32"/>
        <v>36468.320888736729</v>
      </c>
      <c r="AD21" s="34">
        <f t="shared" si="32"/>
        <v>39763.471659732662</v>
      </c>
      <c r="AE21" s="34">
        <f t="shared" si="32"/>
        <v>43146.420553227348</v>
      </c>
      <c r="AF21" s="34">
        <f t="shared" si="32"/>
        <v>46704.964437212213</v>
      </c>
      <c r="AG21" s="34">
        <f t="shared" si="32"/>
        <v>50381.673752895382</v>
      </c>
    </row>
    <row r="22" spans="2:156" x14ac:dyDescent="0.2">
      <c r="B22" t="s">
        <v>114</v>
      </c>
      <c r="C22" s="34">
        <v>1119</v>
      </c>
      <c r="D22" s="34">
        <v>1139</v>
      </c>
      <c r="E22" s="34">
        <v>1327</v>
      </c>
      <c r="F22" s="34">
        <f t="shared" si="30"/>
        <v>1522</v>
      </c>
      <c r="G22" s="34">
        <v>1287</v>
      </c>
      <c r="H22" s="34">
        <v>1384</v>
      </c>
      <c r="I22" s="34">
        <v>1480</v>
      </c>
      <c r="J22" s="34">
        <f t="shared" si="31"/>
        <v>1749</v>
      </c>
      <c r="K22" s="34">
        <v>1398</v>
      </c>
      <c r="L22" s="34">
        <v>2337</v>
      </c>
      <c r="M22" s="34">
        <f t="shared" si="28"/>
        <v>1958.0215000000001</v>
      </c>
      <c r="N22" s="34">
        <f t="shared" si="28"/>
        <v>2074.5849416827959</v>
      </c>
      <c r="O22" s="34">
        <f t="shared" si="28"/>
        <v>2219.919318118225</v>
      </c>
      <c r="R22" s="34">
        <v>4481</v>
      </c>
      <c r="S22" s="34">
        <v>4754</v>
      </c>
      <c r="T22" s="34">
        <v>4885</v>
      </c>
      <c r="U22" s="34">
        <v>5111</v>
      </c>
      <c r="V22" s="34">
        <v>5107</v>
      </c>
      <c r="W22" s="34">
        <v>5900</v>
      </c>
      <c r="X22" s="34">
        <f t="shared" si="23"/>
        <v>7767.6064416827958</v>
      </c>
      <c r="Y22" s="34">
        <f t="shared" ref="Y22:AG22" si="33">Y$17*Y47</f>
        <v>8425.5542311181616</v>
      </c>
      <c r="Z22" s="34">
        <f t="shared" si="33"/>
        <v>9368.7953071291449</v>
      </c>
      <c r="AA22" s="34">
        <f t="shared" si="33"/>
        <v>10317.237418593417</v>
      </c>
      <c r="AB22" s="34">
        <f t="shared" si="33"/>
        <v>11287.3874468471</v>
      </c>
      <c r="AC22" s="34">
        <f t="shared" si="33"/>
        <v>12359.054937617289</v>
      </c>
      <c r="AD22" s="34">
        <f t="shared" si="33"/>
        <v>13475.776201826868</v>
      </c>
      <c r="AE22" s="34">
        <f t="shared" si="33"/>
        <v>14622.252107679873</v>
      </c>
      <c r="AF22" s="34">
        <f t="shared" si="33"/>
        <v>15828.23687166922</v>
      </c>
      <c r="AG22" s="34">
        <f t="shared" si="33"/>
        <v>17074.267709250558</v>
      </c>
    </row>
    <row r="23" spans="2:156" x14ac:dyDescent="0.2">
      <c r="B23" s="40" t="s">
        <v>115</v>
      </c>
      <c r="C23" s="41">
        <f t="shared" ref="C23:J23" si="34">C19-C22-C21-C20</f>
        <v>15876</v>
      </c>
      <c r="D23" s="41">
        <f t="shared" si="34"/>
        <v>17897</v>
      </c>
      <c r="E23" s="41">
        <f t="shared" si="34"/>
        <v>17048</v>
      </c>
      <c r="F23" s="41">
        <f t="shared" si="34"/>
        <v>19095</v>
      </c>
      <c r="G23" s="41">
        <f t="shared" si="34"/>
        <v>20238</v>
      </c>
      <c r="H23" s="41">
        <f t="shared" si="34"/>
        <v>22247</v>
      </c>
      <c r="I23" s="41">
        <f t="shared" si="34"/>
        <v>20364</v>
      </c>
      <c r="J23" s="41">
        <f t="shared" si="34"/>
        <v>20525</v>
      </c>
      <c r="K23" s="41">
        <f>K19-K22-K21-K20</f>
        <v>21518</v>
      </c>
      <c r="L23" s="41">
        <f t="shared" ref="L23:O23" si="35">L19-L22-L21-L20</f>
        <v>20399</v>
      </c>
      <c r="M23" s="41">
        <f t="shared" si="35"/>
        <v>20037.684904643997</v>
      </c>
      <c r="N23" s="41">
        <f t="shared" si="35"/>
        <v>22504.055992336238</v>
      </c>
      <c r="O23" s="41">
        <f t="shared" si="35"/>
        <v>22665.268944227813</v>
      </c>
      <c r="R23" s="41">
        <f t="shared" ref="R23:V23" si="36">R19-R20-R21-R22</f>
        <v>29331</v>
      </c>
      <c r="S23" s="41">
        <f>S19-S20-S21-S22</f>
        <v>35058</v>
      </c>
      <c r="T23" s="41">
        <f t="shared" si="36"/>
        <v>42959</v>
      </c>
      <c r="U23" s="41">
        <f t="shared" si="36"/>
        <v>52959</v>
      </c>
      <c r="V23" s="41">
        <f t="shared" si="36"/>
        <v>69916</v>
      </c>
      <c r="W23" s="41">
        <f>W19-W20-W21-W22</f>
        <v>83383</v>
      </c>
      <c r="X23" s="41">
        <f t="shared" si="23"/>
        <v>84458.740896980235</v>
      </c>
      <c r="Y23" s="41">
        <f>Y19-Y22-Y20-Y21</f>
        <v>92388.533934074279</v>
      </c>
      <c r="Z23" s="41">
        <f t="shared" ref="Z23:AG23" si="37">Z19-Z22-Z20-Z21</f>
        <v>103598.39178753567</v>
      </c>
      <c r="AA23" s="41">
        <f t="shared" si="37"/>
        <v>115045.58566605813</v>
      </c>
      <c r="AB23" s="41">
        <f t="shared" si="37"/>
        <v>126918.51716705147</v>
      </c>
      <c r="AC23" s="41">
        <f t="shared" si="37"/>
        <v>140129.5522873906</v>
      </c>
      <c r="AD23" s="41">
        <f t="shared" si="37"/>
        <v>154063.30486414614</v>
      </c>
      <c r="AE23" s="41">
        <f t="shared" si="37"/>
        <v>168557.78163121233</v>
      </c>
      <c r="AF23" s="41">
        <f t="shared" si="37"/>
        <v>183968.94035178245</v>
      </c>
      <c r="AG23" s="41">
        <f t="shared" si="37"/>
        <v>200087.48224205506</v>
      </c>
    </row>
    <row r="24" spans="2:156" x14ac:dyDescent="0.2">
      <c r="B24" t="s">
        <v>116</v>
      </c>
      <c r="C24" s="34">
        <v>248</v>
      </c>
      <c r="D24" s="34">
        <v>440</v>
      </c>
      <c r="E24" s="34">
        <v>188</v>
      </c>
      <c r="F24" s="34">
        <f>V24-E24-D24-C24</f>
        <v>310</v>
      </c>
      <c r="G24" s="34">
        <v>286</v>
      </c>
      <c r="H24" s="34">
        <v>268</v>
      </c>
      <c r="I24" s="34">
        <v>-174</v>
      </c>
      <c r="J24" s="34">
        <f>W24-I24-H24-G24</f>
        <v>-47</v>
      </c>
      <c r="K24" s="34">
        <v>54</v>
      </c>
      <c r="L24" s="34">
        <v>-60</v>
      </c>
      <c r="M24" s="151">
        <v>200</v>
      </c>
      <c r="N24" s="151">
        <v>180</v>
      </c>
      <c r="O24" s="151">
        <v>190</v>
      </c>
      <c r="R24" s="34">
        <v>876</v>
      </c>
      <c r="S24" s="34">
        <v>1416</v>
      </c>
      <c r="T24" s="34">
        <v>729</v>
      </c>
      <c r="U24" s="34">
        <v>77</v>
      </c>
      <c r="V24" s="34">
        <v>1186</v>
      </c>
      <c r="W24" s="34">
        <v>333</v>
      </c>
      <c r="X24" s="34">
        <f t="shared" si="23"/>
        <v>374</v>
      </c>
      <c r="Y24" s="34">
        <f>AVERAGE(T24:X24)</f>
        <v>539.79999999999995</v>
      </c>
      <c r="Z24" s="34">
        <f t="shared" ref="Z24:AG24" si="38">AVERAGE(U24:Y24)</f>
        <v>501.96000000000004</v>
      </c>
      <c r="AA24" s="34">
        <f t="shared" si="38"/>
        <v>586.952</v>
      </c>
      <c r="AB24" s="34">
        <f t="shared" si="38"/>
        <v>467.14240000000001</v>
      </c>
      <c r="AC24" s="34">
        <f t="shared" si="38"/>
        <v>493.97088000000002</v>
      </c>
      <c r="AD24" s="34">
        <f t="shared" si="38"/>
        <v>517.965056</v>
      </c>
      <c r="AE24" s="34">
        <f t="shared" si="38"/>
        <v>513.59806719999995</v>
      </c>
      <c r="AF24" s="34">
        <f t="shared" si="38"/>
        <v>515.92568064</v>
      </c>
      <c r="AG24" s="34">
        <f t="shared" si="38"/>
        <v>501.72041676800001</v>
      </c>
    </row>
    <row r="25" spans="2:156" x14ac:dyDescent="0.2">
      <c r="B25" t="s">
        <v>117</v>
      </c>
      <c r="C25" s="34">
        <f t="shared" ref="C25:J25" si="39">C23+C24</f>
        <v>16124</v>
      </c>
      <c r="D25" s="34">
        <f t="shared" si="39"/>
        <v>18337</v>
      </c>
      <c r="E25" s="34">
        <f t="shared" si="39"/>
        <v>17236</v>
      </c>
      <c r="F25" s="34">
        <f t="shared" si="39"/>
        <v>19405</v>
      </c>
      <c r="G25" s="34">
        <f t="shared" si="39"/>
        <v>20524</v>
      </c>
      <c r="H25" s="34">
        <f t="shared" si="39"/>
        <v>22515</v>
      </c>
      <c r="I25" s="34">
        <f t="shared" si="39"/>
        <v>20190</v>
      </c>
      <c r="J25" s="34">
        <f t="shared" si="39"/>
        <v>20478</v>
      </c>
      <c r="K25" s="34">
        <f>K23+K24</f>
        <v>21572</v>
      </c>
      <c r="L25" s="34">
        <f t="shared" ref="L25:O25" si="40">L23+L24</f>
        <v>20339</v>
      </c>
      <c r="M25" s="34">
        <f t="shared" si="40"/>
        <v>20237.684904643997</v>
      </c>
      <c r="N25" s="34">
        <f t="shared" si="40"/>
        <v>22684.055992336238</v>
      </c>
      <c r="O25" s="34">
        <f t="shared" si="40"/>
        <v>22855.268944227813</v>
      </c>
      <c r="R25" s="34">
        <f t="shared" ref="R25:V25" si="41">R23+R24</f>
        <v>30207</v>
      </c>
      <c r="S25" s="34">
        <f t="shared" si="41"/>
        <v>36474</v>
      </c>
      <c r="T25" s="34">
        <f t="shared" si="41"/>
        <v>43688</v>
      </c>
      <c r="U25" s="34">
        <f t="shared" si="41"/>
        <v>53036</v>
      </c>
      <c r="V25" s="34">
        <f t="shared" si="41"/>
        <v>71102</v>
      </c>
      <c r="W25" s="34">
        <f>W23+W24</f>
        <v>83716</v>
      </c>
      <c r="X25" s="34">
        <f t="shared" si="23"/>
        <v>84832.740896980235</v>
      </c>
      <c r="Y25" s="34">
        <f>Y23+Y24</f>
        <v>92928.333934074282</v>
      </c>
      <c r="Z25" s="34">
        <f t="shared" ref="Z25:AG25" si="42">Z23+Z24</f>
        <v>104100.35178753568</v>
      </c>
      <c r="AA25" s="34">
        <f t="shared" si="42"/>
        <v>115632.53766605814</v>
      </c>
      <c r="AB25" s="34">
        <f t="shared" si="42"/>
        <v>127385.65956705147</v>
      </c>
      <c r="AC25" s="34">
        <f t="shared" si="42"/>
        <v>140623.52316739061</v>
      </c>
      <c r="AD25" s="34">
        <f t="shared" si="42"/>
        <v>154581.26992014612</v>
      </c>
      <c r="AE25" s="34">
        <f t="shared" si="42"/>
        <v>169071.37969841232</v>
      </c>
      <c r="AF25" s="34">
        <f t="shared" si="42"/>
        <v>184484.86603242246</v>
      </c>
      <c r="AG25" s="34">
        <f t="shared" si="42"/>
        <v>200589.20265882305</v>
      </c>
    </row>
    <row r="26" spans="2:156" x14ac:dyDescent="0.2">
      <c r="B26" t="s">
        <v>118</v>
      </c>
      <c r="C26" s="34">
        <v>2231</v>
      </c>
      <c r="D26" s="34">
        <v>2874</v>
      </c>
      <c r="E26" s="34">
        <v>1779</v>
      </c>
      <c r="F26" s="34">
        <f>V26-E26-D26-C26</f>
        <v>2947</v>
      </c>
      <c r="G26" s="34">
        <v>19</v>
      </c>
      <c r="H26" s="34">
        <v>3750</v>
      </c>
      <c r="I26" s="34">
        <v>3462</v>
      </c>
      <c r="J26" s="34">
        <f>W26-I26-H26-G26</f>
        <v>3747</v>
      </c>
      <c r="K26" s="34">
        <v>4016</v>
      </c>
      <c r="L26" s="34">
        <v>3914</v>
      </c>
      <c r="M26" s="34">
        <f>M25*M49</f>
        <v>3946.3485564055795</v>
      </c>
      <c r="N26" s="34">
        <f>N25*N49</f>
        <v>4423.3909185055663</v>
      </c>
      <c r="O26" s="34">
        <f>O25*O49</f>
        <v>4456.7774441244237</v>
      </c>
      <c r="R26" s="34">
        <v>4412</v>
      </c>
      <c r="S26" s="34">
        <v>19903</v>
      </c>
      <c r="T26" s="34">
        <v>4448</v>
      </c>
      <c r="U26" s="34">
        <v>8755</v>
      </c>
      <c r="V26" s="34">
        <v>9831</v>
      </c>
      <c r="W26" s="34">
        <v>10978</v>
      </c>
      <c r="X26" s="34">
        <f t="shared" si="23"/>
        <v>16299.739474911144</v>
      </c>
      <c r="Y26" s="34">
        <f t="shared" ref="Y26:AG26" si="43">Y25*Y49</f>
        <v>17855.224491713601</v>
      </c>
      <c r="Z26" s="34">
        <f t="shared" si="43"/>
        <v>20001.812925554466</v>
      </c>
      <c r="AA26" s="34">
        <f t="shared" si="43"/>
        <v>22217.603944548369</v>
      </c>
      <c r="AB26" s="34">
        <f t="shared" si="43"/>
        <v>24475.845550058995</v>
      </c>
      <c r="AC26" s="34">
        <f t="shared" si="43"/>
        <v>27019.365016817355</v>
      </c>
      <c r="AD26" s="34">
        <f t="shared" si="43"/>
        <v>29701.202634241319</v>
      </c>
      <c r="AE26" s="34">
        <f t="shared" si="43"/>
        <v>32485.328336786064</v>
      </c>
      <c r="AF26" s="34">
        <f t="shared" si="43"/>
        <v>35446.87135647425</v>
      </c>
      <c r="AG26" s="34">
        <f t="shared" si="43"/>
        <v>38541.154161097664</v>
      </c>
    </row>
    <row r="27" spans="2:156" x14ac:dyDescent="0.2">
      <c r="B27" s="40" t="s">
        <v>87</v>
      </c>
      <c r="C27" s="41">
        <f t="shared" ref="C27:J27" si="44">C25-C26</f>
        <v>13893</v>
      </c>
      <c r="D27" s="41">
        <f t="shared" si="44"/>
        <v>15463</v>
      </c>
      <c r="E27" s="41">
        <f t="shared" si="44"/>
        <v>15457</v>
      </c>
      <c r="F27" s="41">
        <f t="shared" si="44"/>
        <v>16458</v>
      </c>
      <c r="G27" s="41">
        <f t="shared" si="44"/>
        <v>20505</v>
      </c>
      <c r="H27" s="41">
        <f t="shared" si="44"/>
        <v>18765</v>
      </c>
      <c r="I27" s="41">
        <f t="shared" si="44"/>
        <v>16728</v>
      </c>
      <c r="J27" s="41">
        <f t="shared" si="44"/>
        <v>16731</v>
      </c>
      <c r="K27" s="41">
        <f>K25-K26</f>
        <v>17556</v>
      </c>
      <c r="L27" s="41">
        <f t="shared" ref="L27:O27" si="45">L25-L26</f>
        <v>16425</v>
      </c>
      <c r="M27" s="41">
        <f t="shared" si="45"/>
        <v>16291.336348238417</v>
      </c>
      <c r="N27" s="41">
        <f t="shared" si="45"/>
        <v>18260.665073830671</v>
      </c>
      <c r="O27" s="41">
        <f t="shared" si="45"/>
        <v>18398.491500103388</v>
      </c>
      <c r="R27" s="41">
        <f>R25-R26</f>
        <v>25795</v>
      </c>
      <c r="S27" s="41">
        <f>S25-S26</f>
        <v>16571</v>
      </c>
      <c r="T27" s="41">
        <f>T25-T26</f>
        <v>39240</v>
      </c>
      <c r="U27" s="41">
        <f>U25-U26</f>
        <v>44281</v>
      </c>
      <c r="V27" s="41">
        <f t="shared" ref="V27:W27" si="46">V25-V26</f>
        <v>61271</v>
      </c>
      <c r="W27" s="41">
        <f t="shared" si="46"/>
        <v>72738</v>
      </c>
      <c r="X27" s="41">
        <f t="shared" si="23"/>
        <v>68533.001422069094</v>
      </c>
      <c r="Y27" s="41">
        <f>Y25-Y26</f>
        <v>75073.109442360685</v>
      </c>
      <c r="Z27" s="41">
        <f t="shared" ref="Z27:AG27" si="47">Z25-Z26</f>
        <v>84098.538861981215</v>
      </c>
      <c r="AA27" s="41">
        <f t="shared" si="47"/>
        <v>93414.933721509762</v>
      </c>
      <c r="AB27" s="41">
        <f t="shared" si="47"/>
        <v>102909.81401699247</v>
      </c>
      <c r="AC27" s="41">
        <f t="shared" si="47"/>
        <v>113604.15815057326</v>
      </c>
      <c r="AD27" s="41">
        <f t="shared" si="47"/>
        <v>124880.06728590481</v>
      </c>
      <c r="AE27" s="41">
        <f t="shared" si="47"/>
        <v>136586.05136162625</v>
      </c>
      <c r="AF27" s="41">
        <f t="shared" si="47"/>
        <v>149037.99467594823</v>
      </c>
      <c r="AG27" s="41">
        <f t="shared" si="47"/>
        <v>162048.04849772539</v>
      </c>
      <c r="AH27" s="41"/>
      <c r="AI27" s="41"/>
      <c r="AJ27" s="41"/>
      <c r="AK27" s="41"/>
      <c r="AL27" s="41"/>
      <c r="AM27" s="41"/>
      <c r="AN27" s="41"/>
      <c r="AO27" s="41"/>
      <c r="AP27" s="41"/>
      <c r="AQ27" s="41"/>
      <c r="AR27" s="41"/>
      <c r="AS27" s="41"/>
      <c r="AT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c r="BV27" s="41"/>
      <c r="BW27" s="41"/>
      <c r="BX27" s="41"/>
      <c r="BY27" s="41"/>
      <c r="BZ27" s="41"/>
      <c r="CA27" s="41"/>
      <c r="CB27" s="41"/>
      <c r="CC27" s="41"/>
      <c r="CD27" s="41"/>
      <c r="CE27" s="41"/>
      <c r="CF27" s="41"/>
      <c r="CG27" s="41"/>
      <c r="CH27" s="41"/>
      <c r="CI27" s="41"/>
      <c r="CJ27" s="41"/>
      <c r="CK27" s="41"/>
      <c r="CL27" s="41"/>
      <c r="CM27" s="41"/>
      <c r="CN27" s="41"/>
      <c r="CO27" s="41"/>
      <c r="CP27" s="41"/>
      <c r="CQ27" s="41"/>
      <c r="CR27" s="41"/>
      <c r="CS27" s="41"/>
      <c r="CT27" s="41"/>
      <c r="CU27" s="41"/>
      <c r="CV27" s="41"/>
      <c r="CW27" s="41"/>
      <c r="CX27" s="41"/>
      <c r="CY27" s="41"/>
      <c r="CZ27" s="41"/>
      <c r="DA27" s="41"/>
      <c r="DB27" s="41"/>
      <c r="DC27" s="41"/>
      <c r="DD27" s="41"/>
      <c r="DE27" s="41"/>
      <c r="DF27" s="41"/>
      <c r="DG27" s="41"/>
      <c r="DH27" s="41"/>
      <c r="DI27" s="41"/>
      <c r="DJ27" s="41"/>
      <c r="DK27" s="41"/>
      <c r="DL27" s="41"/>
      <c r="DM27" s="41"/>
      <c r="DN27" s="41"/>
      <c r="DO27" s="41"/>
      <c r="DP27" s="41"/>
      <c r="DQ27" s="41"/>
      <c r="DR27" s="41"/>
      <c r="DS27" s="41"/>
      <c r="DT27" s="41"/>
      <c r="DU27" s="41"/>
      <c r="DV27" s="41"/>
      <c r="DW27" s="41"/>
      <c r="DX27" s="41"/>
      <c r="DY27" s="41"/>
      <c r="DZ27" s="41"/>
      <c r="EA27" s="41"/>
      <c r="EB27" s="41"/>
      <c r="EC27" s="41"/>
      <c r="ED27" s="41"/>
      <c r="EE27" s="41"/>
      <c r="EF27" s="41"/>
      <c r="EG27" s="41"/>
      <c r="EH27" s="41"/>
      <c r="EI27" s="41"/>
      <c r="EJ27" s="41"/>
      <c r="EK27" s="41"/>
      <c r="EL27" s="41"/>
      <c r="EM27" s="41"/>
      <c r="EN27" s="41"/>
      <c r="EO27" s="41"/>
      <c r="EP27" s="41"/>
      <c r="EQ27" s="41"/>
      <c r="ER27" s="41"/>
      <c r="ES27" s="41"/>
      <c r="ET27" s="41"/>
      <c r="EU27" s="41"/>
      <c r="EV27" s="41"/>
      <c r="EW27" s="41"/>
      <c r="EX27" s="41"/>
      <c r="EY27" s="41"/>
      <c r="EZ27" s="41"/>
    </row>
    <row r="28" spans="2:156" x14ac:dyDescent="0.2">
      <c r="C28" s="34"/>
      <c r="D28" s="34"/>
      <c r="E28" s="34"/>
      <c r="F28" s="34"/>
      <c r="G28" s="34"/>
      <c r="H28" s="34"/>
      <c r="I28" s="34"/>
      <c r="J28" s="34"/>
      <c r="K28" s="34"/>
      <c r="L28" s="34"/>
      <c r="M28" s="34"/>
      <c r="N28" s="34"/>
      <c r="O28" s="34"/>
      <c r="T28" s="34"/>
      <c r="U28" s="29"/>
      <c r="V28" s="29"/>
      <c r="W28" s="29"/>
      <c r="X28" s="29"/>
      <c r="Y28" s="34"/>
      <c r="Z28" s="34"/>
      <c r="AA28" s="34"/>
      <c r="AB28" s="34"/>
      <c r="AC28" s="34"/>
      <c r="AD28" s="34"/>
      <c r="AE28" s="34"/>
      <c r="AF28" s="34"/>
      <c r="AG28" s="34"/>
    </row>
    <row r="29" spans="2:156" x14ac:dyDescent="0.2">
      <c r="B29" s="35" t="s">
        <v>119</v>
      </c>
      <c r="C29" s="35"/>
      <c r="D29" s="35"/>
      <c r="E29" s="35"/>
      <c r="F29" s="35"/>
      <c r="G29" s="35">
        <f t="shared" ref="G29:O29" si="48">G17/C17-1</f>
        <v>0.21970716477364483</v>
      </c>
      <c r="H29" s="35">
        <f t="shared" si="48"/>
        <v>0.2008543040208004</v>
      </c>
      <c r="I29" s="35">
        <f t="shared" si="48"/>
        <v>0.18352275451973332</v>
      </c>
      <c r="J29" s="35">
        <f t="shared" si="48"/>
        <v>0.1235916103310799</v>
      </c>
      <c r="K29" s="35">
        <f t="shared" si="48"/>
        <v>0.1060308493501334</v>
      </c>
      <c r="L29" s="35">
        <f t="shared" si="48"/>
        <v>1.9699195793380753E-2</v>
      </c>
      <c r="M29" s="35">
        <f t="shared" si="48"/>
        <v>7.2113047001620911E-2</v>
      </c>
      <c r="N29" s="35">
        <f t="shared" si="48"/>
        <v>9.9106178648565191E-2</v>
      </c>
      <c r="O29" s="35">
        <f t="shared" si="48"/>
        <v>0.12884621523482709</v>
      </c>
      <c r="P29" s="35"/>
      <c r="Q29" s="35"/>
      <c r="R29" s="35"/>
      <c r="S29" s="35">
        <f>S17/R17-1</f>
        <v>0.14278613662486661</v>
      </c>
      <c r="T29" s="35">
        <f t="shared" ref="T29" si="49">T17/S17-1</f>
        <v>0.14029539688292858</v>
      </c>
      <c r="U29" s="35">
        <f t="shared" ref="U29:AG29" si="50">U17/T17-1</f>
        <v>0.13645574247276371</v>
      </c>
      <c r="V29" s="35">
        <f t="shared" si="50"/>
        <v>0.17531727441177503</v>
      </c>
      <c r="W29" s="35">
        <f t="shared" si="50"/>
        <v>0.17956070629670173</v>
      </c>
      <c r="X29" s="35">
        <f t="shared" si="50"/>
        <v>7.3201946840167453E-2</v>
      </c>
      <c r="Y29" s="35">
        <f t="shared" si="50"/>
        <v>8.4704058370499435E-2</v>
      </c>
      <c r="Z29" s="35">
        <f t="shared" si="50"/>
        <v>0.11195003321292551</v>
      </c>
      <c r="AA29" s="35">
        <f t="shared" si="50"/>
        <v>0.10123415875492103</v>
      </c>
      <c r="AB29" s="35">
        <f t="shared" si="50"/>
        <v>9.4031957285901635E-2</v>
      </c>
      <c r="AC29" s="35">
        <f t="shared" si="50"/>
        <v>9.4943803055997478E-2</v>
      </c>
      <c r="AD29" s="35">
        <f t="shared" si="50"/>
        <v>9.035652562807317E-2</v>
      </c>
      <c r="AE29" s="35">
        <f t="shared" si="50"/>
        <v>8.5076799190059171E-2</v>
      </c>
      <c r="AF29" s="35">
        <f t="shared" si="50"/>
        <v>8.247599310341136E-2</v>
      </c>
      <c r="AG29" s="35">
        <f t="shared" si="50"/>
        <v>7.8722023664656637E-2</v>
      </c>
      <c r="AJ29" s="29"/>
    </row>
    <row r="30" spans="2:156" x14ac:dyDescent="0.2">
      <c r="B30" s="29" t="s">
        <v>120</v>
      </c>
      <c r="C30" s="29"/>
      <c r="D30" s="29"/>
      <c r="E30" s="29"/>
      <c r="F30" s="29"/>
      <c r="G30" s="29">
        <f t="shared" ref="G30:G38" si="51">G3/C3-1</f>
        <v>0.34604734256364456</v>
      </c>
      <c r="H30" s="29">
        <f t="shared" ref="H30:H38" si="52">H3/D3-1</f>
        <v>0.28643255558174241</v>
      </c>
      <c r="I30" s="29">
        <f t="shared" ref="I30:I38" si="53">I3/E3-1</f>
        <v>0.29036655558921542</v>
      </c>
      <c r="J30" s="29">
        <f t="shared" ref="J30:J38" si="54">J3/F3-1</f>
        <v>0.2179031110536187</v>
      </c>
      <c r="K30" s="29">
        <f t="shared" ref="K30:K38" si="55">K3/G3-1</f>
        <v>0.220253500564072</v>
      </c>
      <c r="L30" s="29">
        <f t="shared" ref="L30:L38" si="56">L3/H3-1</f>
        <v>0.19658015267175566</v>
      </c>
      <c r="M30" s="150">
        <v>0.2</v>
      </c>
      <c r="N30" s="150">
        <v>0.22</v>
      </c>
      <c r="O30" s="150">
        <v>0.25</v>
      </c>
      <c r="P30" s="29"/>
      <c r="Q30" s="29"/>
      <c r="R30" s="29"/>
      <c r="S30" s="36">
        <f t="shared" ref="S30:X38" si="57">S3/R3-1</f>
        <v>2.1741680678840858E-2</v>
      </c>
      <c r="T30" s="36">
        <f t="shared" si="57"/>
        <v>0.24849783765165134</v>
      </c>
      <c r="U30" s="36">
        <f t="shared" si="57"/>
        <v>0.26843847710134261</v>
      </c>
      <c r="V30" s="36">
        <f t="shared" si="57"/>
        <v>0.27091036516107203</v>
      </c>
      <c r="W30" s="36">
        <f t="shared" si="57"/>
        <v>0.2799634904637851</v>
      </c>
      <c r="X30" s="37">
        <f t="shared" si="57"/>
        <v>0.20929700499168047</v>
      </c>
      <c r="Y30" s="37">
        <v>0.14000000000000001</v>
      </c>
      <c r="Z30" s="37">
        <v>0.16</v>
      </c>
      <c r="AA30" s="37">
        <v>0.14000000000000001</v>
      </c>
      <c r="AB30" s="37">
        <v>0.12</v>
      </c>
      <c r="AC30" s="37">
        <v>0.12</v>
      </c>
      <c r="AD30" s="37">
        <v>0.11</v>
      </c>
      <c r="AE30" s="37">
        <v>0.1</v>
      </c>
      <c r="AF30" s="37">
        <v>0.09</v>
      </c>
      <c r="AG30" s="37">
        <v>0.08</v>
      </c>
      <c r="AJ30" s="38"/>
    </row>
    <row r="31" spans="2:156" x14ac:dyDescent="0.2">
      <c r="B31" s="29" t="s">
        <v>121</v>
      </c>
      <c r="C31" s="29"/>
      <c r="D31" s="29"/>
      <c r="E31" s="29"/>
      <c r="F31" s="29"/>
      <c r="G31" s="29">
        <f t="shared" si="51"/>
        <v>0.16490622979090319</v>
      </c>
      <c r="H31" s="29">
        <f t="shared" si="52"/>
        <v>0.13864993421718452</v>
      </c>
      <c r="I31" s="29">
        <f t="shared" si="53"/>
        <v>0.11461661341853024</v>
      </c>
      <c r="J31" s="29">
        <f t="shared" si="54"/>
        <v>8.8062073478545333E-2</v>
      </c>
      <c r="K31" s="29">
        <f t="shared" si="55"/>
        <v>6.8467801628423475E-2</v>
      </c>
      <c r="L31" s="29">
        <f t="shared" si="56"/>
        <v>5.2084259176962133E-2</v>
      </c>
      <c r="M31" s="150">
        <v>0.1</v>
      </c>
      <c r="N31" s="150">
        <v>0.13</v>
      </c>
      <c r="O31" s="150">
        <v>0.14000000000000001</v>
      </c>
      <c r="P31" s="29"/>
      <c r="Q31" s="29"/>
      <c r="R31" s="29"/>
      <c r="S31" s="36">
        <f t="shared" si="57"/>
        <v>0.3079587971730795</v>
      </c>
      <c r="T31" s="36">
        <f t="shared" si="57"/>
        <v>0.12194518999858728</v>
      </c>
      <c r="U31" s="36">
        <f t="shared" si="57"/>
        <v>0.11164972142654794</v>
      </c>
      <c r="V31" s="36">
        <f t="shared" si="57"/>
        <v>0.12900668252350211</v>
      </c>
      <c r="W31" s="36">
        <f t="shared" si="57"/>
        <v>0.125150481540931</v>
      </c>
      <c r="X31" s="36">
        <f t="shared" si="57"/>
        <v>8.8169720476126923E-2</v>
      </c>
      <c r="Y31" s="36">
        <v>0.08</v>
      </c>
      <c r="Z31" s="36">
        <v>0.12</v>
      </c>
      <c r="AA31" s="36">
        <v>0.08</v>
      </c>
      <c r="AB31" s="36">
        <f>AA31-($X$31-$AG$31)/($AG$2-$X$2)</f>
        <v>7.5758919947097006E-2</v>
      </c>
      <c r="AC31" s="36">
        <v>7.0000000000000007E-2</v>
      </c>
      <c r="AD31" s="36">
        <v>0.06</v>
      </c>
      <c r="AE31" s="36">
        <v>0.05</v>
      </c>
      <c r="AF31" s="36">
        <v>0.05</v>
      </c>
      <c r="AG31" s="36">
        <v>0.05</v>
      </c>
      <c r="AJ31" s="29"/>
    </row>
    <row r="32" spans="2:156" x14ac:dyDescent="0.2">
      <c r="B32" s="29" t="s">
        <v>122</v>
      </c>
      <c r="C32" s="29"/>
      <c r="D32" s="29"/>
      <c r="E32" s="29"/>
      <c r="F32" s="29"/>
      <c r="G32" s="29">
        <f t="shared" si="51"/>
        <v>6.9934024505183823E-2</v>
      </c>
      <c r="H32" s="29">
        <f t="shared" si="52"/>
        <v>0.15465360391882443</v>
      </c>
      <c r="I32" s="29">
        <f t="shared" si="53"/>
        <v>7.6337229897272429E-2</v>
      </c>
      <c r="J32" s="29">
        <f t="shared" si="54"/>
        <v>0.1008417797629273</v>
      </c>
      <c r="K32" s="29">
        <f t="shared" si="55"/>
        <v>-6.3953488372093026E-2</v>
      </c>
      <c r="L32" s="29">
        <f t="shared" si="56"/>
        <v>-0.27151515151515149</v>
      </c>
      <c r="M32" s="150">
        <v>-0.18</v>
      </c>
      <c r="N32" s="150">
        <v>-0.14000000000000001</v>
      </c>
      <c r="O32" s="150">
        <v>-0.1</v>
      </c>
      <c r="P32" s="29"/>
      <c r="Q32" s="29"/>
      <c r="R32" s="29"/>
      <c r="S32" s="36">
        <f t="shared" si="57"/>
        <v>4.9749905878556433E-2</v>
      </c>
      <c r="T32" s="36">
        <f t="shared" si="57"/>
        <v>4.4932882467465962E-2</v>
      </c>
      <c r="U32" s="36">
        <f t="shared" si="57"/>
        <v>5.4670262319195917E-2</v>
      </c>
      <c r="V32" s="36">
        <f t="shared" si="57"/>
        <v>4.5467224546722473E-2</v>
      </c>
      <c r="W32" s="36">
        <f t="shared" si="57"/>
        <v>0.10107612949128431</v>
      </c>
      <c r="X32" s="36">
        <f t="shared" si="57"/>
        <v>-0.16743992568959254</v>
      </c>
      <c r="Y32" s="36">
        <v>-0.05</v>
      </c>
      <c r="Z32" s="36">
        <v>-0.02</v>
      </c>
      <c r="AA32" s="36">
        <v>0.01</v>
      </c>
      <c r="AB32" s="36">
        <f>AA32-($AA$32-$AG$32)/($AG$2-$AA$2)</f>
        <v>1.3333333333333332E-2</v>
      </c>
      <c r="AC32" s="36">
        <f>AB32-($AA$32-$AG$32)/($AG$2-$AA$2)</f>
        <v>1.6666666666666666E-2</v>
      </c>
      <c r="AD32" s="36">
        <f>AC32-($AA$32-$AG$32)/($AG$2-$AA$2)</f>
        <v>0.02</v>
      </c>
      <c r="AE32" s="36">
        <f>AD32-($AA$32-$AG$32)/($AG$2-$AA$2)</f>
        <v>2.3333333333333334E-2</v>
      </c>
      <c r="AF32" s="36">
        <v>0.03</v>
      </c>
      <c r="AG32" s="36">
        <v>0.03</v>
      </c>
    </row>
    <row r="33" spans="2:33" x14ac:dyDescent="0.2">
      <c r="B33" s="29" t="s">
        <v>124</v>
      </c>
      <c r="C33" s="29"/>
      <c r="D33" s="29"/>
      <c r="E33" s="29"/>
      <c r="F33" s="29"/>
      <c r="G33" s="29">
        <f t="shared" si="51"/>
        <v>0.16203104786545919</v>
      </c>
      <c r="H33" s="29">
        <f t="shared" si="52"/>
        <v>8.1693500298151367E-2</v>
      </c>
      <c r="I33" s="29">
        <f t="shared" si="53"/>
        <v>5.8590433059722669E-2</v>
      </c>
      <c r="J33" s="29">
        <f t="shared" si="54"/>
        <v>-6.9736133548734536E-2</v>
      </c>
      <c r="K33" s="29">
        <f t="shared" si="55"/>
        <v>4.7314222098524539E-3</v>
      </c>
      <c r="L33" s="29">
        <f t="shared" si="56"/>
        <v>-0.1256890848952591</v>
      </c>
      <c r="M33" s="150">
        <v>-0.08</v>
      </c>
      <c r="N33" s="150">
        <v>-0.06</v>
      </c>
      <c r="O33" s="150">
        <v>-0.02</v>
      </c>
      <c r="P33" s="29"/>
      <c r="Q33" s="29"/>
      <c r="R33" s="29"/>
      <c r="S33" s="36">
        <f t="shared" si="57"/>
        <v>0.14385150812064973</v>
      </c>
      <c r="T33" s="36">
        <f t="shared" si="57"/>
        <v>9.9777842171351327E-2</v>
      </c>
      <c r="U33" s="36">
        <f t="shared" si="57"/>
        <v>1.6599332513613119E-2</v>
      </c>
      <c r="V33" s="36">
        <f t="shared" si="57"/>
        <v>0.32786177105831538</v>
      </c>
      <c r="W33" s="36">
        <f t="shared" si="57"/>
        <v>5.595315549772284E-2</v>
      </c>
      <c r="X33" s="36">
        <f t="shared" si="57"/>
        <v>-7.2304374614910683E-2</v>
      </c>
      <c r="Y33" s="36">
        <v>-0.01</v>
      </c>
      <c r="Z33" s="36">
        <v>0.03</v>
      </c>
      <c r="AA33" s="36">
        <f t="shared" ref="AA33:AF33" si="58">Z33-($Z$33-$AG$33)/($AG$2-$Z$2)</f>
        <v>4.7142857142857139E-2</v>
      </c>
      <c r="AB33" s="36">
        <f t="shared" si="58"/>
        <v>6.4285714285714279E-2</v>
      </c>
      <c r="AC33" s="36">
        <f t="shared" si="58"/>
        <v>8.142857142857142E-2</v>
      </c>
      <c r="AD33" s="36">
        <f t="shared" si="58"/>
        <v>9.857142857142856E-2</v>
      </c>
      <c r="AE33" s="36">
        <f t="shared" si="58"/>
        <v>0.1157142857142857</v>
      </c>
      <c r="AF33" s="36">
        <f t="shared" si="58"/>
        <v>0.13285714285714284</v>
      </c>
      <c r="AG33" s="36">
        <v>0.15</v>
      </c>
    </row>
    <row r="34" spans="2:33" x14ac:dyDescent="0.2">
      <c r="B34" s="29" t="s">
        <v>123</v>
      </c>
      <c r="C34" s="29"/>
      <c r="D34" s="34"/>
      <c r="E34" s="34"/>
      <c r="F34" s="29"/>
      <c r="G34" s="29">
        <f t="shared" si="51"/>
        <v>0.4215775158658206</v>
      </c>
      <c r="H34" s="29">
        <f t="shared" si="52"/>
        <v>0.37019790454016288</v>
      </c>
      <c r="I34" s="29">
        <f t="shared" si="53"/>
        <v>0.34153005464480879</v>
      </c>
      <c r="J34" s="29">
        <f t="shared" si="54"/>
        <v>0.26086956521739135</v>
      </c>
      <c r="K34" s="29">
        <f t="shared" si="55"/>
        <v>0.16804846938775508</v>
      </c>
      <c r="L34" s="29">
        <f t="shared" si="56"/>
        <v>9.7706032285471478E-2</v>
      </c>
      <c r="M34" s="150">
        <v>0.15</v>
      </c>
      <c r="N34" s="150">
        <v>0.13</v>
      </c>
      <c r="O34" s="150">
        <v>0.15</v>
      </c>
      <c r="P34" s="29"/>
      <c r="Q34" s="29"/>
      <c r="R34" s="29"/>
      <c r="S34" s="36">
        <f t="shared" si="57"/>
        <v>1.3157199471598413</v>
      </c>
      <c r="T34" s="36">
        <f t="shared" si="57"/>
        <v>0.28427457691576352</v>
      </c>
      <c r="U34" s="36">
        <f t="shared" si="57"/>
        <v>0.19588392063962101</v>
      </c>
      <c r="V34" s="36">
        <f t="shared" si="57"/>
        <v>0.27386405843753869</v>
      </c>
      <c r="W34" s="36">
        <f t="shared" si="57"/>
        <v>0.34279327437068718</v>
      </c>
      <c r="X34" s="36">
        <f t="shared" si="57"/>
        <v>0.13535828025477703</v>
      </c>
      <c r="Y34" s="36">
        <v>0.12</v>
      </c>
      <c r="Z34" s="36">
        <v>0.12</v>
      </c>
      <c r="AA34" s="36">
        <v>0.12</v>
      </c>
      <c r="AB34" s="36">
        <v>0.12</v>
      </c>
      <c r="AC34" s="36">
        <v>0.12</v>
      </c>
      <c r="AD34" s="36">
        <v>0.12</v>
      </c>
      <c r="AE34" s="36">
        <v>0.12</v>
      </c>
      <c r="AF34" s="36">
        <v>0.12</v>
      </c>
      <c r="AG34" s="36">
        <v>0.12</v>
      </c>
    </row>
    <row r="35" spans="2:33" x14ac:dyDescent="0.2">
      <c r="B35" s="29" t="s">
        <v>125</v>
      </c>
      <c r="C35" s="29"/>
      <c r="D35" s="29"/>
      <c r="E35" s="29"/>
      <c r="F35" s="29"/>
      <c r="G35" s="29">
        <f t="shared" si="51"/>
        <v>0.48462828395751822</v>
      </c>
      <c r="H35" s="29">
        <f t="shared" si="52"/>
        <v>0.40293040293040283</v>
      </c>
      <c r="I35" s="29">
        <f t="shared" si="53"/>
        <v>0.32777276825969337</v>
      </c>
      <c r="J35" s="29">
        <f t="shared" si="54"/>
        <v>-4.8764629388816649E-2</v>
      </c>
      <c r="K35" s="29">
        <f t="shared" si="55"/>
        <v>0.10240963855421681</v>
      </c>
      <c r="L35" s="29">
        <f t="shared" si="56"/>
        <v>5.1892950391644987E-2</v>
      </c>
      <c r="M35" s="150">
        <v>0.04</v>
      </c>
      <c r="N35" s="150">
        <v>0.06</v>
      </c>
      <c r="O35" s="150">
        <v>0.08</v>
      </c>
      <c r="P35" s="29"/>
      <c r="Q35" s="29"/>
      <c r="R35" s="29"/>
      <c r="S35" s="36">
        <f t="shared" si="57"/>
        <v>0.12751246181058051</v>
      </c>
      <c r="T35" s="36">
        <f t="shared" si="57"/>
        <v>8.7849401026811158E-2</v>
      </c>
      <c r="U35" s="36">
        <f t="shared" si="57"/>
        <v>0.11746198217094905</v>
      </c>
      <c r="V35" s="36">
        <f t="shared" si="57"/>
        <v>8.7165649929610511E-2</v>
      </c>
      <c r="W35" s="36">
        <f t="shared" si="57"/>
        <v>0.25078234595877835</v>
      </c>
      <c r="X35" s="36">
        <f t="shared" si="57"/>
        <v>6.2493313777931103E-2</v>
      </c>
      <c r="Y35" s="36">
        <v>0.11</v>
      </c>
      <c r="Z35" s="36">
        <v>0.11</v>
      </c>
      <c r="AA35" s="36">
        <v>0.11</v>
      </c>
      <c r="AB35" s="36">
        <v>0.11</v>
      </c>
      <c r="AC35" s="36">
        <v>0.11</v>
      </c>
      <c r="AD35" s="36">
        <v>0.11</v>
      </c>
      <c r="AE35" s="36">
        <v>0.11</v>
      </c>
      <c r="AF35" s="36">
        <v>0.11</v>
      </c>
      <c r="AG35" s="36">
        <v>0.11</v>
      </c>
    </row>
    <row r="36" spans="2:33" x14ac:dyDescent="0.2">
      <c r="B36" s="29" t="s">
        <v>126</v>
      </c>
      <c r="C36" s="29"/>
      <c r="D36" s="29"/>
      <c r="E36" s="29"/>
      <c r="F36" s="29"/>
      <c r="G36" s="29">
        <f t="shared" si="51"/>
        <v>9.4074526572999417E-2</v>
      </c>
      <c r="H36" s="29">
        <f t="shared" si="52"/>
        <v>7.5516224188790559E-2</v>
      </c>
      <c r="I36" s="29">
        <f t="shared" si="53"/>
        <v>4.8807542983915653E-2</v>
      </c>
      <c r="J36" s="29">
        <f t="shared" si="54"/>
        <v>5.1991150442477929E-2</v>
      </c>
      <c r="K36" s="29">
        <f t="shared" si="55"/>
        <v>4.7459519821328788E-2</v>
      </c>
      <c r="L36" s="29">
        <f t="shared" si="56"/>
        <v>2.1393307734503653E-2</v>
      </c>
      <c r="M36" s="150">
        <v>0.03</v>
      </c>
      <c r="N36" s="150">
        <v>0.05</v>
      </c>
      <c r="O36" s="150">
        <v>0.06</v>
      </c>
      <c r="P36" s="29"/>
      <c r="Q36" s="29"/>
      <c r="R36" s="29"/>
      <c r="S36" s="36">
        <f t="shared" si="57"/>
        <v>5.4853843377841827E-2</v>
      </c>
      <c r="T36" s="36">
        <f t="shared" si="57"/>
        <v>4.7553882996920871E-2</v>
      </c>
      <c r="U36" s="36">
        <f t="shared" si="57"/>
        <v>4.6538210320052231E-2</v>
      </c>
      <c r="V36" s="36">
        <f t="shared" si="57"/>
        <v>8.3320330784833807E-2</v>
      </c>
      <c r="W36" s="36">
        <f t="shared" si="57"/>
        <v>6.6829900619328919E-2</v>
      </c>
      <c r="X36" s="36">
        <f t="shared" si="57"/>
        <v>3.7239098150398275E-2</v>
      </c>
      <c r="Y36" s="36">
        <f>AVERAGE(U36:X36)</f>
        <v>5.8481884968653308E-2</v>
      </c>
      <c r="Z36" s="36">
        <f t="shared" ref="Z36:AG36" si="59">AVERAGE(V36:Y36)</f>
        <v>6.1467803630803577E-2</v>
      </c>
      <c r="AA36" s="36">
        <f t="shared" si="59"/>
        <v>5.6004671842296017E-2</v>
      </c>
      <c r="AB36" s="36">
        <f t="shared" si="59"/>
        <v>5.3298364648037791E-2</v>
      </c>
      <c r="AC36" s="36">
        <f t="shared" si="59"/>
        <v>5.7313181272447666E-2</v>
      </c>
      <c r="AD36" s="36">
        <f t="shared" si="59"/>
        <v>5.7021005348396263E-2</v>
      </c>
      <c r="AE36" s="36">
        <f t="shared" si="59"/>
        <v>5.5909305777794432E-2</v>
      </c>
      <c r="AF36" s="36">
        <f t="shared" si="59"/>
        <v>5.5885464261669036E-2</v>
      </c>
      <c r="AG36" s="36">
        <f t="shared" si="59"/>
        <v>5.6532239165076853E-2</v>
      </c>
    </row>
    <row r="37" spans="2:33" x14ac:dyDescent="0.2">
      <c r="B37" s="29" t="s">
        <v>127</v>
      </c>
      <c r="C37" s="29"/>
      <c r="D37" s="29"/>
      <c r="E37" s="29"/>
      <c r="F37" s="29"/>
      <c r="G37" s="29">
        <f t="shared" si="51"/>
        <v>-0.15987654320987654</v>
      </c>
      <c r="H37" s="29">
        <f t="shared" si="52"/>
        <v>7.7830188679245182E-2</v>
      </c>
      <c r="I37" s="29">
        <f t="shared" si="53"/>
        <v>0.1031894934333959</v>
      </c>
      <c r="J37" s="29">
        <f t="shared" si="54"/>
        <v>8.8842975206611552E-2</v>
      </c>
      <c r="K37" s="29">
        <f t="shared" si="55"/>
        <v>6.3923585598824495E-2</v>
      </c>
      <c r="L37" s="29">
        <f t="shared" si="56"/>
        <v>-0.37417943107221008</v>
      </c>
      <c r="M37" s="150">
        <v>-0.2</v>
      </c>
      <c r="N37" s="150">
        <v>-0.14000000000000001</v>
      </c>
      <c r="O37" s="150">
        <v>-0.08</v>
      </c>
      <c r="P37" s="29"/>
      <c r="Q37" s="29"/>
      <c r="R37" s="29"/>
      <c r="S37" s="36">
        <f t="shared" si="57"/>
        <v>1.4223627024891439E-2</v>
      </c>
      <c r="T37" s="36">
        <f t="shared" si="57"/>
        <v>0.18718348266458906</v>
      </c>
      <c r="U37" s="36">
        <f t="shared" si="57"/>
        <v>5.9392945036915501E-2</v>
      </c>
      <c r="V37" s="36">
        <f t="shared" si="57"/>
        <v>5.1726808115223788E-2</v>
      </c>
      <c r="W37" s="36">
        <f t="shared" si="57"/>
        <v>2.9450743631276755E-2</v>
      </c>
      <c r="X37" s="36">
        <f t="shared" si="57"/>
        <v>-0.19198111858103284</v>
      </c>
      <c r="Y37" s="36">
        <v>-0.06</v>
      </c>
      <c r="Z37" s="36">
        <v>-0.01</v>
      </c>
      <c r="AA37" s="36">
        <v>0.03</v>
      </c>
      <c r="AB37" s="36">
        <v>0.03</v>
      </c>
      <c r="AC37" s="36">
        <v>0.04</v>
      </c>
      <c r="AD37" s="36">
        <v>0.06</v>
      </c>
      <c r="AE37" s="36">
        <v>0.05</v>
      </c>
      <c r="AF37" s="36">
        <v>0.05</v>
      </c>
      <c r="AG37" s="36">
        <v>0.03</v>
      </c>
    </row>
    <row r="38" spans="2:33" x14ac:dyDescent="0.2">
      <c r="B38" s="29" t="s">
        <v>167</v>
      </c>
      <c r="C38" s="29"/>
      <c r="D38" s="29"/>
      <c r="E38" s="29"/>
      <c r="F38" s="29"/>
      <c r="G38" s="29">
        <f t="shared" si="51"/>
        <v>0.18895348837209291</v>
      </c>
      <c r="H38" s="29">
        <f t="shared" si="52"/>
        <v>0.18722659667541564</v>
      </c>
      <c r="I38" s="29">
        <f t="shared" si="53"/>
        <v>0.1591111111111112</v>
      </c>
      <c r="J38" s="29">
        <f t="shared" si="54"/>
        <v>0.18999151823579297</v>
      </c>
      <c r="K38" s="29">
        <f t="shared" si="55"/>
        <v>9.8614506927465317E-2</v>
      </c>
      <c r="L38" s="29">
        <f t="shared" si="56"/>
        <v>1.4738393515105752E-3</v>
      </c>
      <c r="M38" s="150">
        <v>7.0000000000000007E-2</v>
      </c>
      <c r="N38" s="150">
        <v>0.04</v>
      </c>
      <c r="O38" s="150">
        <v>0.05</v>
      </c>
      <c r="P38" s="29"/>
      <c r="Q38" s="29"/>
      <c r="R38" s="29"/>
      <c r="S38" s="36">
        <f t="shared" si="57"/>
        <v>6.9705093833780207E-2</v>
      </c>
      <c r="T38" s="36">
        <f t="shared" si="57"/>
        <v>9.917651271034722E-2</v>
      </c>
      <c r="U38" s="36">
        <f t="shared" si="57"/>
        <v>0.22736156351791537</v>
      </c>
      <c r="V38" s="36">
        <f t="shared" si="57"/>
        <v>0.18869426751592355</v>
      </c>
      <c r="W38" s="36">
        <f t="shared" si="57"/>
        <v>0.18129046662201387</v>
      </c>
      <c r="X38" s="36">
        <f t="shared" si="57"/>
        <v>5.1105651105651129E-2</v>
      </c>
      <c r="Y38" s="36">
        <v>0.1</v>
      </c>
      <c r="Z38" s="36">
        <v>0.09</v>
      </c>
      <c r="AA38" s="36">
        <v>0.09</v>
      </c>
      <c r="AB38" s="36">
        <v>0.08</v>
      </c>
      <c r="AC38" s="36">
        <v>7.0000000000000007E-2</v>
      </c>
      <c r="AD38" s="36">
        <v>0.06</v>
      </c>
      <c r="AE38" s="36">
        <v>0.05</v>
      </c>
      <c r="AF38" s="36">
        <v>0.05</v>
      </c>
      <c r="AG38" s="36">
        <v>0.03</v>
      </c>
    </row>
    <row r="39" spans="2:33" x14ac:dyDescent="0.2">
      <c r="B39" s="29"/>
      <c r="C39" s="29"/>
      <c r="D39" s="29"/>
      <c r="E39" s="29"/>
      <c r="F39" s="29"/>
      <c r="G39" s="29"/>
      <c r="H39" s="29"/>
      <c r="I39" s="29"/>
      <c r="J39" s="29"/>
      <c r="K39" s="29"/>
      <c r="L39" s="29"/>
      <c r="M39" s="29"/>
      <c r="N39" s="29"/>
      <c r="O39" s="29"/>
      <c r="P39" s="29"/>
      <c r="Q39" s="29"/>
      <c r="R39" s="29"/>
      <c r="S39" s="29"/>
      <c r="T39" s="29"/>
      <c r="U39" s="36"/>
      <c r="V39" s="36"/>
      <c r="W39" s="36"/>
      <c r="X39" s="36"/>
      <c r="Y39" s="36"/>
      <c r="Z39" s="36"/>
      <c r="AA39" s="36"/>
      <c r="AB39" s="36"/>
      <c r="AC39" s="36"/>
      <c r="AD39" s="36"/>
      <c r="AE39" s="36"/>
      <c r="AF39" s="36"/>
      <c r="AG39" s="36"/>
    </row>
    <row r="40" spans="2:33" x14ac:dyDescent="0.2">
      <c r="B40" t="s">
        <v>146</v>
      </c>
      <c r="C40" s="29"/>
      <c r="D40" s="29"/>
      <c r="E40" s="29"/>
      <c r="F40" s="29"/>
      <c r="G40" s="29">
        <f t="shared" ref="G40:O42" si="60">G13/C13-1</f>
        <v>0.21212847555129444</v>
      </c>
      <c r="H40" s="29">
        <f t="shared" si="60"/>
        <v>0.18660392618189836</v>
      </c>
      <c r="I40" s="29">
        <f t="shared" si="60"/>
        <v>0.16069473837845738</v>
      </c>
      <c r="J40" s="29">
        <f t="shared" si="60"/>
        <v>0.13049932523616725</v>
      </c>
      <c r="K40" s="29">
        <f t="shared" si="60"/>
        <v>9.149034341836404E-2</v>
      </c>
      <c r="L40" s="29">
        <f t="shared" si="60"/>
        <v>5.781027325113075E-2</v>
      </c>
      <c r="M40" s="29">
        <f t="shared" si="60"/>
        <v>0.10834517447343606</v>
      </c>
      <c r="N40" s="29">
        <f t="shared" si="60"/>
        <v>0.12246329234809572</v>
      </c>
      <c r="O40" s="29">
        <f t="shared" si="60"/>
        <v>0.1348855607222661</v>
      </c>
      <c r="P40" s="29"/>
      <c r="Q40" s="29"/>
      <c r="R40" s="29"/>
      <c r="S40" s="29">
        <f t="shared" ref="S40:AG40" si="61">S13/R13-1</f>
        <v>0.37077381176736646</v>
      </c>
      <c r="T40" s="29">
        <f t="shared" si="61"/>
        <v>0.14367025956885171</v>
      </c>
      <c r="U40" s="29">
        <f t="shared" si="61"/>
        <v>0.13386867982593231</v>
      </c>
      <c r="V40" s="29">
        <f t="shared" si="61"/>
        <v>0.15858442357032287</v>
      </c>
      <c r="W40" s="29">
        <f t="shared" si="61"/>
        <v>0.17073572474377752</v>
      </c>
      <c r="X40" s="29">
        <f t="shared" si="61"/>
        <v>9.5295846425612396E-2</v>
      </c>
      <c r="Y40" s="29">
        <f t="shared" si="61"/>
        <v>9.0542676241397668E-2</v>
      </c>
      <c r="Z40" s="29">
        <f t="shared" si="61"/>
        <v>0.117598102862712</v>
      </c>
      <c r="AA40" s="29">
        <f t="shared" si="61"/>
        <v>8.9997699783233909E-2</v>
      </c>
      <c r="AB40" s="29">
        <f t="shared" si="61"/>
        <v>8.6564755185099651E-2</v>
      </c>
      <c r="AC40" s="29">
        <f t="shared" si="61"/>
        <v>8.220244425297718E-2</v>
      </c>
      <c r="AD40" s="29">
        <f t="shared" si="61"/>
        <v>7.5154359670035698E-2</v>
      </c>
      <c r="AE40" s="29">
        <f t="shared" si="61"/>
        <v>6.8417538335230565E-2</v>
      </c>
      <c r="AF40" s="29">
        <f t="shared" si="61"/>
        <v>6.9306724380058027E-2</v>
      </c>
      <c r="AG40" s="29">
        <f t="shared" si="61"/>
        <v>6.8761788829044157E-2</v>
      </c>
    </row>
    <row r="41" spans="2:33" x14ac:dyDescent="0.2">
      <c r="B41" t="s">
        <v>147</v>
      </c>
      <c r="C41" s="29"/>
      <c r="D41" s="29"/>
      <c r="E41" s="29"/>
      <c r="F41" s="29"/>
      <c r="G41" s="29">
        <f t="shared" si="60"/>
        <v>0.31390274314214461</v>
      </c>
      <c r="H41" s="29">
        <f t="shared" si="60"/>
        <v>0.26164725457570714</v>
      </c>
      <c r="I41" s="29">
        <f t="shared" si="60"/>
        <v>0.26134470580395819</v>
      </c>
      <c r="J41" s="29">
        <f t="shared" si="60"/>
        <v>0.20053274654004283</v>
      </c>
      <c r="K41" s="29">
        <f t="shared" si="60"/>
        <v>0.20189798339264531</v>
      </c>
      <c r="L41" s="29">
        <f t="shared" si="60"/>
        <v>0.17903066271018786</v>
      </c>
      <c r="M41" s="29">
        <f t="shared" si="60"/>
        <v>0.18301706376459381</v>
      </c>
      <c r="N41" s="29">
        <f t="shared" si="60"/>
        <v>0.20440382018136205</v>
      </c>
      <c r="O41" s="29">
        <f t="shared" si="60"/>
        <v>0.23241018555073034</v>
      </c>
      <c r="P41" s="29"/>
      <c r="Q41" s="29"/>
      <c r="R41" s="29"/>
      <c r="S41" s="29">
        <f t="shared" ref="S41:AG41" si="62">S14/R14-1</f>
        <v>2.7639402217579878E-2</v>
      </c>
      <c r="T41" s="29">
        <f t="shared" si="62"/>
        <v>0.21175918686473816</v>
      </c>
      <c r="U41" s="29">
        <f t="shared" si="62"/>
        <v>0.23336602487998759</v>
      </c>
      <c r="V41" s="29">
        <f t="shared" si="62"/>
        <v>0.24575207164978652</v>
      </c>
      <c r="W41" s="29">
        <f t="shared" si="62"/>
        <v>0.25510649734596513</v>
      </c>
      <c r="X41" s="29">
        <f t="shared" si="62"/>
        <v>0.19224066167909104</v>
      </c>
      <c r="Y41" s="29">
        <f t="shared" si="62"/>
        <v>0.13296959454896973</v>
      </c>
      <c r="Z41" s="29">
        <f t="shared" si="62"/>
        <v>0.15206093090238726</v>
      </c>
      <c r="AA41" s="29">
        <f t="shared" si="62"/>
        <v>0.13376440462752304</v>
      </c>
      <c r="AB41" s="29">
        <f t="shared" si="62"/>
        <v>0.11538786194621276</v>
      </c>
      <c r="AC41" s="29">
        <f t="shared" si="62"/>
        <v>0.1159067568566714</v>
      </c>
      <c r="AD41" s="29">
        <f t="shared" si="62"/>
        <v>0.10672228820158614</v>
      </c>
      <c r="AE41" s="29">
        <f t="shared" si="62"/>
        <v>9.7394692736887611E-2</v>
      </c>
      <c r="AF41" s="29">
        <f t="shared" si="62"/>
        <v>8.8060386311371364E-2</v>
      </c>
      <c r="AG41" s="29">
        <f t="shared" si="62"/>
        <v>7.8705174508294284E-2</v>
      </c>
    </row>
    <row r="42" spans="2:33" x14ac:dyDescent="0.2">
      <c r="B42" t="s">
        <v>148</v>
      </c>
      <c r="C42" s="29"/>
      <c r="D42" s="29"/>
      <c r="E42" s="29"/>
      <c r="F42" s="29"/>
      <c r="G42" s="29">
        <f t="shared" si="60"/>
        <v>0.12535998644756896</v>
      </c>
      <c r="H42" s="29">
        <f t="shared" si="60"/>
        <v>0.15547139724935222</v>
      </c>
      <c r="I42" s="29">
        <f t="shared" si="60"/>
        <v>0.11772853185595578</v>
      </c>
      <c r="J42" s="29">
        <f t="shared" si="60"/>
        <v>2.1830334921425054E-2</v>
      </c>
      <c r="K42" s="29">
        <f t="shared" si="60"/>
        <v>9.7847358121327943E-4</v>
      </c>
      <c r="L42" s="29">
        <f t="shared" si="60"/>
        <v>-0.1823931918808579</v>
      </c>
      <c r="M42" s="29">
        <f t="shared" si="60"/>
        <v>-0.11207903070356606</v>
      </c>
      <c r="N42" s="29">
        <f t="shared" si="60"/>
        <v>-8.0041753653444681E-2</v>
      </c>
      <c r="O42" s="29">
        <f t="shared" si="60"/>
        <v>-3.6476426799007422E-2</v>
      </c>
      <c r="P42" s="29"/>
      <c r="Q42" s="29"/>
      <c r="R42" s="29"/>
      <c r="S42" s="29">
        <f t="shared" ref="S42:AG42" si="63">S15/R15-1</f>
        <v>7.9434810533076439E-2</v>
      </c>
      <c r="T42" s="29">
        <f t="shared" si="63"/>
        <v>8.2990218244995972E-2</v>
      </c>
      <c r="U42" s="29">
        <f t="shared" si="63"/>
        <v>5.6302742616033852E-2</v>
      </c>
      <c r="V42" s="29">
        <f t="shared" si="63"/>
        <v>0.12170765197852962</v>
      </c>
      <c r="W42" s="29">
        <f t="shared" si="63"/>
        <v>0.10492247199347138</v>
      </c>
      <c r="X42" s="29">
        <f t="shared" si="63"/>
        <v>-9.9663605996004989E-2</v>
      </c>
      <c r="Y42" s="29">
        <f t="shared" si="63"/>
        <v>-3.0867104658199862E-3</v>
      </c>
      <c r="Z42" s="29">
        <f t="shared" si="63"/>
        <v>2.8167079027335395E-2</v>
      </c>
      <c r="AA42" s="29">
        <f t="shared" si="63"/>
        <v>4.9885756894618494E-2</v>
      </c>
      <c r="AB42" s="29">
        <f t="shared" si="63"/>
        <v>5.7297206360814812E-2</v>
      </c>
      <c r="AC42" s="29">
        <f t="shared" si="63"/>
        <v>6.5550037189576305E-2</v>
      </c>
      <c r="AD42" s="29">
        <f t="shared" si="63"/>
        <v>7.4648016100477665E-2</v>
      </c>
      <c r="AE42" s="29">
        <f t="shared" si="63"/>
        <v>8.1120541365260035E-2</v>
      </c>
      <c r="AF42" s="29">
        <f t="shared" si="63"/>
        <v>8.9661734751406374E-2</v>
      </c>
      <c r="AG42" s="29">
        <f t="shared" si="63"/>
        <v>9.5032461552717828E-2</v>
      </c>
    </row>
    <row r="44" spans="2:33" x14ac:dyDescent="0.2">
      <c r="B44" s="36" t="s">
        <v>128</v>
      </c>
      <c r="C44" s="36">
        <f t="shared" ref="C44:L44" si="64">C19/C17</f>
        <v>0.70388114334930285</v>
      </c>
      <c r="D44" s="36">
        <f t="shared" si="64"/>
        <v>0.67048936762930633</v>
      </c>
      <c r="E44" s="36">
        <f t="shared" si="64"/>
        <v>0.68721526878626582</v>
      </c>
      <c r="F44" s="36">
        <f t="shared" si="64"/>
        <v>0.69684954064829263</v>
      </c>
      <c r="G44" s="36">
        <f t="shared" si="64"/>
        <v>0.6988768012004325</v>
      </c>
      <c r="H44" s="36">
        <f t="shared" si="64"/>
        <v>0.67213114754098358</v>
      </c>
      <c r="I44" s="36">
        <f t="shared" si="64"/>
        <v>0.68365072933549431</v>
      </c>
      <c r="J44" s="36">
        <f t="shared" si="64"/>
        <v>0.68318034557235419</v>
      </c>
      <c r="K44" s="36">
        <f t="shared" si="64"/>
        <v>0.69171222217788597</v>
      </c>
      <c r="L44" s="36">
        <f t="shared" si="64"/>
        <v>0.66845507801391546</v>
      </c>
      <c r="M44" s="150">
        <v>0.66</v>
      </c>
      <c r="N44" s="150">
        <v>0.67</v>
      </c>
      <c r="O44" s="150">
        <v>0.68</v>
      </c>
      <c r="P44" s="36"/>
      <c r="Q44" s="36"/>
      <c r="R44" s="36">
        <f t="shared" ref="R44:X44" si="65">R19/R17</f>
        <v>0.64522475691460168</v>
      </c>
      <c r="S44" s="36">
        <f t="shared" si="65"/>
        <v>0.65247372236317502</v>
      </c>
      <c r="T44" s="36">
        <f t="shared" si="65"/>
        <v>0.65901957200638894</v>
      </c>
      <c r="U44" s="36">
        <f t="shared" si="65"/>
        <v>0.67781001992797962</v>
      </c>
      <c r="V44" s="36">
        <f t="shared" si="65"/>
        <v>0.68925800771024703</v>
      </c>
      <c r="W44" s="36">
        <f t="shared" si="65"/>
        <v>0.68401674484289099</v>
      </c>
      <c r="X44" s="36">
        <f t="shared" si="65"/>
        <v>0.67224441481081143</v>
      </c>
      <c r="Y44" s="36">
        <f>X44*1.005</f>
        <v>0.67560563688486541</v>
      </c>
      <c r="Z44" s="36">
        <f t="shared" ref="Z44:AG44" si="66">Y44*1.005</f>
        <v>0.67898366506928964</v>
      </c>
      <c r="AA44" s="36">
        <f t="shared" si="66"/>
        <v>0.68237858339463597</v>
      </c>
      <c r="AB44" s="36">
        <f t="shared" si="66"/>
        <v>0.68579047631160905</v>
      </c>
      <c r="AC44" s="36">
        <f t="shared" si="66"/>
        <v>0.68921942869316699</v>
      </c>
      <c r="AD44" s="36">
        <f t="shared" si="66"/>
        <v>0.69266552583663277</v>
      </c>
      <c r="AE44" s="36">
        <f t="shared" si="66"/>
        <v>0.69612885346581588</v>
      </c>
      <c r="AF44" s="36">
        <f t="shared" si="66"/>
        <v>0.69960949773314485</v>
      </c>
      <c r="AG44" s="36">
        <f t="shared" si="66"/>
        <v>0.70310754522181051</v>
      </c>
    </row>
    <row r="45" spans="2:33" x14ac:dyDescent="0.2">
      <c r="B45" s="29" t="s">
        <v>129</v>
      </c>
      <c r="C45" s="29">
        <f t="shared" ref="C45:L45" si="67">C20/C17</f>
        <v>0.13258330193249718</v>
      </c>
      <c r="D45" s="29">
        <f t="shared" si="67"/>
        <v>0.11372922276905933</v>
      </c>
      <c r="E45" s="29">
        <f t="shared" si="67"/>
        <v>0.12477820937035439</v>
      </c>
      <c r="F45" s="29">
        <f t="shared" si="67"/>
        <v>0.12322326226382388</v>
      </c>
      <c r="G45" s="29">
        <f t="shared" si="67"/>
        <v>0.12355186795242404</v>
      </c>
      <c r="H45" s="29">
        <f t="shared" si="67"/>
        <v>0.11131302196102691</v>
      </c>
      <c r="I45" s="29">
        <f t="shared" si="67"/>
        <v>0.12775526742301457</v>
      </c>
      <c r="J45" s="29">
        <f t="shared" si="67"/>
        <v>0.13207729095958037</v>
      </c>
      <c r="K45" s="29">
        <f t="shared" si="67"/>
        <v>0.13223734088823272</v>
      </c>
      <c r="L45" s="29">
        <f t="shared" si="67"/>
        <v>0.1297514550590555</v>
      </c>
      <c r="M45" s="150">
        <f>AVERAGE(J45:L45)</f>
        <v>0.13135536230228953</v>
      </c>
      <c r="N45" s="150">
        <f t="shared" ref="N45:O45" si="68">AVERAGE(K45:M45)</f>
        <v>0.13111471941652589</v>
      </c>
      <c r="O45" s="150">
        <f t="shared" si="68"/>
        <v>0.13074051225929029</v>
      </c>
      <c r="P45" s="29"/>
      <c r="Q45" s="29"/>
      <c r="R45" s="29">
        <f t="shared" ref="R45:X45" si="69">R20/R17</f>
        <v>0.13499911981857907</v>
      </c>
      <c r="S45" s="29">
        <f t="shared" si="69"/>
        <v>0.13343602754621239</v>
      </c>
      <c r="T45" s="29">
        <f t="shared" si="69"/>
        <v>0.13410360528595155</v>
      </c>
      <c r="U45" s="29">
        <f t="shared" si="69"/>
        <v>0.1347341187987274</v>
      </c>
      <c r="V45" s="29">
        <f t="shared" si="69"/>
        <v>0.12324496692208843</v>
      </c>
      <c r="W45" s="29">
        <f t="shared" si="69"/>
        <v>0.12362939426035205</v>
      </c>
      <c r="X45" s="29">
        <f t="shared" si="69"/>
        <v>0.13110106531716242</v>
      </c>
      <c r="Y45" s="29">
        <f>X45</f>
        <v>0.13110106531716242</v>
      </c>
      <c r="Z45" s="29">
        <f t="shared" ref="Z45:AG47" si="70">Y45</f>
        <v>0.13110106531716242</v>
      </c>
      <c r="AA45" s="29">
        <f t="shared" si="70"/>
        <v>0.13110106531716242</v>
      </c>
      <c r="AB45" s="29">
        <f t="shared" si="70"/>
        <v>0.13110106531716242</v>
      </c>
      <c r="AC45" s="29">
        <f t="shared" si="70"/>
        <v>0.13110106531716242</v>
      </c>
      <c r="AD45" s="29">
        <f t="shared" si="70"/>
        <v>0.13110106531716242</v>
      </c>
      <c r="AE45" s="29">
        <f t="shared" si="70"/>
        <v>0.13110106531716242</v>
      </c>
      <c r="AF45" s="29">
        <f t="shared" si="70"/>
        <v>0.13110106531716242</v>
      </c>
      <c r="AG45" s="29">
        <f t="shared" si="70"/>
        <v>0.13110106531716242</v>
      </c>
    </row>
    <row r="46" spans="2:33" x14ac:dyDescent="0.2">
      <c r="B46" s="29" t="s">
        <v>130</v>
      </c>
      <c r="C46" s="29">
        <f t="shared" ref="C46:L46" si="71">C21/C17</f>
        <v>0.11387737524896377</v>
      </c>
      <c r="D46" s="29">
        <f t="shared" si="71"/>
        <v>0.11484353236140775</v>
      </c>
      <c r="E46" s="29">
        <f t="shared" si="71"/>
        <v>0.12185297079556898</v>
      </c>
      <c r="F46" s="29">
        <f t="shared" si="71"/>
        <v>0.12690674293638413</v>
      </c>
      <c r="G46" s="29">
        <f t="shared" si="71"/>
        <v>0.100337621643092</v>
      </c>
      <c r="H46" s="29">
        <f t="shared" si="71"/>
        <v>0.10398623569440149</v>
      </c>
      <c r="I46" s="29">
        <f t="shared" si="71"/>
        <v>0.11335089141004863</v>
      </c>
      <c r="J46" s="29">
        <f t="shared" si="71"/>
        <v>0.12156741746374576</v>
      </c>
      <c r="K46" s="29">
        <f t="shared" si="71"/>
        <v>0.10227046007741111</v>
      </c>
      <c r="L46" s="29">
        <f t="shared" si="71"/>
        <v>0.10766489089426887</v>
      </c>
      <c r="M46" s="150">
        <v>0.113</v>
      </c>
      <c r="N46" s="150">
        <f t="shared" ref="N46:O46" si="72">AVERAGE(K46:M46)</f>
        <v>0.10764511699055999</v>
      </c>
      <c r="O46" s="150">
        <f t="shared" si="72"/>
        <v>0.10943666929494296</v>
      </c>
      <c r="P46" s="29"/>
      <c r="Q46" s="29"/>
      <c r="R46" s="29">
        <f t="shared" ref="R46:X46" si="73">R21/R17</f>
        <v>0.16009982292820826</v>
      </c>
      <c r="S46" s="29">
        <f t="shared" si="73"/>
        <v>0.15829104748097136</v>
      </c>
      <c r="T46" s="29">
        <f t="shared" si="73"/>
        <v>0.14472795467368069</v>
      </c>
      <c r="U46" s="29">
        <f t="shared" si="73"/>
        <v>0.13703457679264414</v>
      </c>
      <c r="V46" s="29">
        <f t="shared" si="73"/>
        <v>0.1196813573842273</v>
      </c>
      <c r="W46" s="29">
        <f t="shared" si="73"/>
        <v>0.11007716749886519</v>
      </c>
      <c r="X46" s="29">
        <f t="shared" si="73"/>
        <v>0.10771576238390485</v>
      </c>
      <c r="Y46" s="29">
        <f>X46</f>
        <v>0.10771576238390485</v>
      </c>
      <c r="Z46" s="29">
        <f t="shared" si="70"/>
        <v>0.10771576238390485</v>
      </c>
      <c r="AA46" s="29">
        <f t="shared" si="70"/>
        <v>0.10771576238390485</v>
      </c>
      <c r="AB46" s="29">
        <f t="shared" si="70"/>
        <v>0.10771576238390485</v>
      </c>
      <c r="AC46" s="29">
        <f t="shared" si="70"/>
        <v>0.10771576238390485</v>
      </c>
      <c r="AD46" s="29">
        <f t="shared" si="70"/>
        <v>0.10771576238390485</v>
      </c>
      <c r="AE46" s="29">
        <f t="shared" si="70"/>
        <v>0.10771576238390485</v>
      </c>
      <c r="AF46" s="29">
        <f t="shared" si="70"/>
        <v>0.10771576238390485</v>
      </c>
      <c r="AG46" s="29">
        <f t="shared" si="70"/>
        <v>0.10771576238390485</v>
      </c>
    </row>
    <row r="47" spans="2:33" x14ac:dyDescent="0.2">
      <c r="B47" s="29" t="s">
        <v>131</v>
      </c>
      <c r="C47" s="29">
        <f t="shared" ref="C47:L47" si="74">C22/C17</f>
        <v>3.0117887710609893E-2</v>
      </c>
      <c r="D47" s="29">
        <f t="shared" si="74"/>
        <v>2.6441638035100752E-2</v>
      </c>
      <c r="E47" s="29">
        <f t="shared" si="74"/>
        <v>3.1817963842133028E-2</v>
      </c>
      <c r="F47" s="29">
        <f t="shared" si="74"/>
        <v>3.2977985786098112E-2</v>
      </c>
      <c r="G47" s="29">
        <f t="shared" si="74"/>
        <v>2.8399938213032636E-2</v>
      </c>
      <c r="H47" s="29">
        <f t="shared" si="74"/>
        <v>2.6755335601608414E-2</v>
      </c>
      <c r="I47" s="29">
        <f t="shared" si="74"/>
        <v>2.9983792544570502E-2</v>
      </c>
      <c r="J47" s="29">
        <f t="shared" si="74"/>
        <v>3.3728016044430729E-2</v>
      </c>
      <c r="K47" s="29">
        <f t="shared" si="74"/>
        <v>2.789194365747576E-2</v>
      </c>
      <c r="L47" s="31">
        <f t="shared" si="74"/>
        <v>4.4305837298803726E-2</v>
      </c>
      <c r="M47" s="150">
        <v>3.6999999999999998E-2</v>
      </c>
      <c r="N47" s="150">
        <f t="shared" ref="N47:O47" si="75">AVERAGE(K47:M47)</f>
        <v>3.6399260318759834E-2</v>
      </c>
      <c r="O47" s="150">
        <f t="shared" si="75"/>
        <v>3.9235032539187857E-2</v>
      </c>
      <c r="P47" s="29"/>
      <c r="Q47" s="29"/>
      <c r="R47" s="29">
        <f t="shared" ref="R47:X47" si="76">R22/R17</f>
        <v>4.6401093495977055E-2</v>
      </c>
      <c r="S47" s="29">
        <f t="shared" si="76"/>
        <v>4.3077201884740846E-2</v>
      </c>
      <c r="T47" s="29">
        <f t="shared" si="76"/>
        <v>3.8818209991815199E-2</v>
      </c>
      <c r="U47" s="29">
        <f t="shared" si="76"/>
        <v>3.5737510051393209E-2</v>
      </c>
      <c r="V47" s="29">
        <f t="shared" si="76"/>
        <v>3.0382894674218265E-2</v>
      </c>
      <c r="W47" s="29">
        <f t="shared" si="76"/>
        <v>2.9757401523175468E-2</v>
      </c>
      <c r="X47" s="29">
        <f t="shared" si="76"/>
        <v>3.6504697570574798E-2</v>
      </c>
      <c r="Y47" s="29">
        <f>X47</f>
        <v>3.6504697570574798E-2</v>
      </c>
      <c r="Z47" s="29">
        <f t="shared" si="70"/>
        <v>3.6504697570574798E-2</v>
      </c>
      <c r="AA47" s="29">
        <f t="shared" si="70"/>
        <v>3.6504697570574798E-2</v>
      </c>
      <c r="AB47" s="29">
        <f t="shared" si="70"/>
        <v>3.6504697570574798E-2</v>
      </c>
      <c r="AC47" s="29">
        <f t="shared" si="70"/>
        <v>3.6504697570574798E-2</v>
      </c>
      <c r="AD47" s="29">
        <f t="shared" si="70"/>
        <v>3.6504697570574798E-2</v>
      </c>
      <c r="AE47" s="29">
        <f t="shared" si="70"/>
        <v>3.6504697570574798E-2</v>
      </c>
      <c r="AF47" s="29">
        <f t="shared" si="70"/>
        <v>3.6504697570574798E-2</v>
      </c>
      <c r="AG47" s="29">
        <f t="shared" si="70"/>
        <v>3.6504697570574798E-2</v>
      </c>
    </row>
    <row r="48" spans="2:33" x14ac:dyDescent="0.2">
      <c r="B48" s="35" t="s">
        <v>88</v>
      </c>
      <c r="C48" s="35">
        <f t="shared" ref="C48:O48" si="77">C23/C17</f>
        <v>0.42730257845723207</v>
      </c>
      <c r="D48" s="35">
        <f t="shared" si="77"/>
        <v>0.41547497446373849</v>
      </c>
      <c r="E48" s="35">
        <f t="shared" si="77"/>
        <v>0.40876612477820939</v>
      </c>
      <c r="F48" s="35">
        <f t="shared" si="77"/>
        <v>0.41374154966198645</v>
      </c>
      <c r="G48" s="35">
        <f t="shared" si="77"/>
        <v>0.44658737339188381</v>
      </c>
      <c r="H48" s="35">
        <f t="shared" si="77"/>
        <v>0.43007655428394681</v>
      </c>
      <c r="I48" s="35">
        <f t="shared" si="77"/>
        <v>0.41256077795786061</v>
      </c>
      <c r="J48" s="35">
        <f t="shared" si="77"/>
        <v>0.39580762110459733</v>
      </c>
      <c r="K48" s="35">
        <f t="shared" si="77"/>
        <v>0.42931247755476637</v>
      </c>
      <c r="L48" s="35">
        <f t="shared" si="77"/>
        <v>0.3867328947617874</v>
      </c>
      <c r="M48" s="35">
        <f t="shared" si="77"/>
        <v>0.37864463769771056</v>
      </c>
      <c r="N48" s="35">
        <f t="shared" si="77"/>
        <v>0.39484090327415428</v>
      </c>
      <c r="O48" s="35">
        <f t="shared" si="77"/>
        <v>0.40058778590657895</v>
      </c>
      <c r="P48" s="35"/>
      <c r="Q48" s="35"/>
      <c r="R48" s="35">
        <f t="shared" ref="R48:AG48" si="78">R23/R17</f>
        <v>0.30372472067183731</v>
      </c>
      <c r="S48" s="35">
        <f t="shared" si="78"/>
        <v>0.31766944545125048</v>
      </c>
      <c r="T48" s="35">
        <f t="shared" si="78"/>
        <v>0.3413698020549415</v>
      </c>
      <c r="U48" s="35">
        <f t="shared" si="78"/>
        <v>0.37030381428521486</v>
      </c>
      <c r="V48" s="35">
        <f t="shared" si="78"/>
        <v>0.41594878872971303</v>
      </c>
      <c r="W48" s="35">
        <f t="shared" si="78"/>
        <v>0.4205527815604983</v>
      </c>
      <c r="X48" s="35">
        <f t="shared" si="78"/>
        <v>0.39692288953916938</v>
      </c>
      <c r="Y48" s="35">
        <f t="shared" si="78"/>
        <v>0.40028411161322336</v>
      </c>
      <c r="Z48" s="35">
        <f t="shared" si="78"/>
        <v>0.40366213979764759</v>
      </c>
      <c r="AA48" s="35">
        <f t="shared" si="78"/>
        <v>0.40705705812299381</v>
      </c>
      <c r="AB48" s="35">
        <f t="shared" si="78"/>
        <v>0.41046895103996694</v>
      </c>
      <c r="AC48" s="35">
        <f t="shared" si="78"/>
        <v>0.41389790342152494</v>
      </c>
      <c r="AD48" s="35">
        <f t="shared" si="78"/>
        <v>0.41734400056499066</v>
      </c>
      <c r="AE48" s="35">
        <f t="shared" si="78"/>
        <v>0.42080732819417382</v>
      </c>
      <c r="AF48" s="35">
        <f t="shared" si="78"/>
        <v>0.42428797246150274</v>
      </c>
      <c r="AG48" s="35">
        <f t="shared" si="78"/>
        <v>0.42778601995016846</v>
      </c>
    </row>
    <row r="49" spans="2:33" x14ac:dyDescent="0.2">
      <c r="B49" s="36" t="s">
        <v>132</v>
      </c>
      <c r="C49" s="36">
        <f t="shared" ref="C49:L49" si="79">C26/C25</f>
        <v>0.13836516993301909</v>
      </c>
      <c r="D49" s="36">
        <f t="shared" si="79"/>
        <v>0.15673228990565524</v>
      </c>
      <c r="E49" s="36">
        <f t="shared" si="79"/>
        <v>0.10321420283128337</v>
      </c>
      <c r="F49" s="36">
        <f t="shared" si="79"/>
        <v>0.15186807523834064</v>
      </c>
      <c r="G49" s="36">
        <f t="shared" si="79"/>
        <v>9.2574546871954783E-4</v>
      </c>
      <c r="H49" s="36">
        <f t="shared" si="79"/>
        <v>0.16655562958027981</v>
      </c>
      <c r="I49" s="36">
        <f t="shared" si="79"/>
        <v>0.17147102526002972</v>
      </c>
      <c r="J49" s="36">
        <f t="shared" si="79"/>
        <v>0.18297685320832113</v>
      </c>
      <c r="K49" s="36">
        <f t="shared" si="79"/>
        <v>0.18616725384758021</v>
      </c>
      <c r="L49" s="36">
        <f t="shared" si="79"/>
        <v>0.19243817296818919</v>
      </c>
      <c r="M49" s="150">
        <v>0.19500000000000001</v>
      </c>
      <c r="N49" s="150">
        <f t="shared" ref="N49:O49" si="80">M49</f>
        <v>0.19500000000000001</v>
      </c>
      <c r="O49" s="150">
        <f t="shared" si="80"/>
        <v>0.19500000000000001</v>
      </c>
      <c r="P49" s="36"/>
      <c r="Q49" s="36"/>
      <c r="R49" s="36">
        <f t="shared" ref="R49:X49" si="81">R26/R25</f>
        <v>0.14605886052901645</v>
      </c>
      <c r="S49" s="36">
        <f t="shared" si="81"/>
        <v>0.5456763722103416</v>
      </c>
      <c r="T49" s="36">
        <f t="shared" si="81"/>
        <v>0.10181285478850027</v>
      </c>
      <c r="U49" s="36">
        <f t="shared" si="81"/>
        <v>0.16507655177615205</v>
      </c>
      <c r="V49" s="36">
        <f t="shared" si="81"/>
        <v>0.13826615285083402</v>
      </c>
      <c r="W49" s="36">
        <f t="shared" si="81"/>
        <v>0.13113383343685794</v>
      </c>
      <c r="X49" s="36">
        <f t="shared" si="81"/>
        <v>0.19213972462242301</v>
      </c>
      <c r="Y49" s="36">
        <f t="shared" ref="Y49:AG49" si="82">X49</f>
        <v>0.19213972462242301</v>
      </c>
      <c r="Z49" s="36">
        <f t="shared" si="82"/>
        <v>0.19213972462242301</v>
      </c>
      <c r="AA49" s="36">
        <f t="shared" si="82"/>
        <v>0.19213972462242301</v>
      </c>
      <c r="AB49" s="36">
        <f t="shared" si="82"/>
        <v>0.19213972462242301</v>
      </c>
      <c r="AC49" s="36">
        <f t="shared" si="82"/>
        <v>0.19213972462242301</v>
      </c>
      <c r="AD49" s="36">
        <f t="shared" si="82"/>
        <v>0.19213972462242301</v>
      </c>
      <c r="AE49" s="36">
        <f t="shared" si="82"/>
        <v>0.19213972462242301</v>
      </c>
      <c r="AF49" s="36">
        <f t="shared" si="82"/>
        <v>0.19213972462242301</v>
      </c>
      <c r="AG49" s="36">
        <f t="shared" si="82"/>
        <v>0.19213972462242301</v>
      </c>
    </row>
    <row r="50" spans="2:33" x14ac:dyDescent="0.2">
      <c r="B50" s="36"/>
      <c r="C50" s="36"/>
      <c r="D50" s="36"/>
      <c r="E50" s="36"/>
      <c r="F50" s="36"/>
      <c r="G50" s="36"/>
      <c r="H50" s="36"/>
      <c r="I50" s="36"/>
      <c r="J50" s="36"/>
      <c r="K50" s="36"/>
      <c r="L50" s="36"/>
      <c r="M50" s="150"/>
      <c r="N50" s="150"/>
      <c r="O50" s="150"/>
      <c r="P50" s="36"/>
      <c r="Q50" s="36"/>
      <c r="R50" s="36"/>
      <c r="S50" s="36"/>
      <c r="T50" s="36"/>
      <c r="U50" s="36"/>
      <c r="V50" s="36"/>
      <c r="W50" s="36"/>
      <c r="X50" s="36"/>
      <c r="Y50" s="36"/>
      <c r="Z50" s="36"/>
      <c r="AA50" s="36"/>
      <c r="AB50" s="36"/>
      <c r="AC50" s="36"/>
      <c r="AD50" s="36"/>
      <c r="AE50" s="36"/>
      <c r="AF50" s="36"/>
      <c r="AG50" s="36"/>
    </row>
    <row r="51" spans="2:33" x14ac:dyDescent="0.2">
      <c r="B51" s="36" t="s">
        <v>172</v>
      </c>
      <c r="C51" s="36"/>
      <c r="D51" s="36"/>
      <c r="E51" s="36"/>
      <c r="F51" s="36"/>
      <c r="G51" s="36">
        <f>G18/C18-1</f>
        <v>0.24031994182875849</v>
      </c>
      <c r="H51" s="36">
        <f t="shared" ref="H51:O51" si="83">H18/D18-1</f>
        <v>0.19487107228406364</v>
      </c>
      <c r="I51" s="36">
        <f t="shared" si="83"/>
        <v>0.1970103487926409</v>
      </c>
      <c r="J51" s="36">
        <f t="shared" si="83"/>
        <v>0.17425487813594454</v>
      </c>
      <c r="K51" s="36">
        <f t="shared" si="83"/>
        <v>0.13234647515755538</v>
      </c>
      <c r="L51" s="36">
        <f t="shared" si="83"/>
        <v>3.1132075471698162E-2</v>
      </c>
      <c r="M51" s="36">
        <f t="shared" si="83"/>
        <v>0.15226577009285935</v>
      </c>
      <c r="N51" s="36">
        <f t="shared" si="83"/>
        <v>0.14483124353277721</v>
      </c>
      <c r="O51" s="36">
        <f t="shared" si="83"/>
        <v>0.17173243593062359</v>
      </c>
      <c r="P51" s="36"/>
      <c r="Q51" s="36"/>
      <c r="R51" s="36"/>
      <c r="S51" s="36">
        <f>S18/R18-1</f>
        <v>0.11943609351741036</v>
      </c>
      <c r="T51" s="36">
        <f t="shared" ref="T51:X51" si="84">T18/S18-1</f>
        <v>0.11881730242745037</v>
      </c>
      <c r="U51" s="36">
        <f t="shared" si="84"/>
        <v>7.3828944302027466E-2</v>
      </c>
      <c r="V51" s="36">
        <f t="shared" si="84"/>
        <v>0.13355614392985804</v>
      </c>
      <c r="W51" s="36">
        <f t="shared" si="84"/>
        <v>0.19945627201715421</v>
      </c>
      <c r="X51" s="36">
        <f t="shared" si="84"/>
        <v>0.11318535514764561</v>
      </c>
      <c r="Y51" s="36"/>
      <c r="Z51" s="36"/>
      <c r="AA51" s="36"/>
      <c r="AB51" s="36"/>
      <c r="AC51" s="36"/>
      <c r="AD51" s="36"/>
      <c r="AE51" s="36"/>
      <c r="AF51" s="36"/>
      <c r="AG51" s="36"/>
    </row>
    <row r="52" spans="2:33" x14ac:dyDescent="0.2">
      <c r="B52" s="36" t="s">
        <v>168</v>
      </c>
      <c r="C52" s="36"/>
      <c r="D52" s="36"/>
      <c r="E52" s="36"/>
      <c r="F52" s="36"/>
      <c r="G52" s="36">
        <f t="shared" ref="G52:O52" si="85">G20/C20-1</f>
        <v>0.13662200568412497</v>
      </c>
      <c r="H52" s="36">
        <f t="shared" si="85"/>
        <v>0.17534190651153292</v>
      </c>
      <c r="I52" s="36">
        <f t="shared" si="85"/>
        <v>0.21176018447348199</v>
      </c>
      <c r="J52" s="36">
        <f t="shared" si="85"/>
        <v>0.20432565500263755</v>
      </c>
      <c r="K52" s="36">
        <f t="shared" si="85"/>
        <v>0.18378281836042154</v>
      </c>
      <c r="L52" s="36">
        <f t="shared" si="85"/>
        <v>0.18860715526224392</v>
      </c>
      <c r="M52" s="36">
        <f t="shared" si="85"/>
        <v>0.10232478518173349</v>
      </c>
      <c r="N52" s="36">
        <f t="shared" si="85"/>
        <v>9.1095957340450617E-2</v>
      </c>
      <c r="O52" s="36">
        <f t="shared" si="85"/>
        <v>0.11606851325377354</v>
      </c>
      <c r="P52" s="36"/>
      <c r="Q52" s="36"/>
      <c r="R52" s="36"/>
      <c r="S52" s="36">
        <f>S20/R20-1</f>
        <v>0.12955434532484467</v>
      </c>
      <c r="T52" s="36">
        <f t="shared" ref="T52:AG52" si="86">T20/S20-1</f>
        <v>0.14600027162841234</v>
      </c>
      <c r="U52" s="36">
        <f t="shared" si="86"/>
        <v>0.14179900450343674</v>
      </c>
      <c r="V52" s="36">
        <f t="shared" si="86"/>
        <v>7.5094711713114437E-2</v>
      </c>
      <c r="W52" s="36">
        <f t="shared" si="86"/>
        <v>0.1832400077234988</v>
      </c>
      <c r="X52" s="36">
        <f t="shared" si="86"/>
        <v>0.13806202297571635</v>
      </c>
      <c r="Y52" s="36">
        <f t="shared" si="86"/>
        <v>8.4704058370499435E-2</v>
      </c>
      <c r="Z52" s="36">
        <f t="shared" si="86"/>
        <v>0.11195003321292551</v>
      </c>
      <c r="AA52" s="36">
        <f t="shared" si="86"/>
        <v>0.10123415875492126</v>
      </c>
      <c r="AB52" s="36">
        <f t="shared" si="86"/>
        <v>9.4031957285901635E-2</v>
      </c>
      <c r="AC52" s="36">
        <f t="shared" si="86"/>
        <v>9.4943803055997256E-2</v>
      </c>
      <c r="AD52" s="36">
        <f t="shared" si="86"/>
        <v>9.035652562807317E-2</v>
      </c>
      <c r="AE52" s="36">
        <f t="shared" si="86"/>
        <v>8.5076799190059171E-2</v>
      </c>
      <c r="AF52" s="36">
        <f t="shared" si="86"/>
        <v>8.2475993103411582E-2</v>
      </c>
      <c r="AG52" s="36">
        <f t="shared" si="86"/>
        <v>7.8722023664656637E-2</v>
      </c>
    </row>
    <row r="53" spans="2:33" x14ac:dyDescent="0.2">
      <c r="B53" s="36" t="s">
        <v>169</v>
      </c>
      <c r="C53" s="36"/>
      <c r="D53" s="36"/>
      <c r="E53" s="36"/>
      <c r="F53" s="36"/>
      <c r="G53" s="36">
        <f t="shared" ref="G53:G54" si="87">G21/C21-1</f>
        <v>7.4686835263531037E-2</v>
      </c>
      <c r="H53" s="36">
        <f t="shared" ref="H53:O54" si="88">H21/D21-1</f>
        <v>8.7325651910248547E-2</v>
      </c>
      <c r="I53" s="36">
        <f t="shared" si="88"/>
        <v>0.10094451003541915</v>
      </c>
      <c r="J53" s="36">
        <f t="shared" si="88"/>
        <v>7.6318934608161193E-2</v>
      </c>
      <c r="K53" s="36">
        <f t="shared" si="88"/>
        <v>0.12733670552012311</v>
      </c>
      <c r="L53" s="36">
        <f t="shared" si="88"/>
        <v>5.577244841048512E-2</v>
      </c>
      <c r="M53" s="36">
        <f t="shared" si="88"/>
        <v>6.879419124218078E-2</v>
      </c>
      <c r="N53" s="36">
        <f t="shared" si="88"/>
        <v>-2.6767075800092965E-2</v>
      </c>
      <c r="O53" s="36">
        <f t="shared" si="88"/>
        <v>0.20794577288489102</v>
      </c>
      <c r="P53" s="36"/>
      <c r="Q53" s="36"/>
      <c r="R53" s="36"/>
      <c r="S53" s="36">
        <f t="shared" ref="S53:AG54" si="89">S21/R21-1</f>
        <v>0.12987516978203217</v>
      </c>
      <c r="T53" s="36">
        <f t="shared" si="89"/>
        <v>4.2589730379529511E-2</v>
      </c>
      <c r="U53" s="36">
        <f t="shared" si="89"/>
        <v>7.604458353923027E-2</v>
      </c>
      <c r="V53" s="36">
        <f t="shared" si="89"/>
        <v>2.6482294111644045E-2</v>
      </c>
      <c r="W53" s="36">
        <f t="shared" si="89"/>
        <v>8.4903315603718221E-2</v>
      </c>
      <c r="X53" s="36">
        <f t="shared" si="89"/>
        <v>5.0179328941865498E-2</v>
      </c>
      <c r="Y53" s="36">
        <f t="shared" si="89"/>
        <v>8.4704058370499213E-2</v>
      </c>
      <c r="Z53" s="36">
        <f t="shared" si="89"/>
        <v>0.11195003321292551</v>
      </c>
      <c r="AA53" s="36">
        <f t="shared" si="89"/>
        <v>0.10123415875492126</v>
      </c>
      <c r="AB53" s="36">
        <f t="shared" si="89"/>
        <v>9.4031957285901857E-2</v>
      </c>
      <c r="AC53" s="36">
        <f t="shared" si="89"/>
        <v>9.4943803055997478E-2</v>
      </c>
      <c r="AD53" s="36">
        <f t="shared" si="89"/>
        <v>9.035652562807317E-2</v>
      </c>
      <c r="AE53" s="36">
        <f t="shared" si="89"/>
        <v>8.5076799190059171E-2</v>
      </c>
      <c r="AF53" s="36">
        <f t="shared" si="89"/>
        <v>8.247599310341136E-2</v>
      </c>
      <c r="AG53" s="36">
        <f t="shared" si="89"/>
        <v>7.8722023664656637E-2</v>
      </c>
    </row>
    <row r="54" spans="2:33" x14ac:dyDescent="0.2">
      <c r="B54" s="36" t="s">
        <v>170</v>
      </c>
      <c r="C54" s="36"/>
      <c r="D54" s="36"/>
      <c r="E54" s="36"/>
      <c r="F54" s="36"/>
      <c r="G54" s="36">
        <f t="shared" si="87"/>
        <v>0.15013404825737275</v>
      </c>
      <c r="H54" s="36">
        <f t="shared" si="88"/>
        <v>0.21510096575943805</v>
      </c>
      <c r="I54" s="36">
        <f t="shared" si="88"/>
        <v>0.1152976639035419</v>
      </c>
      <c r="J54" s="36">
        <f t="shared" si="88"/>
        <v>0.14914586070959257</v>
      </c>
      <c r="K54" s="36">
        <f t="shared" si="88"/>
        <v>8.6247086247086324E-2</v>
      </c>
      <c r="L54" s="36">
        <f t="shared" si="88"/>
        <v>0.68858381502890165</v>
      </c>
      <c r="M54" s="36">
        <f t="shared" si="88"/>
        <v>0.32298749999999998</v>
      </c>
      <c r="N54" s="36">
        <f t="shared" si="88"/>
        <v>0.18615491234007764</v>
      </c>
      <c r="O54" s="36">
        <f t="shared" si="88"/>
        <v>0.587925120256241</v>
      </c>
      <c r="P54" s="36"/>
      <c r="Q54" s="36"/>
      <c r="R54" s="36"/>
      <c r="S54" s="36">
        <f t="shared" si="89"/>
        <v>6.0923900914974238E-2</v>
      </c>
      <c r="T54" s="36">
        <f t="shared" si="89"/>
        <v>2.7555742532604066E-2</v>
      </c>
      <c r="U54" s="36">
        <f t="shared" si="89"/>
        <v>4.6264073694984642E-2</v>
      </c>
      <c r="V54" s="36">
        <f t="shared" si="89"/>
        <v>-7.8262570925458075E-4</v>
      </c>
      <c r="W54" s="36">
        <f t="shared" si="89"/>
        <v>0.15527707068729191</v>
      </c>
      <c r="X54" s="36">
        <f t="shared" si="89"/>
        <v>0.31654346469199934</v>
      </c>
      <c r="Y54" s="36">
        <f t="shared" si="89"/>
        <v>8.4704058370499213E-2</v>
      </c>
      <c r="Z54" s="36">
        <f t="shared" si="89"/>
        <v>0.11195003321292551</v>
      </c>
      <c r="AA54" s="36">
        <f t="shared" si="89"/>
        <v>0.10123415875492103</v>
      </c>
      <c r="AB54" s="36">
        <f t="shared" si="89"/>
        <v>9.4031957285901857E-2</v>
      </c>
      <c r="AC54" s="36">
        <f t="shared" si="89"/>
        <v>9.4943803055997478E-2</v>
      </c>
      <c r="AD54" s="36">
        <f t="shared" si="89"/>
        <v>9.0356525628072948E-2</v>
      </c>
      <c r="AE54" s="36">
        <f t="shared" si="89"/>
        <v>8.5076799190059393E-2</v>
      </c>
      <c r="AF54" s="36">
        <f t="shared" si="89"/>
        <v>8.247599310341136E-2</v>
      </c>
      <c r="AG54" s="36">
        <f t="shared" si="89"/>
        <v>7.8722023664656859E-2</v>
      </c>
    </row>
    <row r="55" spans="2:33" s="40" customFormat="1" x14ac:dyDescent="0.2">
      <c r="B55" s="35" t="s">
        <v>171</v>
      </c>
      <c r="C55" s="35"/>
      <c r="D55" s="35"/>
      <c r="E55" s="35"/>
      <c r="F55" s="35"/>
      <c r="G55" s="35">
        <f>SUM(G20:G22)/SUM(C20:C22)-1</f>
        <v>0.11259244842351102</v>
      </c>
      <c r="H55" s="35">
        <f t="shared" ref="H55:O55" si="90">SUM(H20:H22)/SUM(D20:D22)-1</f>
        <v>0.13982703686845688</v>
      </c>
      <c r="I55" s="35">
        <f t="shared" si="90"/>
        <v>0.15224317575131319</v>
      </c>
      <c r="J55" s="35">
        <f t="shared" si="90"/>
        <v>0.14051737333537417</v>
      </c>
      <c r="K55" s="35">
        <f t="shared" si="90"/>
        <v>0.15035423773287859</v>
      </c>
      <c r="L55" s="35">
        <f t="shared" si="90"/>
        <v>0.18680616564172192</v>
      </c>
      <c r="M55" s="152">
        <f t="shared" si="90"/>
        <v>0.112710940539273</v>
      </c>
      <c r="N55" s="35">
        <f t="shared" si="90"/>
        <v>5.2393068558834743E-2</v>
      </c>
      <c r="O55" s="35">
        <f t="shared" si="90"/>
        <v>0.2020340218804888</v>
      </c>
      <c r="P55" s="35"/>
      <c r="Q55" s="35"/>
      <c r="R55" s="35"/>
      <c r="S55" s="35">
        <f>SUM(S20:S22)/SUM(R20:R22)-1</f>
        <v>0.12037963552563746</v>
      </c>
      <c r="T55" s="35">
        <f t="shared" ref="T55:AG55" si="91">SUM(T20:T22)/SUM(S20:S22)-1</f>
        <v>8.1869604048824041E-2</v>
      </c>
      <c r="U55" s="35">
        <f t="shared" si="91"/>
        <v>0.10016510731975781</v>
      </c>
      <c r="V55" s="35">
        <f t="shared" si="91"/>
        <v>4.4613215698758424E-2</v>
      </c>
      <c r="W55" s="35">
        <f t="shared" si="91"/>
        <v>0.13707009142359605</v>
      </c>
      <c r="X55" s="35">
        <f t="shared" si="91"/>
        <v>0.12150289264352399</v>
      </c>
      <c r="Y55" s="35">
        <f t="shared" si="91"/>
        <v>8.4704058370499435E-2</v>
      </c>
      <c r="Z55" s="35">
        <f t="shared" si="91"/>
        <v>0.11195003321292551</v>
      </c>
      <c r="AA55" s="35">
        <f t="shared" si="91"/>
        <v>0.10123415875492103</v>
      </c>
      <c r="AB55" s="35">
        <f t="shared" si="91"/>
        <v>9.4031957285902079E-2</v>
      </c>
      <c r="AC55" s="35">
        <f t="shared" si="91"/>
        <v>9.4943803055997256E-2</v>
      </c>
      <c r="AD55" s="35">
        <f t="shared" si="91"/>
        <v>9.035652562807317E-2</v>
      </c>
      <c r="AE55" s="35">
        <f t="shared" si="91"/>
        <v>8.5076799190059171E-2</v>
      </c>
      <c r="AF55" s="35">
        <f t="shared" si="91"/>
        <v>8.247599310341136E-2</v>
      </c>
      <c r="AG55" s="35">
        <f t="shared" si="91"/>
        <v>7.8722023664656637E-2</v>
      </c>
    </row>
    <row r="57" spans="2:33" x14ac:dyDescent="0.2">
      <c r="B57" s="29" t="s">
        <v>89</v>
      </c>
      <c r="M57">
        <v>2.36</v>
      </c>
      <c r="N57">
        <v>2.56</v>
      </c>
      <c r="O57">
        <v>2.65</v>
      </c>
      <c r="X57">
        <v>9.52</v>
      </c>
      <c r="Y57">
        <v>11.19</v>
      </c>
      <c r="Z57">
        <v>13.17</v>
      </c>
      <c r="AA57">
        <v>15.97</v>
      </c>
      <c r="AB57">
        <v>15.97</v>
      </c>
      <c r="AC57">
        <v>17.239999999999998</v>
      </c>
      <c r="AD57">
        <v>19.239999999999998</v>
      </c>
      <c r="AE57">
        <v>21.36</v>
      </c>
      <c r="AF57">
        <v>23.46</v>
      </c>
      <c r="AG57">
        <v>25.63</v>
      </c>
    </row>
    <row r="58" spans="2:33" x14ac:dyDescent="0.2">
      <c r="B58" s="29" t="s">
        <v>90</v>
      </c>
      <c r="M58">
        <v>52.85</v>
      </c>
      <c r="N58">
        <v>56.63</v>
      </c>
      <c r="O58" s="30">
        <v>56</v>
      </c>
      <c r="X58">
        <v>212.57</v>
      </c>
      <c r="Y58">
        <v>242.06</v>
      </c>
      <c r="Z58">
        <v>274.7</v>
      </c>
      <c r="AA58">
        <v>312.23</v>
      </c>
      <c r="AB58">
        <v>332.84</v>
      </c>
      <c r="AC58">
        <v>365.32</v>
      </c>
      <c r="AD58">
        <v>400.76</v>
      </c>
      <c r="AE58">
        <v>436.5</v>
      </c>
      <c r="AF58">
        <v>472.06</v>
      </c>
      <c r="AG58">
        <v>506.77</v>
      </c>
    </row>
    <row r="59" spans="2:33" x14ac:dyDescent="0.2">
      <c r="B59" s="29" t="s">
        <v>119</v>
      </c>
      <c r="M59" s="31" t="e">
        <f>M58/L58-1</f>
        <v>#DIV/0!</v>
      </c>
      <c r="N59" s="31">
        <f t="shared" ref="N59:O59" si="92">N58/M58-1</f>
        <v>7.1523178807947119E-2</v>
      </c>
      <c r="O59" s="31">
        <f t="shared" si="92"/>
        <v>-1.1124845488257207E-2</v>
      </c>
      <c r="Y59" s="31">
        <f>Y58/X58-1</f>
        <v>0.13873077104012799</v>
      </c>
      <c r="Z59" s="31">
        <f t="shared" ref="Z59:AG59" si="93">Z58/Y58-1</f>
        <v>0.13484260100801437</v>
      </c>
      <c r="AA59" s="31">
        <f t="shared" si="93"/>
        <v>0.1366217692027667</v>
      </c>
      <c r="AB59" s="31">
        <f t="shared" si="93"/>
        <v>6.6009031803478058E-2</v>
      </c>
      <c r="AC59" s="31">
        <f t="shared" si="93"/>
        <v>9.7584424948924386E-2</v>
      </c>
      <c r="AD59" s="31">
        <f t="shared" si="93"/>
        <v>9.7010839811672023E-2</v>
      </c>
      <c r="AE59" s="31">
        <f t="shared" si="93"/>
        <v>8.9180556941810485E-2</v>
      </c>
      <c r="AF59" s="31">
        <f t="shared" si="93"/>
        <v>8.1466208476517865E-2</v>
      </c>
      <c r="AG59" s="31">
        <f t="shared" si="93"/>
        <v>7.3528788713299154E-2</v>
      </c>
    </row>
    <row r="60" spans="2:33" x14ac:dyDescent="0.2">
      <c r="X60" s="32" t="s">
        <v>145</v>
      </c>
    </row>
    <row r="61" spans="2:33" x14ac:dyDescent="0.2">
      <c r="B61" s="29" t="s">
        <v>45</v>
      </c>
      <c r="Q61" s="34"/>
      <c r="R61" s="34">
        <v>6100</v>
      </c>
      <c r="S61" s="34">
        <v>7700</v>
      </c>
      <c r="T61" s="34">
        <v>9700</v>
      </c>
      <c r="U61" s="34">
        <v>10700</v>
      </c>
      <c r="V61" s="34">
        <v>9300</v>
      </c>
      <c r="W61" s="34">
        <v>12600</v>
      </c>
      <c r="X61" s="34">
        <v>11984</v>
      </c>
      <c r="Y61" s="30"/>
      <c r="Z61" s="30"/>
      <c r="AA61" s="30"/>
      <c r="AB61" s="30"/>
      <c r="AC61" s="30"/>
      <c r="AD61" s="30"/>
      <c r="AE61" s="30"/>
      <c r="AF61" s="30"/>
      <c r="AG61" s="30"/>
    </row>
    <row r="62" spans="2:33" x14ac:dyDescent="0.2">
      <c r="B62" s="29" t="s">
        <v>47</v>
      </c>
      <c r="Q62" s="34"/>
      <c r="R62" s="34">
        <v>-8129</v>
      </c>
      <c r="S62" s="34">
        <v>-11632</v>
      </c>
      <c r="T62" s="34">
        <v>-13925</v>
      </c>
      <c r="U62" s="34">
        <v>-15441</v>
      </c>
      <c r="V62" s="34">
        <v>-20622</v>
      </c>
      <c r="W62" s="34">
        <v>-23886</v>
      </c>
      <c r="X62" s="34">
        <v>-24359</v>
      </c>
      <c r="Y62" s="34"/>
      <c r="Z62" s="34"/>
      <c r="AA62" s="34"/>
      <c r="AB62" s="34"/>
      <c r="AC62" s="34"/>
      <c r="AD62" s="34"/>
      <c r="AE62" s="34"/>
      <c r="AF62" s="34"/>
      <c r="AG62" s="34"/>
    </row>
    <row r="63" spans="2:33" x14ac:dyDescent="0.2">
      <c r="B63" s="29" t="s">
        <v>48</v>
      </c>
      <c r="Q63" s="34"/>
      <c r="R63" s="34">
        <v>5222</v>
      </c>
      <c r="S63" s="34">
        <v>-2624</v>
      </c>
      <c r="T63" s="34">
        <v>-3435</v>
      </c>
      <c r="U63" s="34">
        <v>-630</v>
      </c>
      <c r="V63" s="34">
        <v>-2700</v>
      </c>
      <c r="W63" s="34">
        <v>-428</v>
      </c>
      <c r="X63" s="34">
        <v>3312</v>
      </c>
      <c r="Y63" s="34"/>
      <c r="Z63" s="34"/>
      <c r="AA63" s="34"/>
      <c r="AB63" s="34"/>
      <c r="AC63" s="34"/>
      <c r="AD63" s="34"/>
      <c r="AE63" s="34"/>
      <c r="AF63" s="34"/>
      <c r="AG63" s="34"/>
    </row>
  </sheetData>
  <sheetProtection algorithmName="SHA-512" hashValue="QMNNprWB034JsDXNqjUN8i/X72q5X0dJbptrAkcOmxY0FOY8MeL1GvgthrRYv6GB/uzvQmgWSOiXh4/wfFmXNg==" saltValue="tc5vqgEbglK+lfwawq3few==" spinCount="100000" sheet="1" objects="1" scenarios="1" selectLockedCells="1"/>
  <pageMargins left="0.7" right="0.7" top="0.75" bottom="0.75" header="0.3" footer="0.3"/>
  <ignoredErrors>
    <ignoredError sqref="T17 V19 G55 S55 T55:X55 H55:O55" formulaRange="1"/>
    <ignoredError sqref="J23 C47:K47 F23 F25" formula="1"/>
  </ignoredErrors>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851B4-2E9B-F04B-8B59-D2E92C07225D}">
  <dimension ref="A2:AD22"/>
  <sheetViews>
    <sheetView showGridLines="0" zoomScale="130" zoomScaleNormal="130" workbookViewId="0">
      <selection activeCell="U46" sqref="U46"/>
    </sheetView>
  </sheetViews>
  <sheetFormatPr baseColWidth="10" defaultColWidth="10.83203125" defaultRowHeight="16" x14ac:dyDescent="0.2"/>
  <cols>
    <col min="1" max="1" width="6.1640625" style="15" customWidth="1"/>
    <col min="2" max="5" width="10.83203125" style="15"/>
    <col min="6" max="6" width="12.83203125" style="15" customWidth="1"/>
    <col min="7" max="8" width="10.83203125" style="15"/>
    <col min="9" max="9" width="17" style="15" bestFit="1" customWidth="1"/>
    <col min="10" max="16384" width="10.83203125" style="15"/>
  </cols>
  <sheetData>
    <row r="2" spans="1:30" ht="22" thickBot="1" x14ac:dyDescent="0.3">
      <c r="A2" s="13"/>
      <c r="B2" s="14" t="s">
        <v>25</v>
      </c>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row>
    <row r="4" spans="1:30" x14ac:dyDescent="0.2">
      <c r="B4" s="15" t="s">
        <v>91</v>
      </c>
    </row>
    <row r="5" spans="1:30" x14ac:dyDescent="0.2">
      <c r="B5" s="15" t="s">
        <v>92</v>
      </c>
    </row>
    <row r="7" spans="1:30" ht="20" customHeight="1" x14ac:dyDescent="0.2">
      <c r="B7" s="154" t="s">
        <v>93</v>
      </c>
      <c r="C7" s="155"/>
      <c r="D7" s="155"/>
      <c r="E7" s="155"/>
      <c r="F7" s="155"/>
    </row>
    <row r="9" spans="1:30" x14ac:dyDescent="0.2">
      <c r="B9" s="15" t="s">
        <v>62</v>
      </c>
      <c r="F9" s="16">
        <f>DCF!G5*DCF!D111</f>
        <v>1790381.34</v>
      </c>
      <c r="I9" s="16"/>
    </row>
    <row r="10" spans="1:30" x14ac:dyDescent="0.2">
      <c r="B10" s="15" t="s">
        <v>94</v>
      </c>
      <c r="F10" s="17">
        <f>DCF!T13+DCF!T14</f>
        <v>60097</v>
      </c>
    </row>
    <row r="11" spans="1:30" x14ac:dyDescent="0.2">
      <c r="B11" s="15" t="s">
        <v>24</v>
      </c>
      <c r="F11" s="18">
        <f>DCF!T15</f>
        <v>4.2299999999999997E-2</v>
      </c>
    </row>
    <row r="12" spans="1:30" x14ac:dyDescent="0.2">
      <c r="B12" s="15" t="s">
        <v>95</v>
      </c>
      <c r="F12" s="18">
        <f>DCF!K71</f>
        <v>0.19213972462242301</v>
      </c>
    </row>
    <row r="13" spans="1:30" x14ac:dyDescent="0.2">
      <c r="B13" s="19" t="s">
        <v>96</v>
      </c>
      <c r="C13" s="19"/>
      <c r="D13" s="19"/>
      <c r="E13" s="19"/>
      <c r="F13" s="20">
        <f>(F10)/(F10+F9)</f>
        <v>3.2476467679162346E-2</v>
      </c>
    </row>
    <row r="14" spans="1:30" x14ac:dyDescent="0.2">
      <c r="B14" s="21" t="s">
        <v>97</v>
      </c>
      <c r="C14" s="22"/>
      <c r="D14" s="22"/>
      <c r="E14" s="22"/>
      <c r="F14" s="23">
        <f>F11*(1-F12)</f>
        <v>3.4172489648471506E-2</v>
      </c>
    </row>
    <row r="16" spans="1:30" x14ac:dyDescent="0.2">
      <c r="B16" s="15" t="s">
        <v>98</v>
      </c>
      <c r="F16" s="18">
        <f>DCF!T19</f>
        <v>3.4770000000000002E-2</v>
      </c>
    </row>
    <row r="17" spans="2:6" x14ac:dyDescent="0.2">
      <c r="B17" s="15" t="s">
        <v>99</v>
      </c>
      <c r="F17" s="24">
        <f>DCF!T20</f>
        <v>5.11E-2</v>
      </c>
    </row>
    <row r="18" spans="2:6" x14ac:dyDescent="0.2">
      <c r="B18" s="15" t="s">
        <v>34</v>
      </c>
      <c r="F18" s="15">
        <f>DCF!T21</f>
        <v>1.1599999999999999</v>
      </c>
    </row>
    <row r="19" spans="2:6" x14ac:dyDescent="0.2">
      <c r="B19" s="19" t="s">
        <v>100</v>
      </c>
      <c r="C19" s="19"/>
      <c r="D19" s="19"/>
      <c r="E19" s="19"/>
      <c r="F19" s="20">
        <f>1-F13</f>
        <v>0.96752353232083765</v>
      </c>
    </row>
    <row r="20" spans="2:6" x14ac:dyDescent="0.2">
      <c r="B20" s="25" t="s">
        <v>101</v>
      </c>
      <c r="F20" s="24">
        <f>F16+F18*F17</f>
        <v>9.4045999999999991E-2</v>
      </c>
    </row>
    <row r="22" spans="2:6" ht="26" customHeight="1" x14ac:dyDescent="0.2">
      <c r="B22" s="26" t="s">
        <v>25</v>
      </c>
      <c r="C22" s="27"/>
      <c r="D22" s="27"/>
      <c r="E22" s="27"/>
      <c r="F22" s="28">
        <f>F14*F13+F20*F19</f>
        <v>9.2101519876230581E-2</v>
      </c>
    </row>
  </sheetData>
  <sheetProtection algorithmName="SHA-512" hashValue="hZLdrHvJ6VectKYUpWeCGb4jzdGjFTU9ymx3rJPD/AjhdrjX/5Y9xsodnEqlgen47NggxpFExHTzvTNDCON68w==" saltValue="Inac//vgClxwOw9t2mKcsA==" spinCount="100000" sheet="1" objects="1" scenarios="1" selectLockedCells="1"/>
  <mergeCells count="1">
    <mergeCell ref="B7:F7"/>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DCF</vt:lpstr>
      <vt:lpstr>Financials + KPIs</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2023-01-21T01:13:18Z</dcterms:created>
  <dcterms:modified xsi:type="dcterms:W3CDTF">2023-01-25T04:52:57Z</dcterms:modified>
</cp:coreProperties>
</file>