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eremyjiao/Desktop/"/>
    </mc:Choice>
  </mc:AlternateContent>
  <xr:revisionPtr revIDLastSave="0" documentId="13_ncr:1_{0944A508-F36B-EA49-9941-FDB6AF6013BA}" xr6:coauthVersionLast="47" xr6:coauthVersionMax="47" xr10:uidLastSave="{00000000-0000-0000-0000-000000000000}"/>
  <bookViews>
    <workbookView xWindow="0" yWindow="500" windowWidth="38400" windowHeight="19240" xr2:uid="{404CC295-A02E-B74B-99C9-1F5100030D5C}"/>
  </bookViews>
  <sheets>
    <sheet name="DCF" sheetId="4" r:id="rId1"/>
    <sheet name="Financials + KPIs" sheetId="9" r:id="rId2"/>
    <sheet name="WACC"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4" l="1"/>
  <c r="D26" i="4"/>
  <c r="C151" i="4"/>
  <c r="F148" i="4"/>
  <c r="K174" i="4"/>
  <c r="P19" i="4"/>
  <c r="H19" i="4"/>
  <c r="M106" i="4"/>
  <c r="M104" i="4" s="1"/>
  <c r="F18" i="7"/>
  <c r="K86" i="4"/>
  <c r="K90" i="4"/>
  <c r="K93" i="4"/>
  <c r="L77" i="4"/>
  <c r="M77" i="4" s="1"/>
  <c r="N77" i="4" s="1"/>
  <c r="O77" i="4" s="1"/>
  <c r="P77" i="4" s="1"/>
  <c r="Q77" i="4" s="1"/>
  <c r="R77" i="4" s="1"/>
  <c r="S77" i="4" s="1"/>
  <c r="T77" i="4" s="1"/>
  <c r="U77" i="4" s="1"/>
  <c r="F155" i="4"/>
  <c r="G155" i="4" s="1"/>
  <c r="H155" i="4" s="1"/>
  <c r="I155" i="4" s="1"/>
  <c r="J155" i="4" s="1"/>
  <c r="J156" i="4"/>
  <c r="I156" i="4" s="1"/>
  <c r="H156" i="4" s="1"/>
  <c r="G156" i="4" s="1"/>
  <c r="F156" i="4" s="1"/>
  <c r="E156" i="4" s="1"/>
  <c r="D132" i="4"/>
  <c r="D133" i="4"/>
  <c r="T12" i="4"/>
  <c r="D135" i="4" s="1"/>
  <c r="T16" i="4"/>
  <c r="T11" i="4"/>
  <c r="K113" i="4" l="1"/>
  <c r="L113" i="4" s="1"/>
  <c r="M113" i="4" s="1"/>
  <c r="N113" i="4" s="1"/>
  <c r="O113" i="4" s="1"/>
  <c r="P113" i="4" s="1"/>
  <c r="Q113" i="4" s="1"/>
  <c r="R113" i="4" s="1"/>
  <c r="S113" i="4" s="1"/>
  <c r="T113" i="4" s="1"/>
  <c r="U113" i="4" s="1"/>
  <c r="M107" i="4"/>
  <c r="N107" i="4" s="1"/>
  <c r="O107" i="4" s="1"/>
  <c r="P107" i="4" s="1"/>
  <c r="Q107" i="4" s="1"/>
  <c r="R107" i="4" s="1"/>
  <c r="S107" i="4" s="1"/>
  <c r="T107" i="4" s="1"/>
  <c r="U107" i="4" s="1"/>
  <c r="M105" i="4"/>
  <c r="N105" i="4" s="1"/>
  <c r="O105" i="4" s="1"/>
  <c r="P105" i="4" s="1"/>
  <c r="Q105" i="4" s="1"/>
  <c r="R105" i="4" s="1"/>
  <c r="S105" i="4" s="1"/>
  <c r="T105" i="4" s="1"/>
  <c r="U105" i="4" s="1"/>
  <c r="G103" i="4"/>
  <c r="F100" i="4"/>
  <c r="G100" i="4"/>
  <c r="H100" i="4"/>
  <c r="I100" i="4"/>
  <c r="E100" i="4"/>
  <c r="F97" i="4"/>
  <c r="G97" i="4"/>
  <c r="H97" i="4"/>
  <c r="I97" i="4"/>
  <c r="E97" i="4"/>
  <c r="F93" i="4"/>
  <c r="F171" i="4" s="1"/>
  <c r="G93" i="4"/>
  <c r="G171" i="4" s="1"/>
  <c r="H93" i="4"/>
  <c r="H171" i="4" s="1"/>
  <c r="I93" i="4"/>
  <c r="I171" i="4" s="1"/>
  <c r="J93" i="4"/>
  <c r="J171" i="4" s="1"/>
  <c r="E93" i="4"/>
  <c r="E171" i="4" s="1"/>
  <c r="F90" i="4"/>
  <c r="F170" i="4" s="1"/>
  <c r="G90" i="4"/>
  <c r="G170" i="4" s="1"/>
  <c r="H90" i="4"/>
  <c r="H170" i="4" s="1"/>
  <c r="I90" i="4"/>
  <c r="I170" i="4" s="1"/>
  <c r="J90" i="4"/>
  <c r="J170" i="4" s="1"/>
  <c r="E90" i="4"/>
  <c r="E170" i="4" s="1"/>
  <c r="F86" i="4"/>
  <c r="G86" i="4"/>
  <c r="H86" i="4"/>
  <c r="I86" i="4"/>
  <c r="J86" i="4"/>
  <c r="E86" i="4"/>
  <c r="M82" i="4"/>
  <c r="N82" i="4"/>
  <c r="O82" i="4"/>
  <c r="P82" i="4"/>
  <c r="Q82" i="4"/>
  <c r="R82" i="4"/>
  <c r="S82" i="4"/>
  <c r="T82" i="4"/>
  <c r="U82" i="4"/>
  <c r="L82" i="4"/>
  <c r="F81" i="4"/>
  <c r="F165" i="4" s="1"/>
  <c r="G81" i="4"/>
  <c r="G165" i="4" s="1"/>
  <c r="H81" i="4"/>
  <c r="H165" i="4" s="1"/>
  <c r="I81" i="4"/>
  <c r="I165" i="4" s="1"/>
  <c r="E81" i="4"/>
  <c r="E165" i="4" s="1"/>
  <c r="M63" i="4"/>
  <c r="N63" i="4"/>
  <c r="O63" i="4"/>
  <c r="P63" i="4"/>
  <c r="Q63" i="4"/>
  <c r="R63" i="4"/>
  <c r="S63" i="4"/>
  <c r="T63" i="4"/>
  <c r="U63" i="4"/>
  <c r="L63" i="4"/>
  <c r="M61" i="4"/>
  <c r="M60" i="4" s="1"/>
  <c r="N61" i="4"/>
  <c r="N60" i="4" s="1"/>
  <c r="O61" i="4"/>
  <c r="O60" i="4" s="1"/>
  <c r="P61" i="4"/>
  <c r="P60" i="4" s="1"/>
  <c r="Q61" i="4"/>
  <c r="Q60" i="4" s="1"/>
  <c r="R61" i="4"/>
  <c r="R60" i="4" s="1"/>
  <c r="S61" i="4"/>
  <c r="S60" i="4" s="1"/>
  <c r="T61" i="4"/>
  <c r="T60" i="4" s="1"/>
  <c r="U61" i="4"/>
  <c r="U60" i="4" s="1"/>
  <c r="L61" i="4"/>
  <c r="L60" i="4"/>
  <c r="U56" i="4"/>
  <c r="U55" i="4"/>
  <c r="U53" i="4" s="1"/>
  <c r="U54" i="4"/>
  <c r="M54" i="4"/>
  <c r="N54" i="4"/>
  <c r="M56" i="4"/>
  <c r="N56" i="4"/>
  <c r="L56" i="4"/>
  <c r="L54" i="4"/>
  <c r="J14" i="4"/>
  <c r="N14" i="4" s="1"/>
  <c r="L53" i="4"/>
  <c r="M53" i="4"/>
  <c r="N53" i="4"/>
  <c r="U49" i="4"/>
  <c r="U48" i="4"/>
  <c r="U46" i="4" s="1"/>
  <c r="U47" i="4"/>
  <c r="J13" i="4"/>
  <c r="N13" i="4" s="1"/>
  <c r="M41" i="4"/>
  <c r="U42" i="4"/>
  <c r="U41" i="4"/>
  <c r="U40" i="4"/>
  <c r="N10" i="4"/>
  <c r="J10" i="4"/>
  <c r="J9" i="4"/>
  <c r="N9" i="4" s="1"/>
  <c r="U35" i="4"/>
  <c r="U33" i="4"/>
  <c r="Q13" i="9"/>
  <c r="F59" i="4"/>
  <c r="G59" i="4"/>
  <c r="H59" i="4"/>
  <c r="I59" i="4"/>
  <c r="J59" i="4"/>
  <c r="E59" i="4"/>
  <c r="F52" i="4"/>
  <c r="G52" i="4"/>
  <c r="H52" i="4"/>
  <c r="I52" i="4"/>
  <c r="E52" i="4"/>
  <c r="F45" i="4"/>
  <c r="G45" i="4"/>
  <c r="H45" i="4"/>
  <c r="I45" i="4"/>
  <c r="E45" i="4"/>
  <c r="F38" i="4"/>
  <c r="G38" i="4"/>
  <c r="H38" i="4"/>
  <c r="I38" i="4"/>
  <c r="E38" i="4"/>
  <c r="Q40" i="9"/>
  <c r="G16" i="9"/>
  <c r="H16" i="9"/>
  <c r="I16" i="9"/>
  <c r="I17" i="9" s="1"/>
  <c r="S16" i="9"/>
  <c r="T16" i="9"/>
  <c r="H103" i="4" s="1"/>
  <c r="U16" i="9"/>
  <c r="V16" i="9"/>
  <c r="R50" i="9"/>
  <c r="S50" i="9"/>
  <c r="R51" i="9"/>
  <c r="S51" i="9"/>
  <c r="R52" i="9"/>
  <c r="S52" i="9"/>
  <c r="R53" i="9"/>
  <c r="S53" i="9"/>
  <c r="R54" i="9"/>
  <c r="S54" i="9"/>
  <c r="R55" i="9"/>
  <c r="S55" i="9"/>
  <c r="R56" i="9"/>
  <c r="S56" i="9"/>
  <c r="Q68" i="9"/>
  <c r="R68" i="9"/>
  <c r="S68" i="9"/>
  <c r="Q69" i="9"/>
  <c r="R69" i="9"/>
  <c r="S69" i="9"/>
  <c r="Q70" i="9"/>
  <c r="R70" i="9"/>
  <c r="S70" i="9"/>
  <c r="R35" i="9"/>
  <c r="S35" i="9"/>
  <c r="T35" i="9"/>
  <c r="U35" i="9"/>
  <c r="Q35" i="9"/>
  <c r="D35" i="9"/>
  <c r="E35" i="9"/>
  <c r="G35" i="9"/>
  <c r="H35" i="9"/>
  <c r="H36" i="9" s="1"/>
  <c r="H38" i="9" s="1"/>
  <c r="H76" i="9" s="1"/>
  <c r="I35" i="9"/>
  <c r="C35" i="9"/>
  <c r="Q32" i="9"/>
  <c r="R32" i="9"/>
  <c r="Q26" i="9"/>
  <c r="R26" i="9"/>
  <c r="Q12" i="9"/>
  <c r="E31" i="4" s="1"/>
  <c r="R12" i="9"/>
  <c r="F31" i="4" s="1"/>
  <c r="R13" i="9"/>
  <c r="Q16" i="9"/>
  <c r="E103" i="4" s="1"/>
  <c r="R16" i="9"/>
  <c r="F103" i="4" s="1"/>
  <c r="X2" i="9"/>
  <c r="Y2" i="9" s="1"/>
  <c r="Z2" i="9" s="1"/>
  <c r="AA2" i="9" s="1"/>
  <c r="AB2" i="9" s="1"/>
  <c r="AC2" i="9" s="1"/>
  <c r="AD2" i="9" s="1"/>
  <c r="AE2" i="9" s="1"/>
  <c r="AF2" i="9" s="1"/>
  <c r="AG2" i="9" s="1"/>
  <c r="R2" i="9"/>
  <c r="S2" i="9" s="1"/>
  <c r="T2" i="9" s="1"/>
  <c r="U2" i="9" s="1"/>
  <c r="V2" i="9" s="1"/>
  <c r="G5" i="4" a="1"/>
  <c r="G5" i="4" s="1"/>
  <c r="H78" i="9"/>
  <c r="Z76" i="9"/>
  <c r="AA76" i="9" s="1"/>
  <c r="AB76" i="9" s="1"/>
  <c r="AC76" i="9" s="1"/>
  <c r="AD76" i="9" s="1"/>
  <c r="AE76" i="9" s="1"/>
  <c r="AF76" i="9" s="1"/>
  <c r="AG76" i="9" s="1"/>
  <c r="H72" i="9"/>
  <c r="H71" i="9"/>
  <c r="B71" i="9"/>
  <c r="U70" i="9"/>
  <c r="T70" i="9"/>
  <c r="I70" i="9"/>
  <c r="H70" i="9"/>
  <c r="G70" i="9"/>
  <c r="E70" i="9"/>
  <c r="D70" i="9"/>
  <c r="C70" i="9"/>
  <c r="B70" i="9"/>
  <c r="U69" i="9"/>
  <c r="T69" i="9"/>
  <c r="I69" i="9"/>
  <c r="H69" i="9"/>
  <c r="G69" i="9"/>
  <c r="E69" i="9"/>
  <c r="D69" i="9"/>
  <c r="C69" i="9"/>
  <c r="B69" i="9"/>
  <c r="U68" i="9"/>
  <c r="T68" i="9"/>
  <c r="I68" i="9"/>
  <c r="H68" i="9"/>
  <c r="G68" i="9"/>
  <c r="E68" i="9"/>
  <c r="D68" i="9"/>
  <c r="C68" i="9"/>
  <c r="B68" i="9"/>
  <c r="H66" i="9"/>
  <c r="H65" i="9"/>
  <c r="B65" i="9"/>
  <c r="H64" i="9"/>
  <c r="B64" i="9"/>
  <c r="H63" i="9"/>
  <c r="B63" i="9"/>
  <c r="H62" i="9"/>
  <c r="B62" i="9"/>
  <c r="H61" i="9"/>
  <c r="B61" i="9"/>
  <c r="H60" i="9"/>
  <c r="B60" i="9"/>
  <c r="H59" i="9"/>
  <c r="B59" i="9"/>
  <c r="Z56" i="9"/>
  <c r="AA56" i="9" s="1"/>
  <c r="AB56" i="9" s="1"/>
  <c r="AC56" i="9" s="1"/>
  <c r="AD56" i="9" s="1"/>
  <c r="AE56" i="9" s="1"/>
  <c r="AF56" i="9" s="1"/>
  <c r="AG56" i="9" s="1"/>
  <c r="U56" i="9"/>
  <c r="T56" i="9"/>
  <c r="L56" i="9"/>
  <c r="M56" i="9" s="1"/>
  <c r="N56" i="9" s="1"/>
  <c r="I56" i="9"/>
  <c r="H56" i="9"/>
  <c r="G56" i="9"/>
  <c r="B56" i="9"/>
  <c r="U55" i="9"/>
  <c r="T55" i="9"/>
  <c r="I55" i="9"/>
  <c r="H55" i="9"/>
  <c r="G55" i="9"/>
  <c r="B55" i="9"/>
  <c r="U54" i="9"/>
  <c r="T54" i="9"/>
  <c r="I54" i="9"/>
  <c r="H54" i="9"/>
  <c r="G54" i="9"/>
  <c r="B54" i="9"/>
  <c r="Z53" i="9"/>
  <c r="AA53" i="9" s="1"/>
  <c r="AB53" i="9" s="1"/>
  <c r="AC53" i="9" s="1"/>
  <c r="AD53" i="9" s="1"/>
  <c r="AE53" i="9" s="1"/>
  <c r="AF53" i="9" s="1"/>
  <c r="AG53" i="9" s="1"/>
  <c r="U53" i="9"/>
  <c r="T53" i="9"/>
  <c r="I53" i="9"/>
  <c r="H53" i="9"/>
  <c r="G53" i="9"/>
  <c r="B53" i="9"/>
  <c r="U52" i="9"/>
  <c r="T52" i="9"/>
  <c r="I52" i="9"/>
  <c r="H52" i="9"/>
  <c r="G52" i="9"/>
  <c r="B52" i="9"/>
  <c r="U51" i="9"/>
  <c r="T51" i="9"/>
  <c r="I51" i="9"/>
  <c r="H51" i="9"/>
  <c r="G51" i="9"/>
  <c r="B51" i="9"/>
  <c r="U50" i="9"/>
  <c r="T50" i="9"/>
  <c r="I50" i="9"/>
  <c r="H50" i="9"/>
  <c r="G50" i="9"/>
  <c r="B50" i="9"/>
  <c r="Y48" i="9"/>
  <c r="Z48" i="9" s="1"/>
  <c r="AA48" i="9" s="1"/>
  <c r="AB48" i="9" s="1"/>
  <c r="AC48" i="9" s="1"/>
  <c r="AD48" i="9" s="1"/>
  <c r="AE48" i="9" s="1"/>
  <c r="AF48" i="9" s="1"/>
  <c r="AG48" i="9" s="1"/>
  <c r="F42" i="9"/>
  <c r="F39" i="9"/>
  <c r="V39" i="9" s="1"/>
  <c r="J81" i="4" s="1"/>
  <c r="J165" i="4" s="1"/>
  <c r="F37" i="9"/>
  <c r="V37" i="9" s="1"/>
  <c r="J97" i="4" s="1"/>
  <c r="U32" i="9"/>
  <c r="T32" i="9"/>
  <c r="S32" i="9"/>
  <c r="I32" i="9"/>
  <c r="G32" i="9"/>
  <c r="E32" i="9"/>
  <c r="D32" i="9"/>
  <c r="C32" i="9"/>
  <c r="F31" i="9"/>
  <c r="V31" i="9" s="1"/>
  <c r="F30" i="9"/>
  <c r="V30" i="9" s="1"/>
  <c r="F29" i="9"/>
  <c r="V29" i="9" s="1"/>
  <c r="F28" i="9"/>
  <c r="V28" i="9" s="1"/>
  <c r="U26" i="9"/>
  <c r="T26" i="9"/>
  <c r="S26" i="9"/>
  <c r="I26" i="9"/>
  <c r="G26" i="9"/>
  <c r="E26" i="9"/>
  <c r="D26" i="9"/>
  <c r="C26" i="9"/>
  <c r="F25" i="9"/>
  <c r="V25" i="9" s="1"/>
  <c r="F24" i="9"/>
  <c r="V24" i="9" s="1"/>
  <c r="F23" i="9"/>
  <c r="V23" i="9" s="1"/>
  <c r="F22" i="9"/>
  <c r="V22" i="9" s="1"/>
  <c r="F21" i="9"/>
  <c r="V21" i="9" s="1"/>
  <c r="F20" i="9"/>
  <c r="V20" i="9" s="1"/>
  <c r="F19" i="9"/>
  <c r="V19" i="9" s="1"/>
  <c r="U13" i="9"/>
  <c r="T13" i="9"/>
  <c r="S13" i="9"/>
  <c r="I13" i="9"/>
  <c r="G13" i="9"/>
  <c r="E13" i="9"/>
  <c r="D13" i="9"/>
  <c r="H47" i="9" s="1"/>
  <c r="C13" i="9"/>
  <c r="U12" i="9"/>
  <c r="T12" i="9"/>
  <c r="H31" i="4" s="1"/>
  <c r="S12" i="9"/>
  <c r="I12" i="9"/>
  <c r="I14" i="9" s="1"/>
  <c r="G12" i="9"/>
  <c r="E12" i="9"/>
  <c r="E14" i="9" s="1"/>
  <c r="D12" i="9"/>
  <c r="C12" i="9"/>
  <c r="K10" i="9"/>
  <c r="F10" i="9"/>
  <c r="J10" i="9" s="1"/>
  <c r="W10" i="9" s="1"/>
  <c r="M9" i="9"/>
  <c r="L9" i="9"/>
  <c r="K9" i="9"/>
  <c r="F9" i="9"/>
  <c r="J9" i="9" s="1"/>
  <c r="W9" i="9" s="1"/>
  <c r="M8" i="9"/>
  <c r="L8" i="9"/>
  <c r="K8" i="9"/>
  <c r="F8" i="9"/>
  <c r="M6" i="9"/>
  <c r="L6" i="9"/>
  <c r="K6" i="9"/>
  <c r="F6" i="9"/>
  <c r="V53" i="9" s="1"/>
  <c r="M5" i="9"/>
  <c r="L5" i="9"/>
  <c r="K5" i="9"/>
  <c r="F5" i="9"/>
  <c r="V5" i="9" s="1"/>
  <c r="V52" i="9" s="1"/>
  <c r="M4" i="9"/>
  <c r="L4" i="9"/>
  <c r="K4" i="9"/>
  <c r="F4" i="9"/>
  <c r="V4" i="9" s="1"/>
  <c r="V51" i="9" s="1"/>
  <c r="M3" i="9"/>
  <c r="L3" i="9"/>
  <c r="K3" i="9"/>
  <c r="F3" i="9"/>
  <c r="V3" i="9" s="1"/>
  <c r="M1" i="9"/>
  <c r="K1" i="9"/>
  <c r="H1" i="9"/>
  <c r="L1" i="9" s="1"/>
  <c r="F1" i="9"/>
  <c r="J1" i="9" s="1"/>
  <c r="N1" i="9" s="1"/>
  <c r="E1" i="9"/>
  <c r="C1" i="9"/>
  <c r="E169" i="4" l="1"/>
  <c r="H169" i="4"/>
  <c r="R47" i="9"/>
  <c r="V57" i="9"/>
  <c r="U57" i="9"/>
  <c r="E66" i="4"/>
  <c r="E71" i="4" s="1"/>
  <c r="E157" i="4" s="1"/>
  <c r="U14" i="9"/>
  <c r="S17" i="9"/>
  <c r="S40" i="9" s="1"/>
  <c r="G169" i="4"/>
  <c r="J103" i="4"/>
  <c r="I103" i="4"/>
  <c r="I110" i="4" s="1"/>
  <c r="I169" i="4"/>
  <c r="F169" i="4"/>
  <c r="I161" i="4"/>
  <c r="I168" i="4" s="1"/>
  <c r="H161" i="4"/>
  <c r="H168" i="4" s="1"/>
  <c r="G161" i="4"/>
  <c r="G168" i="4" s="1"/>
  <c r="E161" i="4"/>
  <c r="E168" i="4" s="1"/>
  <c r="F161" i="4"/>
  <c r="F168" i="4" s="1"/>
  <c r="J161" i="4"/>
  <c r="J168" i="4" s="1"/>
  <c r="G110" i="4"/>
  <c r="H110" i="4"/>
  <c r="N106" i="4"/>
  <c r="F110" i="4"/>
  <c r="G104" i="4"/>
  <c r="H104" i="4"/>
  <c r="F104" i="4"/>
  <c r="I98" i="4"/>
  <c r="J98" i="4"/>
  <c r="H101" i="4"/>
  <c r="G98" i="4"/>
  <c r="G101" i="4"/>
  <c r="F98" i="4"/>
  <c r="F101" i="4"/>
  <c r="H98" i="4"/>
  <c r="I101" i="4"/>
  <c r="H66" i="4"/>
  <c r="F66" i="4"/>
  <c r="H17" i="9"/>
  <c r="H57" i="9"/>
  <c r="T17" i="9"/>
  <c r="T40" i="9" s="1"/>
  <c r="S46" i="9"/>
  <c r="T57" i="9"/>
  <c r="I31" i="4"/>
  <c r="I66" i="4" s="1"/>
  <c r="R57" i="9"/>
  <c r="S57" i="9"/>
  <c r="G31" i="4"/>
  <c r="G66" i="4" s="1"/>
  <c r="J6" i="9"/>
  <c r="I57" i="9"/>
  <c r="V17" i="9"/>
  <c r="V40" i="9" s="1"/>
  <c r="U17" i="9"/>
  <c r="U40" i="9" s="1"/>
  <c r="J16" i="9"/>
  <c r="F16" i="9"/>
  <c r="G57" i="9" s="1"/>
  <c r="S47" i="9"/>
  <c r="R14" i="9"/>
  <c r="R46" i="9"/>
  <c r="Q14" i="9"/>
  <c r="R17" i="9"/>
  <c r="R40" i="9" s="1"/>
  <c r="V35" i="9"/>
  <c r="Q34" i="9"/>
  <c r="H75" i="9"/>
  <c r="H77" i="9"/>
  <c r="F35" i="9"/>
  <c r="S34" i="9"/>
  <c r="T34" i="9"/>
  <c r="R34" i="9"/>
  <c r="H74" i="9"/>
  <c r="V10" i="9"/>
  <c r="J5" i="9"/>
  <c r="W5" i="9" s="1"/>
  <c r="W52" i="9" s="1"/>
  <c r="J4" i="9"/>
  <c r="W4" i="9" s="1"/>
  <c r="W51" i="9" s="1"/>
  <c r="K13" i="9"/>
  <c r="K47" i="9" s="1"/>
  <c r="L10" i="9"/>
  <c r="L13" i="9" s="1"/>
  <c r="L47" i="9" s="1"/>
  <c r="W6" i="9"/>
  <c r="W53" i="9" s="1"/>
  <c r="K62" i="4" s="1"/>
  <c r="V9" i="9"/>
  <c r="U34" i="9"/>
  <c r="M10" i="9"/>
  <c r="M13" i="9" s="1"/>
  <c r="M47" i="9" s="1"/>
  <c r="I34" i="9"/>
  <c r="I36" i="9" s="1"/>
  <c r="I38" i="9" s="1"/>
  <c r="D1" i="9"/>
  <c r="M12" i="9"/>
  <c r="M46" i="9" s="1"/>
  <c r="I46" i="9"/>
  <c r="K12" i="9"/>
  <c r="K46" i="9" s="1"/>
  <c r="N9" i="9"/>
  <c r="X9" i="9" s="1"/>
  <c r="X55" i="9" s="1"/>
  <c r="N10" i="9"/>
  <c r="S14" i="9"/>
  <c r="T47" i="9"/>
  <c r="C14" i="9"/>
  <c r="C66" i="9" s="1"/>
  <c r="U47" i="9"/>
  <c r="J69" i="9"/>
  <c r="J29" i="9" s="1"/>
  <c r="W29" i="9" s="1"/>
  <c r="W69" i="9" s="1"/>
  <c r="Z55" i="9"/>
  <c r="AA55" i="9" s="1"/>
  <c r="AB55" i="9" s="1"/>
  <c r="AC55" i="9" s="1"/>
  <c r="AD55" i="9" s="1"/>
  <c r="AE55" i="9" s="1"/>
  <c r="AF55" i="9" s="1"/>
  <c r="Z54" i="9"/>
  <c r="AA54" i="9" s="1"/>
  <c r="AB54" i="9" s="1"/>
  <c r="AC54" i="9" s="1"/>
  <c r="AD54" i="9" s="1"/>
  <c r="AE54" i="9" s="1"/>
  <c r="AF54" i="9" s="1"/>
  <c r="Z52" i="9"/>
  <c r="AA52" i="9" s="1"/>
  <c r="AB52" i="9" s="1"/>
  <c r="AC52" i="9" s="1"/>
  <c r="AD52" i="9" s="1"/>
  <c r="AE52" i="9" s="1"/>
  <c r="AF52" i="9" s="1"/>
  <c r="Z51" i="9"/>
  <c r="AA51" i="9" s="1"/>
  <c r="AB51" i="9" s="1"/>
  <c r="AC51" i="9" s="1"/>
  <c r="AD51" i="9" s="1"/>
  <c r="AE51" i="9" s="1"/>
  <c r="AF51" i="9" s="1"/>
  <c r="V50" i="9"/>
  <c r="V12" i="9"/>
  <c r="E65" i="9"/>
  <c r="E63" i="9"/>
  <c r="E61" i="9"/>
  <c r="E64" i="9"/>
  <c r="E62" i="9"/>
  <c r="E60" i="9"/>
  <c r="E71" i="9"/>
  <c r="E59" i="9"/>
  <c r="J3" i="9"/>
  <c r="F12" i="9"/>
  <c r="E72" i="9"/>
  <c r="T46" i="9"/>
  <c r="T14" i="9"/>
  <c r="G46" i="9"/>
  <c r="G14" i="9"/>
  <c r="I64" i="9"/>
  <c r="I62" i="9"/>
  <c r="I60" i="9"/>
  <c r="I45" i="9"/>
  <c r="I71" i="9"/>
  <c r="I59" i="9"/>
  <c r="I65" i="9"/>
  <c r="I63" i="9"/>
  <c r="I61" i="9"/>
  <c r="G34" i="9"/>
  <c r="D14" i="9"/>
  <c r="H46" i="9"/>
  <c r="V8" i="9"/>
  <c r="F13" i="9"/>
  <c r="L12" i="9"/>
  <c r="J8" i="9"/>
  <c r="V26" i="9"/>
  <c r="I72" i="9"/>
  <c r="E66" i="9"/>
  <c r="E34" i="9"/>
  <c r="E36" i="9" s="1"/>
  <c r="E38" i="9" s="1"/>
  <c r="U64" i="9"/>
  <c r="U62" i="9"/>
  <c r="U60" i="9"/>
  <c r="U71" i="9"/>
  <c r="U59" i="9"/>
  <c r="U65" i="9"/>
  <c r="U63" i="9"/>
  <c r="U61" i="9"/>
  <c r="F26" i="9"/>
  <c r="U72" i="9"/>
  <c r="V32" i="9"/>
  <c r="W56" i="9"/>
  <c r="K55" i="4" s="1"/>
  <c r="K53" i="4" s="1"/>
  <c r="U46" i="9"/>
  <c r="G47" i="9"/>
  <c r="V42" i="9"/>
  <c r="J100" i="4" s="1"/>
  <c r="J169" i="4" s="1"/>
  <c r="I47" i="9"/>
  <c r="F70" i="9"/>
  <c r="J70" i="9" s="1"/>
  <c r="J30" i="9" s="1"/>
  <c r="W30" i="9" s="1"/>
  <c r="W70" i="9" s="1"/>
  <c r="C34" i="9"/>
  <c r="D34" i="9"/>
  <c r="F68" i="9"/>
  <c r="J68" i="9" s="1"/>
  <c r="F32" i="9"/>
  <c r="F69" i="9"/>
  <c r="I66" i="9"/>
  <c r="U66" i="9"/>
  <c r="J104" i="4" l="1"/>
  <c r="I104" i="4"/>
  <c r="O106" i="4"/>
  <c r="N104" i="4"/>
  <c r="J101" i="4"/>
  <c r="J110" i="4"/>
  <c r="U36" i="9"/>
  <c r="R36" i="9"/>
  <c r="F74" i="4" s="1"/>
  <c r="K60" i="4"/>
  <c r="K63" i="4"/>
  <c r="K61" i="4"/>
  <c r="V68" i="9"/>
  <c r="J38" i="4"/>
  <c r="V56" i="9"/>
  <c r="J52" i="4"/>
  <c r="V55" i="9"/>
  <c r="J45" i="4"/>
  <c r="K56" i="4"/>
  <c r="K54" i="4"/>
  <c r="U38" i="9"/>
  <c r="I74" i="4"/>
  <c r="J31" i="4"/>
  <c r="J17" i="9"/>
  <c r="J40" i="9" s="1"/>
  <c r="W16" i="9"/>
  <c r="K16" i="9"/>
  <c r="Q36" i="9"/>
  <c r="E74" i="4" s="1"/>
  <c r="G17" i="9"/>
  <c r="S64" i="9"/>
  <c r="S59" i="9"/>
  <c r="S62" i="9"/>
  <c r="S71" i="9"/>
  <c r="S65" i="9"/>
  <c r="S45" i="9"/>
  <c r="S60" i="9"/>
  <c r="S63" i="9"/>
  <c r="S72" i="9"/>
  <c r="S61" i="9"/>
  <c r="R77" i="9"/>
  <c r="R38" i="9"/>
  <c r="R75" i="9"/>
  <c r="R74" i="9"/>
  <c r="Q62" i="9"/>
  <c r="Q71" i="9"/>
  <c r="Q65" i="9"/>
  <c r="Q60" i="9"/>
  <c r="Q63" i="9"/>
  <c r="Q72" i="9"/>
  <c r="Q66" i="9"/>
  <c r="Q61" i="9"/>
  <c r="Q64" i="9"/>
  <c r="Q59" i="9"/>
  <c r="V70" i="9"/>
  <c r="Y70" i="9" s="1"/>
  <c r="Q38" i="9"/>
  <c r="Q41" i="9" s="1"/>
  <c r="Q75" i="9"/>
  <c r="Q74" i="9"/>
  <c r="Q77" i="9"/>
  <c r="V69" i="9"/>
  <c r="R59" i="9"/>
  <c r="R62" i="9"/>
  <c r="R71" i="9"/>
  <c r="R65" i="9"/>
  <c r="R45" i="9"/>
  <c r="R60" i="9"/>
  <c r="R63" i="9"/>
  <c r="R72" i="9"/>
  <c r="R66" i="9"/>
  <c r="R61" i="9"/>
  <c r="R64" i="9"/>
  <c r="N5" i="9"/>
  <c r="X5" i="9" s="1"/>
  <c r="X52" i="9" s="1"/>
  <c r="W55" i="9"/>
  <c r="K48" i="4" s="1"/>
  <c r="S66" i="9"/>
  <c r="U45" i="9"/>
  <c r="T36" i="9"/>
  <c r="C60" i="9"/>
  <c r="C36" i="9"/>
  <c r="C38" i="9" s="1"/>
  <c r="D66" i="9"/>
  <c r="D36" i="9"/>
  <c r="D38" i="9" s="1"/>
  <c r="G72" i="9"/>
  <c r="G36" i="9"/>
  <c r="G38" i="9" s="1"/>
  <c r="S36" i="9"/>
  <c r="G74" i="4" s="1"/>
  <c r="G159" i="4" s="1"/>
  <c r="N4" i="9"/>
  <c r="X4" i="9" s="1"/>
  <c r="X51" i="9" s="1"/>
  <c r="N6" i="9"/>
  <c r="X6" i="9" s="1"/>
  <c r="X53" i="9" s="1"/>
  <c r="X10" i="9"/>
  <c r="X56" i="9" s="1"/>
  <c r="K69" i="9"/>
  <c r="L69" i="9" s="1"/>
  <c r="I41" i="9"/>
  <c r="I43" i="9" s="1"/>
  <c r="I75" i="9"/>
  <c r="I77" i="9"/>
  <c r="I74" i="9"/>
  <c r="U77" i="9"/>
  <c r="U75" i="9"/>
  <c r="U76" i="9"/>
  <c r="U74" i="9"/>
  <c r="M14" i="9"/>
  <c r="C61" i="9"/>
  <c r="C62" i="9"/>
  <c r="T66" i="9"/>
  <c r="Y9" i="9"/>
  <c r="Z9" i="9" s="1"/>
  <c r="C65" i="9"/>
  <c r="C63" i="9"/>
  <c r="C59" i="9"/>
  <c r="G66" i="9"/>
  <c r="C71" i="9"/>
  <c r="T72" i="9"/>
  <c r="C64" i="9"/>
  <c r="K14" i="9"/>
  <c r="C72" i="9"/>
  <c r="E74" i="9"/>
  <c r="E77" i="9"/>
  <c r="E75" i="9"/>
  <c r="V46" i="9"/>
  <c r="K70" i="9"/>
  <c r="L70" i="9" s="1"/>
  <c r="L30" i="9" s="1"/>
  <c r="F34" i="9"/>
  <c r="T64" i="9"/>
  <c r="T62" i="9"/>
  <c r="T60" i="9"/>
  <c r="T71" i="9"/>
  <c r="T59" i="9"/>
  <c r="T65" i="9"/>
  <c r="T63" i="9"/>
  <c r="T61" i="9"/>
  <c r="T45" i="9"/>
  <c r="N3" i="9"/>
  <c r="J12" i="9"/>
  <c r="W3" i="9"/>
  <c r="L46" i="9"/>
  <c r="L14" i="9"/>
  <c r="V54" i="9"/>
  <c r="V13" i="9"/>
  <c r="V47" i="9" s="1"/>
  <c r="F14" i="9"/>
  <c r="K68" i="9"/>
  <c r="D59" i="9"/>
  <c r="D65" i="9"/>
  <c r="D63" i="9"/>
  <c r="D61" i="9"/>
  <c r="H45" i="9"/>
  <c r="D64" i="9"/>
  <c r="D62" i="9"/>
  <c r="D60" i="9"/>
  <c r="D71" i="9"/>
  <c r="G64" i="9"/>
  <c r="G62" i="9"/>
  <c r="G60" i="9"/>
  <c r="G71" i="9"/>
  <c r="G59" i="9"/>
  <c r="G65" i="9"/>
  <c r="G45" i="9"/>
  <c r="G63" i="9"/>
  <c r="G61" i="9"/>
  <c r="V34" i="9"/>
  <c r="D72" i="9"/>
  <c r="J13" i="9"/>
  <c r="J47" i="9" s="1"/>
  <c r="N8" i="9"/>
  <c r="W8" i="9"/>
  <c r="J28" i="9"/>
  <c r="P106" i="4" l="1"/>
  <c r="O104" i="4"/>
  <c r="F163" i="4"/>
  <c r="F159" i="4"/>
  <c r="G163" i="4"/>
  <c r="I163" i="4"/>
  <c r="I159" i="4"/>
  <c r="E163" i="4"/>
  <c r="E159" i="4"/>
  <c r="E160" i="4" s="1"/>
  <c r="E75" i="4"/>
  <c r="E164" i="4" s="1"/>
  <c r="E84" i="4"/>
  <c r="E167" i="4" s="1"/>
  <c r="E172" i="4" s="1"/>
  <c r="J66" i="4"/>
  <c r="T38" i="9"/>
  <c r="H74" i="4"/>
  <c r="Y6" i="9"/>
  <c r="Z6" i="9" s="1"/>
  <c r="AA6" i="9" s="1"/>
  <c r="AB6" i="9" s="1"/>
  <c r="AC6" i="9" s="1"/>
  <c r="AD6" i="9" s="1"/>
  <c r="AE6" i="9" s="1"/>
  <c r="AF6" i="9" s="1"/>
  <c r="AG6" i="9" s="1"/>
  <c r="K46" i="4"/>
  <c r="K45" i="4" s="1"/>
  <c r="K49" i="4"/>
  <c r="K47" i="4"/>
  <c r="Y5" i="9"/>
  <c r="Z5" i="9" s="1"/>
  <c r="AA5" i="9" s="1"/>
  <c r="AB5" i="9" s="1"/>
  <c r="AC5" i="9" s="1"/>
  <c r="AD5" i="9" s="1"/>
  <c r="AE5" i="9" s="1"/>
  <c r="AF5" i="9" s="1"/>
  <c r="AG5" i="9" s="1"/>
  <c r="L16" i="9"/>
  <c r="K17" i="9"/>
  <c r="K40" i="9" s="1"/>
  <c r="W17" i="9"/>
  <c r="W40" i="9" s="1"/>
  <c r="W57" i="9"/>
  <c r="K106" i="4" s="1"/>
  <c r="K104" i="4" s="1"/>
  <c r="S74" i="9"/>
  <c r="S77" i="9"/>
  <c r="S38" i="9"/>
  <c r="S76" i="9" s="1"/>
  <c r="S75" i="9"/>
  <c r="Y4" i="9"/>
  <c r="Z4" i="9" s="1"/>
  <c r="AA4" i="9" s="1"/>
  <c r="AB4" i="9" s="1"/>
  <c r="AC4" i="9" s="1"/>
  <c r="AD4" i="9" s="1"/>
  <c r="AE4" i="9" s="1"/>
  <c r="AF4" i="9" s="1"/>
  <c r="AG4" i="9" s="1"/>
  <c r="C77" i="9"/>
  <c r="Q76" i="9"/>
  <c r="Q43" i="9"/>
  <c r="R41" i="9"/>
  <c r="R43" i="9" s="1"/>
  <c r="R76" i="9"/>
  <c r="K45" i="9"/>
  <c r="M45" i="9"/>
  <c r="F72" i="9"/>
  <c r="F36" i="9"/>
  <c r="F38" i="9" s="1"/>
  <c r="Y10" i="9"/>
  <c r="Z10" i="9" s="1"/>
  <c r="K29" i="9"/>
  <c r="V14" i="9"/>
  <c r="V36" i="9" s="1"/>
  <c r="U41" i="9"/>
  <c r="U43" i="9" s="1"/>
  <c r="U78" i="9" s="1"/>
  <c r="I76" i="9"/>
  <c r="C74" i="9"/>
  <c r="C76" i="9"/>
  <c r="C75" i="9"/>
  <c r="G77" i="9"/>
  <c r="G75" i="9"/>
  <c r="G74" i="9"/>
  <c r="E76" i="9"/>
  <c r="E41" i="9"/>
  <c r="E43" i="9" s="1"/>
  <c r="K30" i="9"/>
  <c r="F65" i="9"/>
  <c r="J65" i="9" s="1"/>
  <c r="K65" i="9" s="1"/>
  <c r="K25" i="9" s="1"/>
  <c r="F62" i="9"/>
  <c r="J62" i="9" s="1"/>
  <c r="F64" i="9"/>
  <c r="J64" i="9" s="1"/>
  <c r="K64" i="9" s="1"/>
  <c r="K24" i="9" s="1"/>
  <c r="F61" i="9"/>
  <c r="J61" i="9" s="1"/>
  <c r="K61" i="9" s="1"/>
  <c r="K21" i="9" s="1"/>
  <c r="F63" i="9"/>
  <c r="J63" i="9" s="1"/>
  <c r="K63" i="9" s="1"/>
  <c r="K23" i="9" s="1"/>
  <c r="F60" i="9"/>
  <c r="J60" i="9" s="1"/>
  <c r="K60" i="9" s="1"/>
  <c r="K20" i="9" s="1"/>
  <c r="F59" i="9"/>
  <c r="J59" i="9" s="1"/>
  <c r="K59" i="9" s="1"/>
  <c r="K19" i="9" s="1"/>
  <c r="F71" i="9"/>
  <c r="J71" i="9" s="1"/>
  <c r="I78" i="9"/>
  <c r="W28" i="9"/>
  <c r="W50" i="9"/>
  <c r="W12" i="9"/>
  <c r="W46" i="9" s="1"/>
  <c r="K34" i="4" s="1"/>
  <c r="K35" i="4" s="1"/>
  <c r="W54" i="9"/>
  <c r="K41" i="4" s="1"/>
  <c r="W13" i="9"/>
  <c r="W47" i="9" s="1"/>
  <c r="J46" i="9"/>
  <c r="J14" i="9"/>
  <c r="N13" i="9"/>
  <c r="N47" i="9" s="1"/>
  <c r="X8" i="9"/>
  <c r="N12" i="9"/>
  <c r="X3" i="9"/>
  <c r="L29" i="9"/>
  <c r="M69" i="9"/>
  <c r="M29" i="9" s="1"/>
  <c r="T77" i="9"/>
  <c r="T75" i="9"/>
  <c r="T74" i="9"/>
  <c r="L45" i="9"/>
  <c r="F66" i="9"/>
  <c r="AA9" i="9"/>
  <c r="D74" i="9"/>
  <c r="D77" i="9"/>
  <c r="D75" i="9"/>
  <c r="L68" i="9"/>
  <c r="K28" i="9"/>
  <c r="M70" i="9"/>
  <c r="M30" i="9" s="1"/>
  <c r="P104" i="4" l="1"/>
  <c r="Q106" i="4"/>
  <c r="K105" i="4"/>
  <c r="K107" i="4"/>
  <c r="H163" i="4"/>
  <c r="H159" i="4"/>
  <c r="S41" i="9"/>
  <c r="S43" i="9" s="1"/>
  <c r="S78" i="9" s="1"/>
  <c r="V38" i="9"/>
  <c r="J74" i="4"/>
  <c r="K40" i="4"/>
  <c r="K42" i="4"/>
  <c r="K33" i="4"/>
  <c r="L17" i="9"/>
  <c r="L40" i="9" s="1"/>
  <c r="M16" i="9"/>
  <c r="V63" i="9"/>
  <c r="V64" i="9"/>
  <c r="V45" i="9"/>
  <c r="V66" i="9"/>
  <c r="V72" i="9"/>
  <c r="Q78" i="9"/>
  <c r="R78" i="9"/>
  <c r="V59" i="9"/>
  <c r="AA59" i="9" s="1"/>
  <c r="V71" i="9"/>
  <c r="V62" i="9"/>
  <c r="V60" i="9"/>
  <c r="V65" i="9"/>
  <c r="V61" i="9"/>
  <c r="Y30" i="9"/>
  <c r="N69" i="9"/>
  <c r="N29" i="9" s="1"/>
  <c r="X29" i="9" s="1"/>
  <c r="X69" i="9" s="1"/>
  <c r="Y69" i="9" s="1"/>
  <c r="Z69" i="9" s="1"/>
  <c r="C41" i="9"/>
  <c r="C43" i="9" s="1"/>
  <c r="C78" i="9" s="1"/>
  <c r="W14" i="9"/>
  <c r="N46" i="9"/>
  <c r="N14" i="9"/>
  <c r="E78" i="9"/>
  <c r="F74" i="9"/>
  <c r="F77" i="9"/>
  <c r="F75" i="9"/>
  <c r="K71" i="9"/>
  <c r="L71" i="9" s="1"/>
  <c r="L31" i="9" s="1"/>
  <c r="J24" i="9"/>
  <c r="W24" i="9" s="1"/>
  <c r="J31" i="9"/>
  <c r="J25" i="9"/>
  <c r="W25" i="9" s="1"/>
  <c r="J21" i="9"/>
  <c r="W21" i="9" s="1"/>
  <c r="J20" i="9"/>
  <c r="W20" i="9" s="1"/>
  <c r="J45" i="9"/>
  <c r="J22" i="9"/>
  <c r="W22" i="9" s="1"/>
  <c r="J23" i="9"/>
  <c r="W23" i="9" s="1"/>
  <c r="J19" i="9"/>
  <c r="L28" i="9"/>
  <c r="W68" i="9"/>
  <c r="L59" i="9"/>
  <c r="L19" i="9" s="1"/>
  <c r="G76" i="9"/>
  <c r="G41" i="9"/>
  <c r="G43" i="9" s="1"/>
  <c r="L65" i="9"/>
  <c r="L25" i="9" s="1"/>
  <c r="D76" i="9"/>
  <c r="D41" i="9"/>
  <c r="D43" i="9" s="1"/>
  <c r="V74" i="9"/>
  <c r="V75" i="9"/>
  <c r="V77" i="9"/>
  <c r="L60" i="9"/>
  <c r="L20" i="9" s="1"/>
  <c r="N70" i="9"/>
  <c r="N30" i="9" s="1"/>
  <c r="X30" i="9" s="1"/>
  <c r="X70" i="9" s="1"/>
  <c r="L61" i="9"/>
  <c r="L21" i="9" s="1"/>
  <c r="T76" i="9"/>
  <c r="T41" i="9"/>
  <c r="T43" i="9" s="1"/>
  <c r="L64" i="9"/>
  <c r="L24" i="9" s="1"/>
  <c r="X54" i="9"/>
  <c r="L41" i="4" s="1"/>
  <c r="X13" i="9"/>
  <c r="X47" i="9" s="1"/>
  <c r="Y8" i="9"/>
  <c r="AB9" i="9"/>
  <c r="X50" i="9"/>
  <c r="Y50" i="9" s="1"/>
  <c r="Z50" i="9" s="1"/>
  <c r="AA50" i="9" s="1"/>
  <c r="AB50" i="9" s="1"/>
  <c r="AC50" i="9" s="1"/>
  <c r="AD50" i="9" s="1"/>
  <c r="AE50" i="9" s="1"/>
  <c r="AF50" i="9" s="1"/>
  <c r="X12" i="9"/>
  <c r="AA10" i="9"/>
  <c r="J77" i="9"/>
  <c r="K77" i="9" s="1"/>
  <c r="L77" i="9" s="1"/>
  <c r="M77" i="9" s="1"/>
  <c r="N77" i="9" s="1"/>
  <c r="L63" i="9"/>
  <c r="L23" i="9" s="1"/>
  <c r="K62" i="9"/>
  <c r="K22" i="9" s="1"/>
  <c r="M68" i="9"/>
  <c r="M28" i="9" s="1"/>
  <c r="R106" i="4" l="1"/>
  <c r="Q104" i="4"/>
  <c r="J163" i="4"/>
  <c r="J159" i="4"/>
  <c r="L42" i="4"/>
  <c r="L40" i="4"/>
  <c r="M17" i="9"/>
  <c r="M40" i="9" s="1"/>
  <c r="N16" i="9"/>
  <c r="J35" i="9"/>
  <c r="L35" i="9"/>
  <c r="M63" i="9"/>
  <c r="M23" i="9" s="1"/>
  <c r="Y3" i="9"/>
  <c r="Z3" i="9" s="1"/>
  <c r="M64" i="9"/>
  <c r="M24" i="9" s="1"/>
  <c r="M65" i="9"/>
  <c r="M25" i="9" s="1"/>
  <c r="W62" i="9"/>
  <c r="Z70" i="9"/>
  <c r="AA70" i="9"/>
  <c r="AC9" i="9"/>
  <c r="W45" i="9"/>
  <c r="Z8" i="9"/>
  <c r="Y13" i="9"/>
  <c r="Y47" i="9" s="1"/>
  <c r="M59" i="9"/>
  <c r="M19" i="9" s="1"/>
  <c r="M61" i="9"/>
  <c r="M21" i="9" s="1"/>
  <c r="N68" i="9"/>
  <c r="N28" i="9" s="1"/>
  <c r="W61" i="9"/>
  <c r="Y29" i="9"/>
  <c r="M71" i="9"/>
  <c r="M31" i="9" s="1"/>
  <c r="L62" i="9"/>
  <c r="L22" i="9" s="1"/>
  <c r="L26" i="9" s="1"/>
  <c r="W60" i="9"/>
  <c r="X46" i="9"/>
  <c r="L34" i="4" s="1"/>
  <c r="X14" i="9"/>
  <c r="D78" i="9"/>
  <c r="G78" i="9"/>
  <c r="L32" i="9"/>
  <c r="L72" i="9" s="1"/>
  <c r="W65" i="9"/>
  <c r="Z29" i="9"/>
  <c r="N45" i="9"/>
  <c r="K26" i="9"/>
  <c r="T78" i="9"/>
  <c r="F41" i="9"/>
  <c r="F43" i="9" s="1"/>
  <c r="F76" i="9"/>
  <c r="J26" i="9"/>
  <c r="W19" i="9"/>
  <c r="W31" i="9"/>
  <c r="W35" i="9" s="1"/>
  <c r="J32" i="9"/>
  <c r="J72" i="9" s="1"/>
  <c r="AA69" i="9"/>
  <c r="K31" i="9"/>
  <c r="K35" i="9" s="1"/>
  <c r="AB10" i="9"/>
  <c r="M60" i="9"/>
  <c r="M20" i="9" s="1"/>
  <c r="V41" i="9"/>
  <c r="V43" i="9" s="1"/>
  <c r="V76" i="9"/>
  <c r="W63" i="9"/>
  <c r="W64" i="9"/>
  <c r="J75" i="9"/>
  <c r="R104" i="4" l="1"/>
  <c r="S106" i="4"/>
  <c r="L33" i="4"/>
  <c r="L35" i="4"/>
  <c r="N17" i="9"/>
  <c r="N40" i="9" s="1"/>
  <c r="X16" i="9"/>
  <c r="N63" i="9"/>
  <c r="N23" i="9" s="1"/>
  <c r="X23" i="9" s="1"/>
  <c r="X63" i="9" s="1"/>
  <c r="Y63" i="9" s="1"/>
  <c r="Z63" i="9" s="1"/>
  <c r="Y12" i="9"/>
  <c r="Y46" i="9" s="1"/>
  <c r="M34" i="4" s="1"/>
  <c r="N65" i="9"/>
  <c r="N25" i="9" s="1"/>
  <c r="X25" i="9" s="1"/>
  <c r="X65" i="9" s="1"/>
  <c r="Y65" i="9" s="1"/>
  <c r="N64" i="9"/>
  <c r="N24" i="9" s="1"/>
  <c r="X24" i="9" s="1"/>
  <c r="X64" i="9" s="1"/>
  <c r="Y64" i="9" s="1"/>
  <c r="Z64" i="9" s="1"/>
  <c r="AA64" i="9" s="1"/>
  <c r="AB64" i="9" s="1"/>
  <c r="AC64" i="9" s="1"/>
  <c r="AD64" i="9" s="1"/>
  <c r="AE64" i="9" s="1"/>
  <c r="AF64" i="9" s="1"/>
  <c r="AG64" i="9" s="1"/>
  <c r="M32" i="9"/>
  <c r="M72" i="9" s="1"/>
  <c r="M35" i="9"/>
  <c r="N60" i="9"/>
  <c r="N20" i="9" s="1"/>
  <c r="X20" i="9" s="1"/>
  <c r="X60" i="9" s="1"/>
  <c r="Y60" i="9" s="1"/>
  <c r="L66" i="9"/>
  <c r="L34" i="9"/>
  <c r="L36" i="9" s="1"/>
  <c r="K32" i="9"/>
  <c r="K72" i="9" s="1"/>
  <c r="AA30" i="9"/>
  <c r="AB69" i="9"/>
  <c r="AA29" i="9"/>
  <c r="AC70" i="9"/>
  <c r="AC10" i="9"/>
  <c r="N59" i="9"/>
  <c r="N19" i="9" s="1"/>
  <c r="X19" i="9" s="1"/>
  <c r="Z30" i="9"/>
  <c r="W71" i="9"/>
  <c r="W32" i="9"/>
  <c r="W72" i="9" s="1"/>
  <c r="AB70" i="9"/>
  <c r="AD70" i="9" s="1"/>
  <c r="W59" i="9"/>
  <c r="W26" i="9"/>
  <c r="AA8" i="9"/>
  <c r="Z13" i="9"/>
  <c r="Z47" i="9" s="1"/>
  <c r="J66" i="9"/>
  <c r="J34" i="9"/>
  <c r="J36" i="9" s="1"/>
  <c r="Z12" i="9"/>
  <c r="AA3" i="9"/>
  <c r="F78" i="9"/>
  <c r="K66" i="9"/>
  <c r="M62" i="9"/>
  <c r="M22" i="9" s="1"/>
  <c r="M26" i="9" s="1"/>
  <c r="N61" i="9"/>
  <c r="N21" i="9" s="1"/>
  <c r="X21" i="9" s="1"/>
  <c r="X61" i="9" s="1"/>
  <c r="AD9" i="9"/>
  <c r="V78" i="9"/>
  <c r="X28" i="9"/>
  <c r="K75" i="9"/>
  <c r="N71" i="9"/>
  <c r="N31" i="9" s="1"/>
  <c r="X45" i="9"/>
  <c r="S104" i="4" l="1"/>
  <c r="T106" i="4"/>
  <c r="Y14" i="9"/>
  <c r="Y24" i="9" s="1"/>
  <c r="Y16" i="9"/>
  <c r="X57" i="9"/>
  <c r="L106" i="4" s="1"/>
  <c r="L104" i="4" s="1"/>
  <c r="X17" i="9"/>
  <c r="X40" i="9" s="1"/>
  <c r="N32" i="9"/>
  <c r="N72" i="9" s="1"/>
  <c r="N35" i="9"/>
  <c r="Z60" i="9"/>
  <c r="AA60" i="9" s="1"/>
  <c r="K34" i="9"/>
  <c r="K36" i="9" s="1"/>
  <c r="M66" i="9"/>
  <c r="M34" i="9"/>
  <c r="M36" i="9" s="1"/>
  <c r="Y61" i="9"/>
  <c r="Y21" i="9" s="1"/>
  <c r="X59" i="9"/>
  <c r="AC59" i="9" s="1"/>
  <c r="L75" i="9"/>
  <c r="L37" i="9" s="1"/>
  <c r="L38" i="9" s="1"/>
  <c r="AE9" i="9"/>
  <c r="AB8" i="9"/>
  <c r="AA13" i="9"/>
  <c r="AA47" i="9" s="1"/>
  <c r="AE70" i="9"/>
  <c r="AG70" i="9" s="1"/>
  <c r="AB30" i="9"/>
  <c r="L74" i="9"/>
  <c r="X68" i="9"/>
  <c r="Z65" i="9"/>
  <c r="AA65" i="9" s="1"/>
  <c r="N62" i="9"/>
  <c r="N22" i="9" s="1"/>
  <c r="N26" i="9" s="1"/>
  <c r="Y23" i="9"/>
  <c r="Y45" i="9"/>
  <c r="Y25" i="9"/>
  <c r="Y20" i="9"/>
  <c r="W66" i="9"/>
  <c r="W34" i="9"/>
  <c r="W36" i="9" s="1"/>
  <c r="W38" i="9" s="1"/>
  <c r="AF70" i="9"/>
  <c r="AC30" i="9"/>
  <c r="AD10" i="9"/>
  <c r="J74" i="9"/>
  <c r="W42" i="9"/>
  <c r="J37" i="9"/>
  <c r="W37" i="9" s="1"/>
  <c r="K97" i="4" s="1"/>
  <c r="AB3" i="9"/>
  <c r="AA12" i="9"/>
  <c r="Y59" i="9"/>
  <c r="Y19" i="9" s="1"/>
  <c r="Z59" i="9"/>
  <c r="AB59" i="9"/>
  <c r="AG59" i="9" s="1"/>
  <c r="X31" i="9"/>
  <c r="AB29" i="9"/>
  <c r="AA63" i="9"/>
  <c r="Z46" i="9"/>
  <c r="N34" i="4" s="1"/>
  <c r="Z14" i="9"/>
  <c r="AC69" i="9"/>
  <c r="AC29" i="9" s="1"/>
  <c r="T104" i="4" l="1"/>
  <c r="U106" i="4"/>
  <c r="U104" i="4" s="1"/>
  <c r="K98" i="4"/>
  <c r="W77" i="9"/>
  <c r="K100" i="4"/>
  <c r="K101" i="4" s="1"/>
  <c r="K37" i="9"/>
  <c r="K38" i="9" s="1"/>
  <c r="Y17" i="9"/>
  <c r="Y40" i="9" s="1"/>
  <c r="Z16" i="9"/>
  <c r="K74" i="9"/>
  <c r="J38" i="9"/>
  <c r="X71" i="9"/>
  <c r="X35" i="9"/>
  <c r="M75" i="9"/>
  <c r="N75" i="9" s="1"/>
  <c r="X22" i="9"/>
  <c r="X62" i="9" s="1"/>
  <c r="Y62" i="9" s="1"/>
  <c r="Z62" i="9" s="1"/>
  <c r="Z22" i="9" s="1"/>
  <c r="Z61" i="9"/>
  <c r="AA61" i="9" s="1"/>
  <c r="AD69" i="9"/>
  <c r="L39" i="9"/>
  <c r="AB63" i="9"/>
  <c r="AC63" i="9" s="1"/>
  <c r="X32" i="9"/>
  <c r="X72" i="9" s="1"/>
  <c r="Z45" i="9"/>
  <c r="Z25" i="9"/>
  <c r="Z24" i="9"/>
  <c r="Z20" i="9"/>
  <c r="Z19" i="9"/>
  <c r="Z23" i="9"/>
  <c r="AA46" i="9"/>
  <c r="O34" i="4" s="1"/>
  <c r="AA14" i="9"/>
  <c r="Y71" i="9"/>
  <c r="M74" i="9"/>
  <c r="Y68" i="9"/>
  <c r="AC8" i="9"/>
  <c r="AB13" i="9"/>
  <c r="AB47" i="9" s="1"/>
  <c r="N66" i="9"/>
  <c r="N34" i="9"/>
  <c r="N36" i="9" s="1"/>
  <c r="AE10" i="9"/>
  <c r="AD30" i="9"/>
  <c r="W74" i="9"/>
  <c r="K77" i="4" s="1"/>
  <c r="AB65" i="9"/>
  <c r="AC65" i="9" s="1"/>
  <c r="AC3" i="9"/>
  <c r="AB12" i="9"/>
  <c r="W75" i="9"/>
  <c r="AB60" i="9"/>
  <c r="AF9" i="9"/>
  <c r="AD59" i="9"/>
  <c r="K169" i="4" l="1"/>
  <c r="K75" i="4"/>
  <c r="K76" i="4"/>
  <c r="K78" i="4"/>
  <c r="AA16" i="9"/>
  <c r="Z17" i="9"/>
  <c r="Z40" i="9" s="1"/>
  <c r="K39" i="9"/>
  <c r="L41" i="9"/>
  <c r="L43" i="9" s="1"/>
  <c r="L78" i="9" s="1"/>
  <c r="M37" i="9"/>
  <c r="J39" i="9"/>
  <c r="W39" i="9" s="1"/>
  <c r="Z21" i="9"/>
  <c r="Z26" i="9" s="1"/>
  <c r="X26" i="9"/>
  <c r="X66" i="9" s="1"/>
  <c r="AD63" i="9"/>
  <c r="AE63" i="9" s="1"/>
  <c r="AE69" i="9"/>
  <c r="AF69" i="9" s="1"/>
  <c r="AF29" i="9" s="1"/>
  <c r="AD29" i="9"/>
  <c r="AD8" i="9"/>
  <c r="AC13" i="9"/>
  <c r="AC47" i="9" s="1"/>
  <c r="AA23" i="9"/>
  <c r="AA20" i="9"/>
  <c r="AA19" i="9"/>
  <c r="AA45" i="9"/>
  <c r="AA24" i="9"/>
  <c r="AA21" i="9"/>
  <c r="AA25" i="9"/>
  <c r="AE30" i="9"/>
  <c r="AF10" i="9"/>
  <c r="AG9" i="9"/>
  <c r="Z68" i="9"/>
  <c r="AB61" i="9"/>
  <c r="AD3" i="9"/>
  <c r="AC12" i="9"/>
  <c r="AA62" i="9"/>
  <c r="N74" i="9"/>
  <c r="N37" i="9"/>
  <c r="X42" i="9"/>
  <c r="L100" i="4" s="1"/>
  <c r="L101" i="4" s="1"/>
  <c r="Y28" i="9"/>
  <c r="AB14" i="9"/>
  <c r="AB46" i="9"/>
  <c r="P34" i="4" s="1"/>
  <c r="Y31" i="9"/>
  <c r="Y35" i="9" s="1"/>
  <c r="Z71" i="9"/>
  <c r="AC60" i="9"/>
  <c r="AD60" i="9" s="1"/>
  <c r="Y22" i="9"/>
  <c r="Y26" i="9" s="1"/>
  <c r="AD65" i="9"/>
  <c r="X37" i="9" l="1"/>
  <c r="L97" i="4" s="1"/>
  <c r="AB16" i="9"/>
  <c r="AA17" i="9"/>
  <c r="AA40" i="9" s="1"/>
  <c r="W41" i="9"/>
  <c r="W43" i="9" s="1"/>
  <c r="W78" i="9" s="1"/>
  <c r="K41" i="9"/>
  <c r="K43" i="9" s="1"/>
  <c r="K78" i="9" s="1"/>
  <c r="J41" i="9"/>
  <c r="J43" i="9" s="1"/>
  <c r="M38" i="9"/>
  <c r="N38" i="9"/>
  <c r="W76" i="9"/>
  <c r="X34" i="9"/>
  <c r="X36" i="9" s="1"/>
  <c r="X74" i="9" s="1"/>
  <c r="AF63" i="9"/>
  <c r="AG63" i="9" s="1"/>
  <c r="Y32" i="9"/>
  <c r="Y72" i="9" s="1"/>
  <c r="AG69" i="9"/>
  <c r="AG29" i="9" s="1"/>
  <c r="AE29" i="9"/>
  <c r="AD12" i="9"/>
  <c r="AE3" i="9"/>
  <c r="AG10" i="9"/>
  <c r="AG30" i="9" s="1"/>
  <c r="AF30" i="9"/>
  <c r="AE60" i="9"/>
  <c r="AF60" i="9" s="1"/>
  <c r="Z28" i="9"/>
  <c r="AA68" i="9"/>
  <c r="AC46" i="9"/>
  <c r="Q34" i="4" s="1"/>
  <c r="AC14" i="9"/>
  <c r="Z66" i="9"/>
  <c r="Y66" i="9"/>
  <c r="AB45" i="9"/>
  <c r="AB19" i="9"/>
  <c r="AB21" i="9"/>
  <c r="AB23" i="9"/>
  <c r="AB24" i="9"/>
  <c r="AB25" i="9"/>
  <c r="AB20" i="9"/>
  <c r="AC61" i="9"/>
  <c r="AD61" i="9" s="1"/>
  <c r="AA22" i="9"/>
  <c r="AA26" i="9" s="1"/>
  <c r="AA71" i="9"/>
  <c r="Z31" i="9"/>
  <c r="Z35" i="9" s="1"/>
  <c r="AE65" i="9"/>
  <c r="AD13" i="9"/>
  <c r="AD47" i="9" s="1"/>
  <c r="AE8" i="9"/>
  <c r="AB62" i="9"/>
  <c r="L169" i="4" l="1"/>
  <c r="L98" i="4"/>
  <c r="L78" i="4"/>
  <c r="L76" i="4"/>
  <c r="AC16" i="9"/>
  <c r="AB17" i="9"/>
  <c r="AB40" i="9" s="1"/>
  <c r="M39" i="9"/>
  <c r="M41" i="9" s="1"/>
  <c r="X75" i="9"/>
  <c r="Y75" i="9" s="1"/>
  <c r="Z75" i="9" s="1"/>
  <c r="AA75" i="9" s="1"/>
  <c r="AB75" i="9" s="1"/>
  <c r="AC75" i="9" s="1"/>
  <c r="AD75" i="9" s="1"/>
  <c r="AE75" i="9" s="1"/>
  <c r="AF75" i="9" s="1"/>
  <c r="AG75" i="9" s="1"/>
  <c r="X38" i="9"/>
  <c r="X77" i="9"/>
  <c r="Y77" i="9" s="1"/>
  <c r="Z77" i="9" s="1"/>
  <c r="AA77" i="9" s="1"/>
  <c r="AB77" i="9" s="1"/>
  <c r="AC77" i="9" s="1"/>
  <c r="AD77" i="9" s="1"/>
  <c r="AE77" i="9" s="1"/>
  <c r="AF77" i="9" s="1"/>
  <c r="AG77" i="9" s="1"/>
  <c r="J78" i="9"/>
  <c r="Y34" i="9"/>
  <c r="Y36" i="9" s="1"/>
  <c r="AG60" i="9"/>
  <c r="AA66" i="9"/>
  <c r="AE61" i="9"/>
  <c r="AA31" i="9"/>
  <c r="AA35" i="9" s="1"/>
  <c r="AB71" i="9"/>
  <c r="AF65" i="9"/>
  <c r="AG65" i="9" s="1"/>
  <c r="Z32" i="9"/>
  <c r="AA28" i="9"/>
  <c r="AB68" i="9"/>
  <c r="AC68" i="9" s="1"/>
  <c r="AC28" i="9" s="1"/>
  <c r="AC62" i="9"/>
  <c r="AD62" i="9" s="1"/>
  <c r="AB22" i="9"/>
  <c r="AB26" i="9" s="1"/>
  <c r="AC45" i="9"/>
  <c r="AC19" i="9"/>
  <c r="AC21" i="9"/>
  <c r="AC25" i="9"/>
  <c r="AC24" i="9"/>
  <c r="AC23" i="9"/>
  <c r="AC20" i="9"/>
  <c r="AE12" i="9"/>
  <c r="AF3" i="9"/>
  <c r="AE13" i="9"/>
  <c r="AE47" i="9" s="1"/>
  <c r="AF8" i="9"/>
  <c r="N39" i="9"/>
  <c r="N41" i="9" s="1"/>
  <c r="N43" i="9" s="1"/>
  <c r="AD46" i="9"/>
  <c r="R34" i="4" s="1"/>
  <c r="AD14" i="9"/>
  <c r="M43" i="9" l="1"/>
  <c r="M78" i="9" s="1"/>
  <c r="X39" i="9"/>
  <c r="X76" i="9" s="1"/>
  <c r="AC17" i="9"/>
  <c r="AC40" i="9" s="1"/>
  <c r="AD16" i="9"/>
  <c r="Y42" i="9"/>
  <c r="M100" i="4" s="1"/>
  <c r="M101" i="4" s="1"/>
  <c r="Y37" i="9"/>
  <c r="Y74" i="9"/>
  <c r="AA32" i="9"/>
  <c r="AA72" i="9" s="1"/>
  <c r="AE62" i="9"/>
  <c r="AF62" i="9" s="1"/>
  <c r="AF61" i="9"/>
  <c r="AG61" i="9" s="1"/>
  <c r="AB28" i="9"/>
  <c r="AD68" i="9"/>
  <c r="AD28" i="9" s="1"/>
  <c r="Z72" i="9"/>
  <c r="Z34" i="9"/>
  <c r="Z36" i="9" s="1"/>
  <c r="AG8" i="9"/>
  <c r="AF13" i="9"/>
  <c r="AF47" i="9" s="1"/>
  <c r="AB66" i="9"/>
  <c r="AB31" i="9"/>
  <c r="AB35" i="9" s="1"/>
  <c r="AD45" i="9"/>
  <c r="AD21" i="9"/>
  <c r="AD25" i="9"/>
  <c r="AD24" i="9"/>
  <c r="AD23" i="9"/>
  <c r="AD22" i="9"/>
  <c r="AD19" i="9"/>
  <c r="AD20" i="9"/>
  <c r="AF12" i="9"/>
  <c r="AG3" i="9"/>
  <c r="AG12" i="9" s="1"/>
  <c r="AE46" i="9"/>
  <c r="S34" i="4" s="1"/>
  <c r="AE14" i="9"/>
  <c r="AC22" i="9"/>
  <c r="AC26" i="9" s="1"/>
  <c r="AC71" i="9"/>
  <c r="Y38" i="9" l="1"/>
  <c r="M97" i="4"/>
  <c r="M76" i="4"/>
  <c r="M78" i="4"/>
  <c r="X41" i="9"/>
  <c r="X43" i="9" s="1"/>
  <c r="X78" i="9" s="1"/>
  <c r="Y39" i="9"/>
  <c r="Y41" i="9" s="1"/>
  <c r="AE16" i="9"/>
  <c r="AD17" i="9"/>
  <c r="AD40" i="9" s="1"/>
  <c r="N78" i="9"/>
  <c r="AA34" i="9"/>
  <c r="AD26" i="9"/>
  <c r="AD66" i="9" s="1"/>
  <c r="AG62" i="9"/>
  <c r="AC66" i="9"/>
  <c r="AE68" i="9"/>
  <c r="AB32" i="9"/>
  <c r="AG46" i="9"/>
  <c r="U34" i="4" s="1"/>
  <c r="AE25" i="9"/>
  <c r="AE21" i="9"/>
  <c r="AE24" i="9"/>
  <c r="AE23" i="9"/>
  <c r="AE22" i="9"/>
  <c r="AE45" i="9"/>
  <c r="AE20" i="9"/>
  <c r="AE19" i="9"/>
  <c r="AF46" i="9"/>
  <c r="T34" i="4" s="1"/>
  <c r="AF14" i="9"/>
  <c r="AD71" i="9"/>
  <c r="AD31" i="9" s="1"/>
  <c r="AC31" i="9"/>
  <c r="AG13" i="9"/>
  <c r="AG47" i="9" s="1"/>
  <c r="Z42" i="9"/>
  <c r="N100" i="4" s="1"/>
  <c r="N101" i="4" s="1"/>
  <c r="Z37" i="9"/>
  <c r="Z74" i="9"/>
  <c r="Z38" i="9" l="1"/>
  <c r="N97" i="4"/>
  <c r="M169" i="4"/>
  <c r="M98" i="4"/>
  <c r="N76" i="4"/>
  <c r="N78" i="4"/>
  <c r="AE17" i="9"/>
  <c r="AE40" i="9" s="1"/>
  <c r="AF16" i="9"/>
  <c r="Y43" i="9"/>
  <c r="Y78" i="9" s="1"/>
  <c r="AA36" i="9"/>
  <c r="AA42" i="9" s="1"/>
  <c r="O100" i="4" s="1"/>
  <c r="O101" i="4" s="1"/>
  <c r="AC32" i="9"/>
  <c r="AC72" i="9" s="1"/>
  <c r="AC35" i="9"/>
  <c r="AD32" i="9"/>
  <c r="AD72" i="9" s="1"/>
  <c r="AD35" i="9"/>
  <c r="AG14" i="9"/>
  <c r="AB72" i="9"/>
  <c r="AB34" i="9"/>
  <c r="AB36" i="9" s="1"/>
  <c r="AE26" i="9"/>
  <c r="AE28" i="9"/>
  <c r="Z39" i="9"/>
  <c r="Z41" i="9" s="1"/>
  <c r="AF45" i="9"/>
  <c r="AF24" i="9"/>
  <c r="AF23" i="9"/>
  <c r="AF22" i="9"/>
  <c r="AF21" i="9"/>
  <c r="AF25" i="9"/>
  <c r="AF20" i="9"/>
  <c r="AF19" i="9"/>
  <c r="AF68" i="9"/>
  <c r="AF28" i="9" s="1"/>
  <c r="AE71" i="9"/>
  <c r="N98" i="4" l="1"/>
  <c r="N169" i="4"/>
  <c r="AG16" i="9"/>
  <c r="AG17" i="9" s="1"/>
  <c r="AG40" i="9" s="1"/>
  <c r="AF17" i="9"/>
  <c r="AF40" i="9" s="1"/>
  <c r="Z43" i="9"/>
  <c r="Z78" i="9" s="1"/>
  <c r="AA37" i="9"/>
  <c r="AG19" i="9"/>
  <c r="AC34" i="9"/>
  <c r="AC36" i="9" s="1"/>
  <c r="AD34" i="9"/>
  <c r="AD36" i="9" s="1"/>
  <c r="AA74" i="9"/>
  <c r="AG20" i="9"/>
  <c r="AG25" i="9"/>
  <c r="AG21" i="9"/>
  <c r="AG22" i="9"/>
  <c r="AG23" i="9"/>
  <c r="AG45" i="9"/>
  <c r="AG24" i="9"/>
  <c r="AB74" i="9"/>
  <c r="AB37" i="9"/>
  <c r="AB42" i="9"/>
  <c r="P100" i="4" s="1"/>
  <c r="P101" i="4" s="1"/>
  <c r="AE31" i="9"/>
  <c r="AF71" i="9"/>
  <c r="AF31" i="9" s="1"/>
  <c r="AE66" i="9"/>
  <c r="AF26" i="9"/>
  <c r="AG68" i="9"/>
  <c r="AG28" i="9" s="1"/>
  <c r="AA38" i="9" l="1"/>
  <c r="O97" i="4"/>
  <c r="AB38" i="9"/>
  <c r="P97" i="4"/>
  <c r="P76" i="4"/>
  <c r="P78" i="4"/>
  <c r="O76" i="4"/>
  <c r="O78" i="4"/>
  <c r="AA39" i="9"/>
  <c r="AA41" i="9" s="1"/>
  <c r="AC74" i="9"/>
  <c r="AC42" i="9"/>
  <c r="Q100" i="4" s="1"/>
  <c r="Q101" i="4" s="1"/>
  <c r="AC37" i="9"/>
  <c r="AE32" i="9"/>
  <c r="AE72" i="9" s="1"/>
  <c r="AE35" i="9"/>
  <c r="AD42" i="9"/>
  <c r="R100" i="4" s="1"/>
  <c r="AD74" i="9"/>
  <c r="AD37" i="9"/>
  <c r="R97" i="4" s="1"/>
  <c r="AF32" i="9"/>
  <c r="AF72" i="9" s="1"/>
  <c r="AF35" i="9"/>
  <c r="AG26" i="9"/>
  <c r="AG66" i="9" s="1"/>
  <c r="AB39" i="9"/>
  <c r="AB41" i="9" s="1"/>
  <c r="AG71" i="9"/>
  <c r="AG31" i="9" s="1"/>
  <c r="AF66" i="9"/>
  <c r="R101" i="4" l="1"/>
  <c r="AC38" i="9"/>
  <c r="Q97" i="4"/>
  <c r="P169" i="4"/>
  <c r="P98" i="4"/>
  <c r="O169" i="4"/>
  <c r="O98" i="4"/>
  <c r="R98" i="4"/>
  <c r="R169" i="4"/>
  <c r="Q76" i="4"/>
  <c r="Q78" i="4"/>
  <c r="R76" i="4"/>
  <c r="R78" i="4"/>
  <c r="AB43" i="9"/>
  <c r="AB78" i="9" s="1"/>
  <c r="AC39" i="9"/>
  <c r="AC41" i="9" s="1"/>
  <c r="AA43" i="9"/>
  <c r="AA78" i="9" s="1"/>
  <c r="AE34" i="9"/>
  <c r="AE36" i="9" s="1"/>
  <c r="AE74" i="9" s="1"/>
  <c r="AD38" i="9"/>
  <c r="AG32" i="9"/>
  <c r="AG34" i="9" s="1"/>
  <c r="AG35" i="9"/>
  <c r="AF34" i="9"/>
  <c r="AF36" i="9" s="1"/>
  <c r="Q169" i="4" l="1"/>
  <c r="Q98" i="4"/>
  <c r="S78" i="4"/>
  <c r="S76" i="4"/>
  <c r="AE37" i="9"/>
  <c r="AE42" i="9"/>
  <c r="S100" i="4" s="1"/>
  <c r="S101" i="4" s="1"/>
  <c r="AD39" i="9"/>
  <c r="AD41" i="9" s="1"/>
  <c r="AC43" i="9"/>
  <c r="AC78" i="9" s="1"/>
  <c r="AF74" i="9"/>
  <c r="AG36" i="9"/>
  <c r="AG37" i="9" s="1"/>
  <c r="U97" i="4" s="1"/>
  <c r="AG72" i="9"/>
  <c r="AF37" i="9"/>
  <c r="AF42" i="9"/>
  <c r="T100" i="4" s="1"/>
  <c r="AF38" i="9" l="1"/>
  <c r="T97" i="4"/>
  <c r="U98" i="4" s="1"/>
  <c r="T101" i="4"/>
  <c r="AE38" i="9"/>
  <c r="AE39" i="9" s="1"/>
  <c r="AE41" i="9" s="1"/>
  <c r="AE43" i="9" s="1"/>
  <c r="AE78" i="9" s="1"/>
  <c r="S97" i="4"/>
  <c r="U169" i="4"/>
  <c r="T78" i="4"/>
  <c r="T76" i="4"/>
  <c r="AF39" i="9"/>
  <c r="AF41" i="9" s="1"/>
  <c r="AF43" i="9" s="1"/>
  <c r="AF78" i="9" s="1"/>
  <c r="AG42" i="9"/>
  <c r="U100" i="4" s="1"/>
  <c r="U101" i="4" s="1"/>
  <c r="AD43" i="9"/>
  <c r="AD78" i="9" s="1"/>
  <c r="AG38" i="9"/>
  <c r="AG39" i="9" s="1"/>
  <c r="AG74" i="9"/>
  <c r="T169" i="4" l="1"/>
  <c r="T98" i="4"/>
  <c r="S169" i="4"/>
  <c r="S98" i="4"/>
  <c r="U76" i="4"/>
  <c r="U78" i="4"/>
  <c r="AG41" i="9"/>
  <c r="AG43" i="9" s="1"/>
  <c r="AG78" i="9" s="1"/>
  <c r="F10" i="7" l="1"/>
  <c r="H60" i="4" l="1"/>
  <c r="I60" i="4"/>
  <c r="F60" i="4"/>
  <c r="G60" i="4"/>
  <c r="J60" i="4"/>
  <c r="K59" i="4"/>
  <c r="L59" i="4" s="1"/>
  <c r="M59" i="4" s="1"/>
  <c r="N59" i="4" s="1"/>
  <c r="F53" i="4"/>
  <c r="G53" i="4"/>
  <c r="H53" i="4"/>
  <c r="I53" i="4"/>
  <c r="J53" i="4"/>
  <c r="F46" i="4"/>
  <c r="I46" i="4"/>
  <c r="J46" i="4"/>
  <c r="H46" i="4"/>
  <c r="G46" i="4"/>
  <c r="L156" i="4"/>
  <c r="M156" i="4" s="1"/>
  <c r="N156" i="4" s="1"/>
  <c r="O156" i="4" s="1"/>
  <c r="P156" i="4" s="1"/>
  <c r="Q156" i="4" s="1"/>
  <c r="R156" i="4" s="1"/>
  <c r="S156" i="4" s="1"/>
  <c r="T156" i="4" s="1"/>
  <c r="U156" i="4" s="1"/>
  <c r="O59" i="4" l="1"/>
  <c r="P59" i="4" s="1"/>
  <c r="Q59" i="4" s="1"/>
  <c r="R59" i="4" s="1"/>
  <c r="S59" i="4" s="1"/>
  <c r="T59" i="4" s="1"/>
  <c r="U59" i="4" s="1"/>
  <c r="J70" i="4"/>
  <c r="I70" i="4" s="1"/>
  <c r="H70" i="4" s="1"/>
  <c r="G70" i="4" s="1"/>
  <c r="F70" i="4" s="1"/>
  <c r="E70" i="4" s="1"/>
  <c r="L70" i="4"/>
  <c r="M70" i="4" s="1"/>
  <c r="N70" i="4" s="1"/>
  <c r="O70" i="4" s="1"/>
  <c r="P70" i="4" s="1"/>
  <c r="Q70" i="4" s="1"/>
  <c r="R70" i="4" s="1"/>
  <c r="S70" i="4" s="1"/>
  <c r="T70" i="4" s="1"/>
  <c r="U70" i="4" s="1"/>
  <c r="J30" i="4"/>
  <c r="I30" i="4" s="1"/>
  <c r="H30" i="4" s="1"/>
  <c r="G30" i="4" s="1"/>
  <c r="F30" i="4" s="1"/>
  <c r="E30" i="4" s="1"/>
  <c r="L30" i="4"/>
  <c r="M30" i="4" s="1"/>
  <c r="N30" i="4" s="1"/>
  <c r="O30" i="4" s="1"/>
  <c r="P30" i="4" s="1"/>
  <c r="Q30" i="4" s="1"/>
  <c r="R30" i="4" s="1"/>
  <c r="S30" i="4" s="1"/>
  <c r="T30" i="4" s="1"/>
  <c r="U30" i="4" s="1"/>
  <c r="L120" i="4"/>
  <c r="M120" i="4" s="1"/>
  <c r="N120" i="4" s="1"/>
  <c r="O120" i="4" s="1"/>
  <c r="P120" i="4" s="1"/>
  <c r="Q120" i="4" s="1"/>
  <c r="R120" i="4" s="1"/>
  <c r="S120" i="4" s="1"/>
  <c r="T120" i="4" s="1"/>
  <c r="D138" i="4" l="1"/>
  <c r="F11" i="7"/>
  <c r="F16" i="7"/>
  <c r="F17" i="7"/>
  <c r="D134" i="4" l="1"/>
  <c r="K82" i="4" l="1"/>
  <c r="K166" i="4" l="1"/>
  <c r="L155" i="4"/>
  <c r="M155" i="4" s="1"/>
  <c r="N155" i="4" s="1"/>
  <c r="O155" i="4" s="1"/>
  <c r="P155" i="4" s="1"/>
  <c r="Q155" i="4" s="1"/>
  <c r="R155" i="4" s="1"/>
  <c r="S155" i="4" s="1"/>
  <c r="T155" i="4" s="1"/>
  <c r="U155" i="4" s="1"/>
  <c r="L69" i="4"/>
  <c r="M69" i="4" s="1"/>
  <c r="N69" i="4" s="1"/>
  <c r="O69" i="4" s="1"/>
  <c r="P69" i="4" s="1"/>
  <c r="Q69" i="4" s="1"/>
  <c r="R69" i="4" s="1"/>
  <c r="S69" i="4" s="1"/>
  <c r="T69" i="4" s="1"/>
  <c r="U69" i="4" s="1"/>
  <c r="F69" i="4"/>
  <c r="G69" i="4" s="1"/>
  <c r="H69" i="4" s="1"/>
  <c r="I69" i="4" s="1"/>
  <c r="J69" i="4" s="1"/>
  <c r="L29" i="4"/>
  <c r="M29" i="4" s="1"/>
  <c r="N29" i="4" s="1"/>
  <c r="O29" i="4" s="1"/>
  <c r="P29" i="4" s="1"/>
  <c r="Q29" i="4" s="1"/>
  <c r="R29" i="4" s="1"/>
  <c r="S29" i="4" s="1"/>
  <c r="T29" i="4" s="1"/>
  <c r="U29" i="4" s="1"/>
  <c r="F29" i="4"/>
  <c r="G29" i="4" s="1"/>
  <c r="H29" i="4" s="1"/>
  <c r="I29" i="4" s="1"/>
  <c r="J29" i="4" s="1"/>
  <c r="N41" i="4" l="1"/>
  <c r="O41" i="4" s="1"/>
  <c r="P41" i="4" s="1"/>
  <c r="Q41" i="4" s="1"/>
  <c r="R41" i="4" s="1"/>
  <c r="S41" i="4" s="1"/>
  <c r="T41" i="4" s="1"/>
  <c r="O55" i="4"/>
  <c r="O54" i="4"/>
  <c r="P54" i="4" s="1"/>
  <c r="Q54" i="4" s="1"/>
  <c r="R54" i="4" s="1"/>
  <c r="S54" i="4" s="1"/>
  <c r="T54" i="4" s="1"/>
  <c r="O56" i="4"/>
  <c r="P56" i="4" s="1"/>
  <c r="Q56" i="4" s="1"/>
  <c r="R56" i="4" s="1"/>
  <c r="S56" i="4" s="1"/>
  <c r="T56" i="4" s="1"/>
  <c r="L48" i="4"/>
  <c r="L49" i="4"/>
  <c r="M49" i="4" s="1"/>
  <c r="N49" i="4" s="1"/>
  <c r="O49" i="4" s="1"/>
  <c r="P49" i="4" s="1"/>
  <c r="Q49" i="4" s="1"/>
  <c r="R49" i="4" s="1"/>
  <c r="S49" i="4" s="1"/>
  <c r="T49" i="4" s="1"/>
  <c r="L47" i="4"/>
  <c r="M47" i="4" s="1"/>
  <c r="N47" i="4" s="1"/>
  <c r="O47" i="4" s="1"/>
  <c r="P47" i="4" s="1"/>
  <c r="Q47" i="4" s="1"/>
  <c r="R47" i="4" s="1"/>
  <c r="S47" i="4" s="1"/>
  <c r="T47" i="4" s="1"/>
  <c r="M42" i="4"/>
  <c r="N42" i="4" s="1"/>
  <c r="O42" i="4" s="1"/>
  <c r="P42" i="4" s="1"/>
  <c r="Q42" i="4" s="1"/>
  <c r="R42" i="4" s="1"/>
  <c r="S42" i="4" s="1"/>
  <c r="T42" i="4" s="1"/>
  <c r="M33" i="4"/>
  <c r="N33" i="4" s="1"/>
  <c r="O33" i="4" s="1"/>
  <c r="P33" i="4" s="1"/>
  <c r="Q33" i="4" s="1"/>
  <c r="R33" i="4" s="1"/>
  <c r="S33" i="4" s="1"/>
  <c r="T33" i="4" s="1"/>
  <c r="M40" i="4"/>
  <c r="N40" i="4" s="1"/>
  <c r="O40" i="4" s="1"/>
  <c r="P40" i="4" s="1"/>
  <c r="Q40" i="4" s="1"/>
  <c r="R40" i="4" s="1"/>
  <c r="S40" i="4" s="1"/>
  <c r="T40" i="4" s="1"/>
  <c r="M35" i="4"/>
  <c r="N35" i="4" s="1"/>
  <c r="O35" i="4" s="1"/>
  <c r="P35" i="4" s="1"/>
  <c r="Q35" i="4" s="1"/>
  <c r="R35" i="4" s="1"/>
  <c r="S35" i="4" s="1"/>
  <c r="T35" i="4" s="1"/>
  <c r="L46" i="4" l="1"/>
  <c r="L45" i="4" s="1"/>
  <c r="M48" i="4"/>
  <c r="P55" i="4"/>
  <c r="O53" i="4"/>
  <c r="F9" i="7"/>
  <c r="Q55" i="4" l="1"/>
  <c r="P53" i="4"/>
  <c r="N48" i="4"/>
  <c r="M46" i="4"/>
  <c r="M45" i="4" s="1"/>
  <c r="O48" i="4" l="1"/>
  <c r="N46" i="4"/>
  <c r="N45" i="4" s="1"/>
  <c r="R55" i="4"/>
  <c r="Q53" i="4"/>
  <c r="H23" i="4"/>
  <c r="P23" i="4"/>
  <c r="F13" i="7"/>
  <c r="F12" i="7"/>
  <c r="F14" i="7" s="1"/>
  <c r="F20" i="7"/>
  <c r="L119" i="4"/>
  <c r="M119" i="4" s="1"/>
  <c r="N119" i="4" s="1"/>
  <c r="O119" i="4" s="1"/>
  <c r="P119" i="4" s="1"/>
  <c r="Q119" i="4" s="1"/>
  <c r="R119" i="4" s="1"/>
  <c r="S119" i="4" s="1"/>
  <c r="T119" i="4" s="1"/>
  <c r="F88" i="4"/>
  <c r="F162" i="4" s="1"/>
  <c r="G88" i="4"/>
  <c r="G162" i="4" s="1"/>
  <c r="H88" i="4"/>
  <c r="H162" i="4" s="1"/>
  <c r="I88" i="4"/>
  <c r="I162" i="4" s="1"/>
  <c r="J88" i="4"/>
  <c r="J162" i="4" s="1"/>
  <c r="E88" i="4"/>
  <c r="E162" i="4" s="1"/>
  <c r="S55" i="4" l="1"/>
  <c r="R53" i="4"/>
  <c r="P48" i="4"/>
  <c r="O46" i="4"/>
  <c r="O45" i="4" s="1"/>
  <c r="D143" i="4"/>
  <c r="F19" i="7"/>
  <c r="F22" i="7" s="1"/>
  <c r="L22" i="4" s="1"/>
  <c r="H22" i="4" l="1"/>
  <c r="P22" i="4"/>
  <c r="T55" i="4"/>
  <c r="T53" i="4" s="1"/>
  <c r="S53" i="4"/>
  <c r="Q48" i="4"/>
  <c r="P46" i="4"/>
  <c r="P45" i="4" s="1"/>
  <c r="G148" i="4"/>
  <c r="H148" i="4" s="1"/>
  <c r="E148" i="4"/>
  <c r="D148" i="4" s="1"/>
  <c r="F17" i="4"/>
  <c r="J17" i="4" s="1"/>
  <c r="N17" i="4" s="1"/>
  <c r="R48" i="4" l="1"/>
  <c r="Q46" i="4"/>
  <c r="Q45" i="4" s="1"/>
  <c r="D144" i="4"/>
  <c r="J12" i="4"/>
  <c r="N12" i="4" s="1"/>
  <c r="L166" i="4"/>
  <c r="F82" i="4"/>
  <c r="F166" i="4" s="1"/>
  <c r="F84" i="4"/>
  <c r="F167" i="4" s="1"/>
  <c r="F172" i="4" s="1"/>
  <c r="I84" i="4"/>
  <c r="I167" i="4" s="1"/>
  <c r="I172" i="4" s="1"/>
  <c r="E82" i="4"/>
  <c r="E166" i="4" s="1"/>
  <c r="H84" i="4"/>
  <c r="H167" i="4" s="1"/>
  <c r="H172" i="4" s="1"/>
  <c r="J84" i="4"/>
  <c r="J167" i="4" s="1"/>
  <c r="J172" i="4" s="1"/>
  <c r="G82" i="4"/>
  <c r="G166" i="4" s="1"/>
  <c r="G84" i="4"/>
  <c r="G167" i="4" s="1"/>
  <c r="G172" i="4" s="1"/>
  <c r="K124" i="4"/>
  <c r="T124" i="4" s="1"/>
  <c r="U75" i="4"/>
  <c r="U164" i="4" s="1"/>
  <c r="H82" i="4"/>
  <c r="H166" i="4" s="1"/>
  <c r="J82" i="4"/>
  <c r="J166" i="4" s="1"/>
  <c r="I82" i="4"/>
  <c r="I166" i="4" s="1"/>
  <c r="S48" i="4" l="1"/>
  <c r="R46" i="4"/>
  <c r="R45" i="4" s="1"/>
  <c r="C152" i="4"/>
  <c r="C153" i="4" s="1"/>
  <c r="C150" i="4"/>
  <c r="C149" i="4" s="1"/>
  <c r="M166" i="4"/>
  <c r="K125" i="4"/>
  <c r="T48" i="4" l="1"/>
  <c r="T46" i="4" s="1"/>
  <c r="S46" i="4"/>
  <c r="S45" i="4" s="1"/>
  <c r="N166" i="4"/>
  <c r="F32" i="4"/>
  <c r="G32" i="4"/>
  <c r="G71" i="4"/>
  <c r="F39" i="4"/>
  <c r="G39" i="4"/>
  <c r="G157" i="4" l="1"/>
  <c r="G160" i="4" s="1"/>
  <c r="T45" i="4"/>
  <c r="U45" i="4" s="1"/>
  <c r="O166" i="4"/>
  <c r="E91" i="4"/>
  <c r="E94" i="4"/>
  <c r="E87" i="4"/>
  <c r="G75" i="4"/>
  <c r="G164" i="4" s="1"/>
  <c r="G87" i="4"/>
  <c r="G91" i="4"/>
  <c r="G94" i="4"/>
  <c r="I71" i="4"/>
  <c r="I157" i="4" s="1"/>
  <c r="I160" i="4" s="1"/>
  <c r="F67" i="4"/>
  <c r="F72" i="4" s="1"/>
  <c r="F158" i="4" s="1"/>
  <c r="F71" i="4"/>
  <c r="G67" i="4"/>
  <c r="G72" i="4" s="1"/>
  <c r="G158" i="4" s="1"/>
  <c r="H32" i="4"/>
  <c r="F95" i="4" l="1"/>
  <c r="F157" i="4"/>
  <c r="F160" i="4" s="1"/>
  <c r="P166" i="4"/>
  <c r="G95" i="4"/>
  <c r="I75" i="4"/>
  <c r="I164" i="4" s="1"/>
  <c r="I94" i="4"/>
  <c r="I87" i="4"/>
  <c r="I91" i="4"/>
  <c r="F75" i="4"/>
  <c r="F164" i="4" s="1"/>
  <c r="F91" i="4"/>
  <c r="F94" i="4"/>
  <c r="F87" i="4"/>
  <c r="I32" i="4"/>
  <c r="H39" i="4"/>
  <c r="H71" i="4"/>
  <c r="H157" i="4" s="1"/>
  <c r="H160" i="4" s="1"/>
  <c r="I39" i="4"/>
  <c r="Q166" i="4" l="1"/>
  <c r="I95" i="4"/>
  <c r="H75" i="4"/>
  <c r="H164" i="4" s="1"/>
  <c r="H95" i="4"/>
  <c r="H87" i="4"/>
  <c r="H91" i="4"/>
  <c r="H94" i="4"/>
  <c r="J39" i="4"/>
  <c r="H67" i="4"/>
  <c r="H72" i="4" s="1"/>
  <c r="H158" i="4" s="1"/>
  <c r="I67" i="4"/>
  <c r="I72" i="4" s="1"/>
  <c r="I158" i="4" s="1"/>
  <c r="J32" i="4"/>
  <c r="R166" i="4" l="1"/>
  <c r="K39" i="4"/>
  <c r="K38" i="4" s="1"/>
  <c r="J71" i="4"/>
  <c r="J157" i="4" s="1"/>
  <c r="J160" i="4" s="1"/>
  <c r="S166" i="4" l="1"/>
  <c r="J75" i="4"/>
  <c r="J164" i="4" s="1"/>
  <c r="J94" i="4"/>
  <c r="J95" i="4"/>
  <c r="J87" i="4"/>
  <c r="J91" i="4"/>
  <c r="J67" i="4"/>
  <c r="J72" i="4" s="1"/>
  <c r="J158" i="4" s="1"/>
  <c r="K32" i="4"/>
  <c r="U166" i="4" l="1"/>
  <c r="T166" i="4"/>
  <c r="K31" i="4" l="1"/>
  <c r="L39" i="4" l="1"/>
  <c r="L38" i="4" s="1"/>
  <c r="L32" i="4" l="1"/>
  <c r="L31" i="4" l="1"/>
  <c r="K164" i="4"/>
  <c r="M39" i="4"/>
  <c r="M38" i="4" s="1"/>
  <c r="N39" i="4" l="1"/>
  <c r="N38" i="4" s="1"/>
  <c r="O39" i="4" l="1"/>
  <c r="O38" i="4" s="1"/>
  <c r="P39" i="4" l="1"/>
  <c r="P38" i="4" s="1"/>
  <c r="Q39" i="4" l="1"/>
  <c r="Q38" i="4" s="1"/>
  <c r="R39" i="4" l="1"/>
  <c r="R38" i="4" s="1"/>
  <c r="M32" i="4"/>
  <c r="M31" i="4" s="1"/>
  <c r="S39" i="4" l="1"/>
  <c r="S38" i="4" s="1"/>
  <c r="L75" i="4"/>
  <c r="N32" i="4"/>
  <c r="N31" i="4" s="1"/>
  <c r="L164" i="4" l="1"/>
  <c r="T39" i="4"/>
  <c r="T38" i="4" s="1"/>
  <c r="M75" i="4"/>
  <c r="O32" i="4"/>
  <c r="O31" i="4" s="1"/>
  <c r="M164" i="4" l="1"/>
  <c r="U39" i="4"/>
  <c r="U38" i="4" s="1"/>
  <c r="P32" i="4"/>
  <c r="P31" i="4" s="1"/>
  <c r="N75" i="4"/>
  <c r="U32" i="4"/>
  <c r="N164" i="4" l="1"/>
  <c r="Q32" i="4"/>
  <c r="Q31" i="4" s="1"/>
  <c r="O75" i="4"/>
  <c r="O164" i="4" l="1"/>
  <c r="P75" i="4"/>
  <c r="R32" i="4"/>
  <c r="R31" i="4" s="1"/>
  <c r="P164" i="4" l="1"/>
  <c r="T32" i="4"/>
  <c r="S32" i="4"/>
  <c r="S31" i="4" s="1"/>
  <c r="Q75" i="4"/>
  <c r="Q164" i="4" l="1"/>
  <c r="T31" i="4"/>
  <c r="R75" i="4"/>
  <c r="R164" i="4" l="1"/>
  <c r="T75" i="4"/>
  <c r="T164" i="4" s="1"/>
  <c r="S75" i="4"/>
  <c r="S164" i="4" s="1"/>
  <c r="U31" i="4"/>
  <c r="L124" i="4" l="1"/>
  <c r="L125" i="4" s="1"/>
  <c r="M124" i="4" l="1"/>
  <c r="N124" i="4" s="1"/>
  <c r="O124" i="4" s="1"/>
  <c r="P124" i="4" s="1"/>
  <c r="Q124" i="4" s="1"/>
  <c r="R124" i="4" s="1"/>
  <c r="S124" i="4" s="1"/>
  <c r="M125" i="4" l="1"/>
  <c r="N125" i="4" l="1"/>
  <c r="O125" i="4" l="1"/>
  <c r="P125" i="4" l="1"/>
  <c r="Q125" i="4" l="1"/>
  <c r="R125" i="4" l="1"/>
  <c r="S125" i="4" l="1"/>
  <c r="T125" i="4" l="1"/>
  <c r="K52" i="4" l="1"/>
  <c r="K66" i="4" s="1"/>
  <c r="L52" i="4" l="1"/>
  <c r="L66" i="4" s="1"/>
  <c r="K67" i="4" l="1"/>
  <c r="K72" i="4" s="1"/>
  <c r="K158" i="4" s="1"/>
  <c r="K71" i="4"/>
  <c r="M52" i="4"/>
  <c r="M66" i="4" s="1"/>
  <c r="K91" i="4" l="1"/>
  <c r="L91" i="4" s="1"/>
  <c r="M91" i="4" s="1"/>
  <c r="K94" i="4"/>
  <c r="K74" i="4"/>
  <c r="K87" i="4"/>
  <c r="K157" i="4"/>
  <c r="K170" i="4"/>
  <c r="L67" i="4"/>
  <c r="L72" i="4" s="1"/>
  <c r="L158" i="4" s="1"/>
  <c r="L71" i="4"/>
  <c r="N52" i="4"/>
  <c r="N66" i="4" s="1"/>
  <c r="L90" i="4" l="1"/>
  <c r="L170" i="4" s="1"/>
  <c r="L94" i="4"/>
  <c r="M94" i="4" s="1"/>
  <c r="N94" i="4" s="1"/>
  <c r="O94" i="4" s="1"/>
  <c r="N91" i="4"/>
  <c r="O91" i="4" s="1"/>
  <c r="P91" i="4" s="1"/>
  <c r="Q91" i="4" s="1"/>
  <c r="R91" i="4" s="1"/>
  <c r="S91" i="4" s="1"/>
  <c r="T91" i="4" s="1"/>
  <c r="L87" i="4"/>
  <c r="M87" i="4" s="1"/>
  <c r="N87" i="4" s="1"/>
  <c r="K171" i="4"/>
  <c r="K95" i="4"/>
  <c r="K88" i="4"/>
  <c r="K162" i="4" s="1"/>
  <c r="K161" i="4"/>
  <c r="K168" i="4" s="1"/>
  <c r="K159" i="4"/>
  <c r="K160" i="4" s="1"/>
  <c r="O52" i="4"/>
  <c r="O66" i="4" s="1"/>
  <c r="K81" i="4"/>
  <c r="K165" i="4" s="1"/>
  <c r="K163" i="4"/>
  <c r="M67" i="4"/>
  <c r="M72" i="4" s="1"/>
  <c r="M158" i="4" s="1"/>
  <c r="M71" i="4"/>
  <c r="L74" i="4"/>
  <c r="L157" i="4"/>
  <c r="L93" i="4" l="1"/>
  <c r="L95" i="4" s="1"/>
  <c r="P94" i="4"/>
  <c r="Q94" i="4" s="1"/>
  <c r="U91" i="4"/>
  <c r="L86" i="4"/>
  <c r="L159" i="4" s="1"/>
  <c r="L160" i="4" s="1"/>
  <c r="O87" i="4"/>
  <c r="P87" i="4" s="1"/>
  <c r="Q87" i="4" s="1"/>
  <c r="R87" i="4" s="1"/>
  <c r="S87" i="4" s="1"/>
  <c r="K84" i="4"/>
  <c r="P52" i="4"/>
  <c r="P66" i="4" s="1"/>
  <c r="N67" i="4"/>
  <c r="N72" i="4" s="1"/>
  <c r="N158" i="4" s="1"/>
  <c r="N71" i="4"/>
  <c r="L163" i="4"/>
  <c r="L81" i="4"/>
  <c r="L165" i="4" s="1"/>
  <c r="M86" i="4"/>
  <c r="M93" i="4"/>
  <c r="M157" i="4"/>
  <c r="M74" i="4"/>
  <c r="M90" i="4"/>
  <c r="M170" i="4" s="1"/>
  <c r="L171" i="4" l="1"/>
  <c r="R94" i="4"/>
  <c r="S94" i="4" s="1"/>
  <c r="L88" i="4"/>
  <c r="L162" i="4" s="1"/>
  <c r="L161" i="4"/>
  <c r="L168" i="4" s="1"/>
  <c r="T87" i="4"/>
  <c r="U87" i="4" s="1"/>
  <c r="K167" i="4"/>
  <c r="K172" i="4" s="1"/>
  <c r="L84" i="4"/>
  <c r="N157" i="4"/>
  <c r="N86" i="4"/>
  <c r="N90" i="4"/>
  <c r="N170" i="4" s="1"/>
  <c r="N74" i="4"/>
  <c r="N93" i="4"/>
  <c r="M171" i="4"/>
  <c r="M95" i="4"/>
  <c r="M159" i="4"/>
  <c r="M160" i="4" s="1"/>
  <c r="M161" i="4"/>
  <c r="M168" i="4" s="1"/>
  <c r="M88" i="4"/>
  <c r="M162" i="4" s="1"/>
  <c r="O71" i="4"/>
  <c r="O67" i="4"/>
  <c r="O72" i="4" s="1"/>
  <c r="O158" i="4" s="1"/>
  <c r="M81" i="4"/>
  <c r="M165" i="4" s="1"/>
  <c r="M163" i="4"/>
  <c r="Q52" i="4"/>
  <c r="Q66" i="4" s="1"/>
  <c r="T94" i="4" l="1"/>
  <c r="U94" i="4" s="1"/>
  <c r="L167" i="4"/>
  <c r="L172" i="4" s="1"/>
  <c r="P67" i="4"/>
  <c r="P72" i="4" s="1"/>
  <c r="P158" i="4" s="1"/>
  <c r="P71" i="4"/>
  <c r="N171" i="4"/>
  <c r="N95" i="4"/>
  <c r="N161" i="4"/>
  <c r="N168" i="4" s="1"/>
  <c r="N159" i="4"/>
  <c r="N160" i="4" s="1"/>
  <c r="N88" i="4"/>
  <c r="N162" i="4" s="1"/>
  <c r="O74" i="4"/>
  <c r="O90" i="4"/>
  <c r="O170" i="4" s="1"/>
  <c r="O86" i="4"/>
  <c r="O93" i="4"/>
  <c r="O157" i="4"/>
  <c r="N81" i="4"/>
  <c r="N165" i="4" s="1"/>
  <c r="N163" i="4"/>
  <c r="R52" i="4"/>
  <c r="R66" i="4" s="1"/>
  <c r="M84" i="4"/>
  <c r="M167" i="4" l="1"/>
  <c r="M172" i="4" s="1"/>
  <c r="O163" i="4"/>
  <c r="O81" i="4"/>
  <c r="O165" i="4" s="1"/>
  <c r="O95" i="4"/>
  <c r="O171" i="4"/>
  <c r="S52" i="4"/>
  <c r="S66" i="4" s="1"/>
  <c r="Q71" i="4"/>
  <c r="Q67" i="4"/>
  <c r="Q72" i="4" s="1"/>
  <c r="Q158" i="4" s="1"/>
  <c r="P157" i="4"/>
  <c r="P74" i="4"/>
  <c r="P93" i="4"/>
  <c r="P90" i="4"/>
  <c r="P170" i="4" s="1"/>
  <c r="P86" i="4"/>
  <c r="N84" i="4"/>
  <c r="O88" i="4"/>
  <c r="O162" i="4" s="1"/>
  <c r="O161" i="4"/>
  <c r="O168" i="4" s="1"/>
  <c r="O159" i="4"/>
  <c r="O160" i="4" s="1"/>
  <c r="N167" i="4" l="1"/>
  <c r="N172" i="4" s="1"/>
  <c r="O84" i="4"/>
  <c r="R71" i="4"/>
  <c r="R67" i="4"/>
  <c r="R72" i="4" s="1"/>
  <c r="R158" i="4" s="1"/>
  <c r="P159" i="4"/>
  <c r="P160" i="4" s="1"/>
  <c r="P161" i="4"/>
  <c r="P168" i="4" s="1"/>
  <c r="P88" i="4"/>
  <c r="P162" i="4" s="1"/>
  <c r="T52" i="4"/>
  <c r="T66" i="4" s="1"/>
  <c r="Q86" i="4"/>
  <c r="Q157" i="4"/>
  <c r="Q74" i="4"/>
  <c r="Q90" i="4"/>
  <c r="Q170" i="4" s="1"/>
  <c r="Q93" i="4"/>
  <c r="P81" i="4"/>
  <c r="P165" i="4" s="1"/>
  <c r="P163" i="4"/>
  <c r="P171" i="4"/>
  <c r="P95" i="4"/>
  <c r="O167" i="4" l="1"/>
  <c r="O172" i="4" s="1"/>
  <c r="U52" i="4"/>
  <c r="U66" i="4" s="1"/>
  <c r="Q171" i="4"/>
  <c r="Q95" i="4"/>
  <c r="Q163" i="4"/>
  <c r="Q81" i="4"/>
  <c r="Q165" i="4" s="1"/>
  <c r="S71" i="4"/>
  <c r="S67" i="4"/>
  <c r="S72" i="4" s="1"/>
  <c r="S158" i="4" s="1"/>
  <c r="P84" i="4"/>
  <c r="Q88" i="4"/>
  <c r="Q162" i="4" s="1"/>
  <c r="Q159" i="4"/>
  <c r="Q160" i="4" s="1"/>
  <c r="Q161" i="4"/>
  <c r="Q168" i="4" s="1"/>
  <c r="R74" i="4"/>
  <c r="R86" i="4"/>
  <c r="R93" i="4"/>
  <c r="R90" i="4"/>
  <c r="R170" i="4" s="1"/>
  <c r="R157" i="4"/>
  <c r="P167" i="4" l="1"/>
  <c r="P172" i="4" s="1"/>
  <c r="R95" i="4"/>
  <c r="R171" i="4"/>
  <c r="S74" i="4"/>
  <c r="S86" i="4"/>
  <c r="S157" i="4"/>
  <c r="S93" i="4"/>
  <c r="S90" i="4"/>
  <c r="S170" i="4" s="1"/>
  <c r="R161" i="4"/>
  <c r="R168" i="4" s="1"/>
  <c r="R88" i="4"/>
  <c r="R162" i="4" s="1"/>
  <c r="R159" i="4"/>
  <c r="R160" i="4" s="1"/>
  <c r="Q84" i="4"/>
  <c r="U71" i="4"/>
  <c r="U67" i="4"/>
  <c r="U72" i="4" s="1"/>
  <c r="U158" i="4" s="1"/>
  <c r="R81" i="4"/>
  <c r="R165" i="4" s="1"/>
  <c r="R163" i="4"/>
  <c r="T67" i="4"/>
  <c r="T72" i="4" s="1"/>
  <c r="T158" i="4" s="1"/>
  <c r="T71" i="4"/>
  <c r="Q167" i="4" l="1"/>
  <c r="Q172" i="4" s="1"/>
  <c r="S171" i="4"/>
  <c r="S95" i="4"/>
  <c r="U86" i="4"/>
  <c r="U74" i="4"/>
  <c r="U157" i="4"/>
  <c r="U90" i="4"/>
  <c r="U170" i="4" s="1"/>
  <c r="U93" i="4"/>
  <c r="S163" i="4"/>
  <c r="S81" i="4"/>
  <c r="S165" i="4" s="1"/>
  <c r="T93" i="4"/>
  <c r="T90" i="4"/>
  <c r="T170" i="4" s="1"/>
  <c r="T86" i="4"/>
  <c r="T157" i="4"/>
  <c r="T74" i="4"/>
  <c r="S159" i="4"/>
  <c r="S160" i="4" s="1"/>
  <c r="S161" i="4"/>
  <c r="S168" i="4" s="1"/>
  <c r="S88" i="4"/>
  <c r="S162" i="4" s="1"/>
  <c r="R84" i="4"/>
  <c r="U159" i="4" l="1"/>
  <c r="R167" i="4"/>
  <c r="R172" i="4" s="1"/>
  <c r="U171" i="4"/>
  <c r="U95" i="4"/>
  <c r="T171" i="4"/>
  <c r="T95" i="4"/>
  <c r="U88" i="4"/>
  <c r="U162" i="4" s="1"/>
  <c r="U161" i="4"/>
  <c r="U168" i="4" s="1"/>
  <c r="T159" i="4"/>
  <c r="T160" i="4" s="1"/>
  <c r="T161" i="4"/>
  <c r="T168" i="4" s="1"/>
  <c r="T88" i="4"/>
  <c r="T162" i="4" s="1"/>
  <c r="U163" i="4"/>
  <c r="U81" i="4"/>
  <c r="U165" i="4" s="1"/>
  <c r="S84" i="4"/>
  <c r="T81" i="4"/>
  <c r="T165" i="4" s="1"/>
  <c r="T163" i="4"/>
  <c r="S167" i="4" l="1"/>
  <c r="S172" i="4" s="1"/>
  <c r="U84" i="4"/>
  <c r="T84" i="4"/>
  <c r="U160" i="4"/>
  <c r="T167" i="4" l="1"/>
  <c r="T172" i="4" s="1"/>
  <c r="U167" i="4"/>
  <c r="U172" i="4" s="1"/>
  <c r="K103" i="4" l="1"/>
  <c r="K110" i="4" s="1"/>
  <c r="K173" i="4" s="1"/>
  <c r="K175" i="4" l="1"/>
  <c r="K177" i="4"/>
  <c r="L103" i="4"/>
  <c r="L110" i="4" s="1"/>
  <c r="L173" i="4" s="1"/>
  <c r="K115" i="4"/>
  <c r="K116" i="4" l="1"/>
  <c r="M103" i="4"/>
  <c r="M110" i="4" s="1"/>
  <c r="M173" i="4" s="1"/>
  <c r="L112" i="4" l="1"/>
  <c r="L174" i="4" s="1"/>
  <c r="N103" i="4"/>
  <c r="N110" i="4" s="1"/>
  <c r="N173" i="4" s="1"/>
  <c r="L175" i="4" l="1"/>
  <c r="L177" i="4"/>
  <c r="L115" i="4"/>
  <c r="M112" i="4"/>
  <c r="O103" i="4"/>
  <c r="O110" i="4" s="1"/>
  <c r="O173" i="4" s="1"/>
  <c r="M115" i="4" l="1"/>
  <c r="M116" i="4" s="1"/>
  <c r="M174" i="4"/>
  <c r="L116" i="4"/>
  <c r="K121" i="4"/>
  <c r="K127" i="4" s="1"/>
  <c r="N112" i="4"/>
  <c r="P103" i="4"/>
  <c r="P110" i="4" s="1"/>
  <c r="P173" i="4" s="1"/>
  <c r="L121" i="4" l="1"/>
  <c r="L122" i="4" s="1"/>
  <c r="M175" i="4"/>
  <c r="M177" i="4"/>
  <c r="N115" i="4"/>
  <c r="N116" i="4" s="1"/>
  <c r="N174" i="4"/>
  <c r="O112" i="4"/>
  <c r="Q103" i="4"/>
  <c r="Q110" i="4" s="1"/>
  <c r="Q173" i="4" s="1"/>
  <c r="L127" i="4" l="1"/>
  <c r="N175" i="4"/>
  <c r="N177" i="4"/>
  <c r="M121" i="4"/>
  <c r="M122" i="4" s="1"/>
  <c r="O115" i="4"/>
  <c r="O116" i="4" s="1"/>
  <c r="O174" i="4"/>
  <c r="P112" i="4"/>
  <c r="R103" i="4"/>
  <c r="R110" i="4" s="1"/>
  <c r="R173" i="4" s="1"/>
  <c r="M127" i="4" l="1"/>
  <c r="O175" i="4"/>
  <c r="O177" i="4"/>
  <c r="N121" i="4"/>
  <c r="N122" i="4" s="1"/>
  <c r="P115" i="4"/>
  <c r="P116" i="4" s="1"/>
  <c r="P174" i="4"/>
  <c r="Q112" i="4"/>
  <c r="S103" i="4"/>
  <c r="S110" i="4" s="1"/>
  <c r="S173" i="4" s="1"/>
  <c r="N127" i="4" l="1"/>
  <c r="P175" i="4"/>
  <c r="P177" i="4"/>
  <c r="O121" i="4"/>
  <c r="O122" i="4" s="1"/>
  <c r="Q115" i="4"/>
  <c r="Q116" i="4" s="1"/>
  <c r="Q174" i="4"/>
  <c r="R112" i="4"/>
  <c r="T103" i="4"/>
  <c r="T110" i="4" s="1"/>
  <c r="T173" i="4" s="1"/>
  <c r="P121" i="4" l="1"/>
  <c r="P127" i="4" s="1"/>
  <c r="Q175" i="4"/>
  <c r="Q177" i="4"/>
  <c r="O127" i="4"/>
  <c r="R115" i="4"/>
  <c r="R116" i="4" s="1"/>
  <c r="R174" i="4"/>
  <c r="S112" i="4"/>
  <c r="U103" i="4"/>
  <c r="U110" i="4" s="1"/>
  <c r="U173" i="4" s="1"/>
  <c r="P122" i="4" l="1"/>
  <c r="R175" i="4"/>
  <c r="R177" i="4"/>
  <c r="Q121" i="4"/>
  <c r="Q127" i="4" s="1"/>
  <c r="S115" i="4"/>
  <c r="S116" i="4" s="1"/>
  <c r="S174" i="4"/>
  <c r="U112" i="4"/>
  <c r="U174" i="4" s="1"/>
  <c r="U175" i="4" s="1"/>
  <c r="T112" i="4"/>
  <c r="Q122" i="4" l="1"/>
  <c r="U177" i="4"/>
  <c r="S175" i="4"/>
  <c r="S177" i="4"/>
  <c r="R121" i="4"/>
  <c r="R122" i="4" s="1"/>
  <c r="T115" i="4"/>
  <c r="T116" i="4" s="1"/>
  <c r="T174" i="4"/>
  <c r="U115" i="4"/>
  <c r="U116" i="4" s="1"/>
  <c r="S121" i="4" l="1"/>
  <c r="S127" i="4" s="1"/>
  <c r="T175" i="4"/>
  <c r="T177" i="4"/>
  <c r="R127" i="4"/>
  <c r="T121" i="4"/>
  <c r="S122" i="4" l="1"/>
  <c r="T123" i="4"/>
  <c r="T128" i="4" s="1"/>
  <c r="T122" i="4"/>
  <c r="T127" i="4"/>
  <c r="D130" i="4" l="1"/>
  <c r="D136" i="4" s="1"/>
  <c r="D139" i="4" s="1"/>
  <c r="C148" i="4" l="1"/>
  <c r="G4" i="4"/>
  <c r="S4" i="4" s="1"/>
  <c r="S5" i="4" s="1"/>
  <c r="O5"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tc={9622AC72-54FF-9B46-91B6-BCEA50C239B1}</author>
  </authors>
  <commentList>
    <comment ref="B16" authorId="0" shapeId="0" xr:uid="{9622AC72-54FF-9B46-91B6-BCEA50C239B1}">
      <text>
        <t>[Threaded comment]
Your version of Excel allows you to read this threaded comment; however, any edits to it will get removed if the file is opened in a newer version of Excel. Learn more: https://go.microsoft.com/fwlink/?linkid=870924
Comment:
    Cash + U.S. Treasury + Fixed Securities + Equity Securities + Equity Method Investments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<sst xmlns="http://schemas.openxmlformats.org/spreadsheetml/2006/main" count="282" uniqueCount="171">
  <si>
    <t>$ in millions</t>
  </si>
  <si>
    <t>Other</t>
  </si>
  <si>
    <t>Total Revenue</t>
  </si>
  <si>
    <t>Taxes</t>
  </si>
  <si>
    <t>Net Income</t>
  </si>
  <si>
    <t xml:space="preserve">  % growth</t>
  </si>
  <si>
    <t>Operating Margin</t>
  </si>
  <si>
    <t>Interest</t>
  </si>
  <si>
    <t>Base Case</t>
  </si>
  <si>
    <t>Revenue</t>
  </si>
  <si>
    <t>Equity Risk Premium</t>
  </si>
  <si>
    <t>EBITDA</t>
  </si>
  <si>
    <t>Cost of Equity</t>
  </si>
  <si>
    <t xml:space="preserve">  % of sales</t>
  </si>
  <si>
    <t>Tax Rate</t>
  </si>
  <si>
    <t>EBIT</t>
  </si>
  <si>
    <t>WACC</t>
  </si>
  <si>
    <t>Date</t>
  </si>
  <si>
    <t>Ticker</t>
  </si>
  <si>
    <t>Assumptions</t>
  </si>
  <si>
    <t>x</t>
  </si>
  <si>
    <t>Conservative Case</t>
  </si>
  <si>
    <t>Base / Street Case</t>
  </si>
  <si>
    <t>Optimstic Case</t>
  </si>
  <si>
    <t>Optimistic Case</t>
  </si>
  <si>
    <t>Service - 2032</t>
  </si>
  <si>
    <t>EBIT (Operating Income)</t>
  </si>
  <si>
    <t xml:space="preserve">  % of EBIT</t>
  </si>
  <si>
    <t>DCF (12/31 FYE)</t>
  </si>
  <si>
    <t>Pretax Income</t>
  </si>
  <si>
    <t>EBIAT</t>
  </si>
  <si>
    <t>D&amp;A</t>
  </si>
  <si>
    <t>CapEx</t>
  </si>
  <si>
    <t>dNWC</t>
  </si>
  <si>
    <t xml:space="preserve">  % of CapEx</t>
  </si>
  <si>
    <t xml:space="preserve">  % of  change in sales</t>
  </si>
  <si>
    <t>Perpertunity Growth TV</t>
  </si>
  <si>
    <t>TGR</t>
  </si>
  <si>
    <t>WACC = % of equity x cost of equity + % of debt x cost of debt x (1 - tax rate)</t>
  </si>
  <si>
    <t>Cost of equity = Risk Free Rate + Beta x Market Risk Premium</t>
  </si>
  <si>
    <t>WACC Calculation</t>
  </si>
  <si>
    <t>Equity Value</t>
  </si>
  <si>
    <t>D/(D+E)</t>
  </si>
  <si>
    <t>After Tax Cost of Debt</t>
  </si>
  <si>
    <t>10 yr Treasury Yield</t>
  </si>
  <si>
    <t>Beta</t>
  </si>
  <si>
    <t>E/(D+E)</t>
  </si>
  <si>
    <t>Pre-tax Cost of Debt</t>
  </si>
  <si>
    <t>Market Value of Debt + Operating Leases</t>
  </si>
  <si>
    <t>Discount Factor</t>
  </si>
  <si>
    <t>PV of FCF</t>
  </si>
  <si>
    <t>PV of TV</t>
  </si>
  <si>
    <t>Enterprise Value</t>
  </si>
  <si>
    <t>(+) Cash</t>
  </si>
  <si>
    <t>(-) Debt</t>
  </si>
  <si>
    <t>Outstanding Diluted Share</t>
  </si>
  <si>
    <t>Implied Share Price</t>
  </si>
  <si>
    <t>Current Share Price</t>
  </si>
  <si>
    <t>Implied Upside (Downside)</t>
  </si>
  <si>
    <t>10yr Price Target</t>
  </si>
  <si>
    <t>10yr CAGR</t>
  </si>
  <si>
    <t>Sensitivity Analysis</t>
  </si>
  <si>
    <t>Valuation Assumptions</t>
  </si>
  <si>
    <t>TGR Step-up</t>
  </si>
  <si>
    <t>WACC Step-up</t>
  </si>
  <si>
    <t xml:space="preserve">EBIT </t>
  </si>
  <si>
    <t xml:space="preserve">  (+) D&amp;A</t>
  </si>
  <si>
    <t xml:space="preserve">  (-) CapEx</t>
  </si>
  <si>
    <t xml:space="preserve">  (-) dNWC</t>
  </si>
  <si>
    <t>Q121A</t>
  </si>
  <si>
    <t>Q221A</t>
  </si>
  <si>
    <t>Q321A</t>
  </si>
  <si>
    <t>Q421A</t>
  </si>
  <si>
    <t>Q122A</t>
  </si>
  <si>
    <t>Q222A</t>
  </si>
  <si>
    <t>Q322A</t>
  </si>
  <si>
    <t>Q422E</t>
  </si>
  <si>
    <t>Q123E</t>
  </si>
  <si>
    <t>Q223E</t>
  </si>
  <si>
    <t>Q323E</t>
  </si>
  <si>
    <t>Q423E</t>
  </si>
  <si>
    <t>Projection Period (9/30 YE)</t>
  </si>
  <si>
    <t>(+) Non-operating Assets</t>
  </si>
  <si>
    <t>Financials</t>
  </si>
  <si>
    <t>Non-operating Assets</t>
  </si>
  <si>
    <t>Market Numbers</t>
  </si>
  <si>
    <t>Riskfree Rate</t>
  </si>
  <si>
    <t>Mature Market ERP</t>
  </si>
  <si>
    <t>Market Value of Debt</t>
  </si>
  <si>
    <t>Revenue Build (12/31 FYE)</t>
  </si>
  <si>
    <t>Ending</t>
  </si>
  <si>
    <t>Operating Leases</t>
  </si>
  <si>
    <t>Summary Financials (12/31 FYE)</t>
  </si>
  <si>
    <t>Cash &amp; Securities</t>
  </si>
  <si>
    <t xml:space="preserve"> </t>
  </si>
  <si>
    <t>Debt</t>
  </si>
  <si>
    <t>BRK.B</t>
  </si>
  <si>
    <t>Insurance premiums earned</t>
  </si>
  <si>
    <t>Sales and revenues</t>
  </si>
  <si>
    <t>Leasing revenues</t>
  </si>
  <si>
    <t>Interest &amp; dividend</t>
  </si>
  <si>
    <t>Freight rail transportation revenues</t>
  </si>
  <si>
    <t>Energy operating revenues</t>
  </si>
  <si>
    <t>Service revenues &amp; other</t>
  </si>
  <si>
    <t>Insurance</t>
  </si>
  <si>
    <t>Railroad, Utlities &amp; Energy</t>
  </si>
  <si>
    <t>Insurance losses</t>
  </si>
  <si>
    <t>Life, annuity &amp; health</t>
  </si>
  <si>
    <t>Underwriting expense</t>
  </si>
  <si>
    <t>Cost of sales</t>
  </si>
  <si>
    <t>Cost of leasing</t>
  </si>
  <si>
    <t>SG&amp;A</t>
  </si>
  <si>
    <t>Total Insurance Expense</t>
  </si>
  <si>
    <t>Freight rail transportation expense</t>
  </si>
  <si>
    <t>Cost of utilities and energy</t>
  </si>
  <si>
    <t>Total RU&amp;E Expense</t>
  </si>
  <si>
    <t>Operating Income</t>
  </si>
  <si>
    <t>Equity method earnings</t>
  </si>
  <si>
    <t>Earnings attributable to noncontrolling interest</t>
  </si>
  <si>
    <t>Net Earnings</t>
  </si>
  <si>
    <t>Railroad</t>
  </si>
  <si>
    <t>Utlities &amp; Energy</t>
  </si>
  <si>
    <t>Service &amp; Other</t>
  </si>
  <si>
    <t>Interest &amp; Dividend</t>
  </si>
  <si>
    <t>Investments gains (losses)</t>
  </si>
  <si>
    <t>Revenue y/y</t>
  </si>
  <si>
    <t>Insurance y/y</t>
  </si>
  <si>
    <t>Railroad, Utlities &amp; Energy y/y</t>
  </si>
  <si>
    <t>investment gains (losses)</t>
  </si>
  <si>
    <t>Insurance expense %</t>
  </si>
  <si>
    <t>Railroad, Utilities &amp; Energy expense %</t>
  </si>
  <si>
    <t>Equity earning % of OpInc</t>
  </si>
  <si>
    <t>Noncontrolling interest earnings % of OpInc</t>
  </si>
  <si>
    <t>Net earning margin</t>
  </si>
  <si>
    <t>Revenue consensus</t>
  </si>
  <si>
    <t>Operating Expense (Incl. Interest)</t>
  </si>
  <si>
    <t>Total Interest</t>
  </si>
  <si>
    <t>Investment gains (losses) y/y</t>
  </si>
  <si>
    <t>Investment &amp; derivative gains (losses)</t>
  </si>
  <si>
    <t>Equity Method Earnings</t>
  </si>
  <si>
    <t>Berkshire Hathaway</t>
  </si>
  <si>
    <t>Insurance - 2023</t>
  </si>
  <si>
    <t>Insurance - 2032</t>
  </si>
  <si>
    <t>Railroad - 2023-24</t>
  </si>
  <si>
    <t>Railroad - 2032</t>
  </si>
  <si>
    <t>Utlities &amp; Energy - 2032</t>
  </si>
  <si>
    <t>Service - 2023-25</t>
  </si>
  <si>
    <t>Non-controlling Interest Earnings</t>
  </si>
  <si>
    <t>Portfolio Value</t>
  </si>
  <si>
    <t>Investment Gains (Losses)</t>
  </si>
  <si>
    <t>Portfolio Growth Rate</t>
  </si>
  <si>
    <t>Investment Portfolio</t>
  </si>
  <si>
    <t>Capital Gains Tax</t>
  </si>
  <si>
    <t>Investment Portfolio Value</t>
  </si>
  <si>
    <t xml:space="preserve">  % of Investment Gains</t>
  </si>
  <si>
    <t xml:space="preserve">Unlevered FCF </t>
  </si>
  <si>
    <t>Adjusted Unlevered FCF</t>
  </si>
  <si>
    <t>Outstanding Shares</t>
  </si>
  <si>
    <t>Other Liabilities</t>
  </si>
  <si>
    <t>(-) Other Liabilities</t>
  </si>
  <si>
    <t xml:space="preserve">  (+) Other Cash Flows</t>
  </si>
  <si>
    <t>TTM</t>
  </si>
  <si>
    <t>Unlevered FCF (Excl. Investment Gains)</t>
  </si>
  <si>
    <t>Price Target: $379.58</t>
  </si>
  <si>
    <t>10yr CAGR: 9.61%</t>
  </si>
  <si>
    <t>Recommendation: BUY</t>
  </si>
  <si>
    <t xml:space="preserve">  % of Investment Gains (Losses)</t>
  </si>
  <si>
    <t>Manual</t>
  </si>
  <si>
    <t>1 = Conservative Case, 2 = Base / Street Case, 3 = Optimistic Case, 4 = Manual</t>
  </si>
  <si>
    <t>Switches</t>
  </si>
  <si>
    <t>Implied Upside: 23.12%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</si>
</sst>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0%"/>
    <numFmt numFmtId="166" formatCode="_([$$-409]* #,##0.00_);_([$$-409]* \(#,##0.00\);_([$$-409]* &quot;-&quot;??_);_(@_)"/>
    <numFmt numFmtId="167" formatCode="General\A"/>
    <numFmt numFmtId="168" formatCode="General\E"/>
    <numFmt numFmtId="169" formatCode="0.000%"/>
  </numFmts>
  <fonts count="28" x14ac:knownFonts="1">
    <font>
      <sz val="9"/>
      <name val="Geneva"/>
      <family val="2"/>
    </font>
    <font>
      <sz val="12"/>
      <color theme="1"/>
      <name val="Calibri"/>
      <family val="2"/>
      <scheme val="minor"/>
    </font>
    <font>
      <sz val="12"/>
      <color theme="1"/>
      <name val="Calibri"/>
      <family val="2"/>
      <scheme val="minor"/>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9"/>
      <name val="Geneva"/>
      <family val="2"/>
    </font>
    <font>
      <b/>
      <sz val="12"/>
      <name val="Calibri"/>
      <family val="2"/>
      <scheme val="minor"/>
    </font>
    <font>
      <sz val="12"/>
      <name val="Calibri"/>
      <family val="2"/>
      <scheme val="minor"/>
    </font>
    <font>
      <b/>
      <u/>
      <sz val="12"/>
      <name val="Calibri"/>
      <family val="2"/>
      <scheme val="minor"/>
    </font>
    <font>
      <i/>
      <sz val="12"/>
      <name val="Calibri"/>
      <family val="2"/>
      <scheme val="minor"/>
    </font>
    <font>
      <sz val="12"/>
      <color theme="9"/>
      <name val="Calibri"/>
      <family val="2"/>
      <scheme val="minor"/>
    </font>
    <font>
      <sz val="12"/>
      <color rgb="FF7030A0"/>
      <name val="Calibri"/>
      <family val="2"/>
      <scheme val="minor"/>
    </font>
    <font>
      <b/>
      <sz val="18"/>
      <color theme="0"/>
      <name val="Calibri"/>
      <family val="2"/>
      <scheme val="minor"/>
    </font>
    <font>
      <b/>
      <sz val="12"/>
      <color theme="0"/>
      <name val="Calibri (Body)"/>
    </font>
    <font>
      <sz val="12"/>
      <color rgb="FFFF0000"/>
      <name val="Calibri"/>
      <family val="2"/>
      <scheme val="minor"/>
    </font>
    <font>
      <i/>
      <sz val="12"/>
      <color rgb="FFFF0000"/>
      <name val="Calibri"/>
      <family val="2"/>
      <scheme val="minor"/>
    </font>
    <font>
      <i/>
      <sz val="12"/>
      <color rgb="FF7030A0"/>
      <name val="Calibri"/>
      <family val="2"/>
      <scheme val="minor"/>
    </font>
    <font>
      <b/>
      <sz val="16"/>
      <name val="Calibri"/>
      <family val="2"/>
      <scheme val="minor"/>
    </font>
    <font>
      <sz val="16"/>
      <name val="Calibri"/>
      <family val="2"/>
      <scheme val="minor"/>
    </font>
    <font>
      <b/>
      <sz val="20"/>
      <name val="Calibri"/>
      <family val="2"/>
      <scheme val="minor"/>
    </font>
    <font>
      <sz val="12"/>
      <color rgb="FF000000"/>
      <name val="Calibri"/>
      <family val="2"/>
      <scheme val="minor"/>
    </font>
    <font>
      <b/>
      <sz val="12"/>
      <color rgb="FF000000"/>
      <name val="Calibri"/>
      <family val="2"/>
      <scheme val="minor"/>
    </font>
    <font>
      <sz val="10"/>
      <color rgb="FF000000"/>
      <name val="Tahoma"/>
      <family val="2"/>
    </font>
    <font>
      <i/>
      <sz val="12"/>
      <color theme="9"/>
      <name val="Calibri"/>
      <family val="2"/>
      <scheme val="minor"/>
    </font>
  </fonts>
  <fills count="7">
    <fill>
      <patternFill patternType="none"/>
    </fill>
    <fill>
      <patternFill patternType="gray125"/>
    </fill>
    <fill>
      <patternFill patternType="solid">
        <fgColor rgb="FFFFEB9C"/>
      </patternFill>
    </fill>
    <fill>
      <patternFill patternType="solid">
        <fgColor rgb="FFFFCC99"/>
      </patternFill>
    </fill>
    <fill>
      <patternFill patternType="solid">
        <fgColor rgb="FF002060"/>
        <bgColor indexed="64"/>
      </patternFill>
    </fill>
    <fill>
      <patternFill patternType="solid">
        <fgColor theme="4" tint="0.59999389629810485"/>
        <bgColor indexed="64"/>
      </patternFill>
    </fill>
    <fill>
      <patternFill patternType="solid">
        <fgColor theme="0"/>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rgb="FF7F7F7F"/>
      </right>
      <top style="thin">
        <color rgb="FF7F7F7F"/>
      </top>
      <bottom style="thin">
        <color rgb="FF7F7F7F"/>
      </bottom>
      <diagonal/>
    </border>
    <border>
      <left/>
      <right style="thin">
        <color indexed="64"/>
      </right>
      <top/>
      <bottom/>
      <diagonal/>
    </border>
  </borders>
  <cellStyleXfs count="10">
    <xf numFmtId="0" fontId="0" fillId="0" borderId="0"/>
    <xf numFmtId="44" fontId="3" fillId="0" borderId="0" applyFont="0" applyFill="0" applyBorder="0" applyAlignment="0" applyProtection="0"/>
    <xf numFmtId="9" fontId="9" fillId="0" borderId="0" applyFont="0" applyFill="0" applyBorder="0" applyAlignment="0" applyProtection="0"/>
    <xf numFmtId="0" fontId="5" fillId="3" borderId="1" applyNumberFormat="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44" fontId="9" fillId="0" borderId="0" applyFont="0" applyFill="0" applyBorder="0" applyAlignment="0" applyProtection="0"/>
    <xf numFmtId="0" fontId="1" fillId="0" borderId="0"/>
    <xf numFmtId="9" fontId="1" fillId="0" borderId="0" applyFont="0" applyFill="0" applyBorder="0" applyAlignment="0" applyProtection="0"/>
  </cellStyleXfs>
  <cellXfs count="169">
    <xf numFmtId="0" fontId="0" fillId="0" borderId="0" xfId="0"/>
    <xf numFmtId="0" fontId="7" fillId="0" borderId="0" xfId="4" applyFont="1"/>
    <xf numFmtId="0" fontId="7" fillId="0" borderId="2" xfId="4" applyFont="1" applyBorder="1"/>
    <xf numFmtId="0" fontId="7" fillId="0" borderId="3" xfId="4" applyFont="1" applyBorder="1"/>
    <xf numFmtId="0" fontId="11" fillId="0" borderId="2" xfId="0" applyFont="1" applyBorder="1"/>
    <xf numFmtId="0" fontId="11" fillId="0" borderId="0" xfId="0" applyFont="1"/>
    <xf numFmtId="0" fontId="11" fillId="4" borderId="0" xfId="0" applyFont="1" applyFill="1"/>
    <xf numFmtId="0" fontId="8" fillId="4" borderId="0" xfId="0" applyFont="1" applyFill="1"/>
    <xf numFmtId="0" fontId="10" fillId="0" borderId="0" xfId="0" applyFont="1"/>
    <xf numFmtId="0" fontId="12" fillId="0" borderId="0" xfId="0" applyFont="1"/>
    <xf numFmtId="0" fontId="13" fillId="0" borderId="0" xfId="0" applyFont="1"/>
    <xf numFmtId="37" fontId="11" fillId="0" borderId="0" xfId="0" applyNumberFormat="1" applyFont="1"/>
    <xf numFmtId="9" fontId="13" fillId="0" borderId="0" xfId="2" applyFont="1"/>
    <xf numFmtId="9" fontId="11" fillId="0" borderId="0" xfId="2" applyFont="1"/>
    <xf numFmtId="9" fontId="5" fillId="3" borderId="1" xfId="3" applyNumberFormat="1"/>
    <xf numFmtId="9" fontId="14" fillId="3" borderId="1" xfId="3" applyNumberFormat="1" applyFont="1"/>
    <xf numFmtId="9" fontId="5" fillId="3" borderId="1" xfId="2" applyFont="1" applyFill="1" applyBorder="1"/>
    <xf numFmtId="9" fontId="14" fillId="3" borderId="1" xfId="2" applyFont="1" applyFill="1" applyBorder="1"/>
    <xf numFmtId="0" fontId="10" fillId="0" borderId="4" xfId="0" applyFont="1" applyBorder="1"/>
    <xf numFmtId="0" fontId="11" fillId="0" borderId="4" xfId="0" applyFont="1" applyBorder="1"/>
    <xf numFmtId="37" fontId="11" fillId="0" borderId="4" xfId="0" applyNumberFormat="1" applyFont="1" applyBorder="1"/>
    <xf numFmtId="0" fontId="5" fillId="3" borderId="1" xfId="3" applyAlignment="1">
      <alignment horizontal="center"/>
    </xf>
    <xf numFmtId="14" fontId="5" fillId="3" borderId="1" xfId="3" applyNumberFormat="1" applyAlignment="1">
      <alignment horizontal="center"/>
    </xf>
    <xf numFmtId="9" fontId="15" fillId="3" borderId="1" xfId="2" applyFont="1" applyFill="1" applyBorder="1"/>
    <xf numFmtId="9" fontId="5" fillId="3" borderId="1" xfId="2" applyFont="1" applyFill="1" applyBorder="1" applyAlignment="1">
      <alignment horizontal="center"/>
    </xf>
    <xf numFmtId="0" fontId="11" fillId="0" borderId="0" xfId="0" applyFont="1" applyAlignment="1">
      <alignment horizontal="center"/>
    </xf>
    <xf numFmtId="0" fontId="0" fillId="0" borderId="0" xfId="0" applyAlignment="1">
      <alignment horizontal="center"/>
    </xf>
    <xf numFmtId="9" fontId="15" fillId="3" borderId="1" xfId="3" applyNumberFormat="1" applyFont="1"/>
    <xf numFmtId="9" fontId="13" fillId="0" borderId="0" xfId="0" applyNumberFormat="1" applyFont="1"/>
    <xf numFmtId="0" fontId="11" fillId="0" borderId="3" xfId="0" applyFont="1" applyBorder="1"/>
    <xf numFmtId="37" fontId="11" fillId="0" borderId="3" xfId="0" applyNumberFormat="1" applyFont="1" applyBorder="1"/>
    <xf numFmtId="37" fontId="11" fillId="0" borderId="5" xfId="0" applyNumberFormat="1" applyFont="1" applyBorder="1"/>
    <xf numFmtId="37" fontId="11" fillId="0" borderId="6" xfId="0" applyNumberFormat="1" applyFont="1" applyBorder="1"/>
    <xf numFmtId="4" fontId="11" fillId="0" borderId="0" xfId="0" applyNumberFormat="1" applyFont="1"/>
    <xf numFmtId="37" fontId="8" fillId="4" borderId="0" xfId="0" applyNumberFormat="1" applyFont="1" applyFill="1"/>
    <xf numFmtId="0" fontId="11" fillId="0" borderId="7" xfId="0" applyFont="1" applyBorder="1"/>
    <xf numFmtId="37" fontId="11" fillId="0" borderId="7" xfId="0" applyNumberFormat="1" applyFont="1" applyBorder="1"/>
    <xf numFmtId="9" fontId="11" fillId="0" borderId="0" xfId="2" applyFont="1" applyBorder="1"/>
    <xf numFmtId="37" fontId="11" fillId="0" borderId="0" xfId="2" applyNumberFormat="1" applyFont="1" applyBorder="1"/>
    <xf numFmtId="9" fontId="4" fillId="2" borderId="0" xfId="2" applyFont="1" applyFill="1"/>
    <xf numFmtId="37" fontId="11" fillId="0" borderId="0" xfId="2" applyNumberFormat="1" applyFont="1"/>
    <xf numFmtId="0" fontId="7" fillId="0" borderId="3" xfId="4" applyFont="1" applyBorder="1" applyAlignment="1">
      <alignment vertical="center"/>
    </xf>
    <xf numFmtId="10" fontId="7" fillId="0" borderId="3" xfId="4" applyNumberFormat="1" applyFont="1" applyBorder="1" applyAlignment="1">
      <alignment vertical="center"/>
    </xf>
    <xf numFmtId="0" fontId="2" fillId="0" borderId="2" xfId="4" applyBorder="1"/>
    <xf numFmtId="0" fontId="2" fillId="0" borderId="0" xfId="4"/>
    <xf numFmtId="3" fontId="2" fillId="0" borderId="0" xfId="4" applyNumberFormat="1"/>
    <xf numFmtId="0" fontId="2" fillId="0" borderId="7" xfId="4" applyBorder="1"/>
    <xf numFmtId="0" fontId="2" fillId="0" borderId="3" xfId="4" applyBorder="1"/>
    <xf numFmtId="10" fontId="2" fillId="0" borderId="3" xfId="4" applyNumberFormat="1" applyBorder="1"/>
    <xf numFmtId="10" fontId="2" fillId="0" borderId="0" xfId="4" applyNumberFormat="1"/>
    <xf numFmtId="0" fontId="2" fillId="0" borderId="3" xfId="4" applyBorder="1" applyAlignment="1">
      <alignment vertical="center"/>
    </xf>
    <xf numFmtId="10" fontId="2" fillId="0" borderId="7" xfId="5" applyNumberFormat="1" applyFont="1" applyBorder="1"/>
    <xf numFmtId="164" fontId="5" fillId="3" borderId="1" xfId="2" applyNumberFormat="1" applyFont="1" applyFill="1" applyBorder="1" applyAlignment="1">
      <alignment horizontal="center"/>
    </xf>
    <xf numFmtId="164" fontId="5" fillId="3" borderId="1" xfId="3" applyNumberFormat="1" applyAlignment="1">
      <alignment horizontal="center"/>
    </xf>
    <xf numFmtId="2" fontId="11" fillId="0" borderId="0" xfId="0" applyNumberFormat="1" applyFont="1"/>
    <xf numFmtId="164" fontId="15" fillId="0" borderId="0" xfId="2" applyNumberFormat="1" applyFont="1"/>
    <xf numFmtId="3" fontId="11" fillId="0" borderId="4" xfId="0" applyNumberFormat="1" applyFont="1" applyBorder="1"/>
    <xf numFmtId="166" fontId="5" fillId="3" borderId="1" xfId="3" applyNumberFormat="1"/>
    <xf numFmtId="44" fontId="5" fillId="3" borderId="1" xfId="1" applyFont="1" applyFill="1" applyBorder="1"/>
    <xf numFmtId="9" fontId="13" fillId="0" borderId="0" xfId="2" applyFont="1" applyBorder="1"/>
    <xf numFmtId="44" fontId="5" fillId="3" borderId="1" xfId="3" applyNumberFormat="1"/>
    <xf numFmtId="37" fontId="11" fillId="0" borderId="4" xfId="2" applyNumberFormat="1" applyFont="1" applyBorder="1"/>
    <xf numFmtId="164" fontId="11" fillId="5" borderId="0" xfId="0" applyNumberFormat="1" applyFont="1" applyFill="1"/>
    <xf numFmtId="164" fontId="11" fillId="5" borderId="0" xfId="2" applyNumberFormat="1" applyFont="1" applyFill="1" applyAlignment="1"/>
    <xf numFmtId="0" fontId="6" fillId="4" borderId="0" xfId="0" applyFont="1" applyFill="1"/>
    <xf numFmtId="0" fontId="10" fillId="4" borderId="0" xfId="0" applyFont="1" applyFill="1"/>
    <xf numFmtId="0" fontId="17" fillId="4" borderId="0" xfId="0" applyFont="1" applyFill="1"/>
    <xf numFmtId="37" fontId="6" fillId="4" borderId="0" xfId="0" applyNumberFormat="1" applyFont="1" applyFill="1"/>
    <xf numFmtId="2" fontId="11" fillId="5" borderId="0" xfId="0" applyNumberFormat="1" applyFont="1" applyFill="1"/>
    <xf numFmtId="2" fontId="8" fillId="4" borderId="0" xfId="0" applyNumberFormat="1" applyFont="1" applyFill="1"/>
    <xf numFmtId="167" fontId="6" fillId="4" borderId="0" xfId="0" applyNumberFormat="1" applyFont="1" applyFill="1"/>
    <xf numFmtId="9" fontId="15" fillId="3" borderId="9" xfId="2" applyFont="1" applyFill="1" applyBorder="1"/>
    <xf numFmtId="9" fontId="14" fillId="3" borderId="9" xfId="3" applyNumberFormat="1" applyFont="1" applyBorder="1"/>
    <xf numFmtId="9" fontId="14" fillId="3" borderId="9" xfId="2" applyFont="1" applyFill="1" applyBorder="1"/>
    <xf numFmtId="9" fontId="5" fillId="3" borderId="9" xfId="3" applyNumberFormat="1" applyBorder="1"/>
    <xf numFmtId="37" fontId="11" fillId="0" borderId="10" xfId="0" applyNumberFormat="1" applyFont="1" applyBorder="1"/>
    <xf numFmtId="9" fontId="13" fillId="0" borderId="10" xfId="2" applyFont="1" applyBorder="1"/>
    <xf numFmtId="0" fontId="11" fillId="0" borderId="10" xfId="0" applyFont="1" applyBorder="1"/>
    <xf numFmtId="9" fontId="13" fillId="0" borderId="10" xfId="0" applyNumberFormat="1" applyFont="1" applyBorder="1"/>
    <xf numFmtId="9" fontId="11" fillId="0" borderId="10" xfId="2" applyFont="1" applyBorder="1"/>
    <xf numFmtId="37" fontId="11" fillId="0" borderId="6" xfId="2" applyNumberFormat="1" applyFont="1" applyBorder="1"/>
    <xf numFmtId="0" fontId="11" fillId="0" borderId="8" xfId="0" applyFont="1" applyBorder="1"/>
    <xf numFmtId="0" fontId="11" fillId="0" borderId="5" xfId="0" applyFont="1" applyBorder="1"/>
    <xf numFmtId="168" fontId="6" fillId="4" borderId="0" xfId="0" applyNumberFormat="1" applyFont="1" applyFill="1"/>
    <xf numFmtId="9" fontId="19" fillId="0" borderId="0" xfId="2" applyFont="1"/>
    <xf numFmtId="9" fontId="20" fillId="0" borderId="0" xfId="2" applyFont="1"/>
    <xf numFmtId="164" fontId="18" fillId="0" borderId="0" xfId="2" applyNumberFormat="1" applyFont="1"/>
    <xf numFmtId="3" fontId="15" fillId="0" borderId="0" xfId="0" applyNumberFormat="1" applyFont="1"/>
    <xf numFmtId="10" fontId="15" fillId="0" borderId="0" xfId="4" applyNumberFormat="1" applyFont="1"/>
    <xf numFmtId="10" fontId="15" fillId="0" borderId="0" xfId="5" applyNumberFormat="1" applyFont="1"/>
    <xf numFmtId="3" fontId="15" fillId="0" borderId="0" xfId="4" applyNumberFormat="1" applyFont="1"/>
    <xf numFmtId="38" fontId="15" fillId="0" borderId="0" xfId="4" applyNumberFormat="1" applyFont="1"/>
    <xf numFmtId="0" fontId="15" fillId="0" borderId="0" xfId="4" applyFont="1"/>
    <xf numFmtId="3" fontId="15" fillId="0" borderId="7" xfId="0" applyNumberFormat="1" applyFont="1" applyBorder="1"/>
    <xf numFmtId="9" fontId="20" fillId="0" borderId="0" xfId="2" applyFont="1" applyBorder="1"/>
    <xf numFmtId="37" fontId="13" fillId="0" borderId="0" xfId="0" applyNumberFormat="1" applyFont="1"/>
    <xf numFmtId="0" fontId="13" fillId="0" borderId="10" xfId="0" applyFont="1" applyBorder="1"/>
    <xf numFmtId="164" fontId="14" fillId="3" borderId="1" xfId="3" applyNumberFormat="1" applyFont="1" applyAlignment="1">
      <alignment horizontal="center"/>
    </xf>
    <xf numFmtId="0" fontId="12" fillId="0" borderId="4" xfId="0" applyFont="1" applyBorder="1"/>
    <xf numFmtId="0" fontId="7" fillId="0" borderId="0" xfId="0" applyFont="1"/>
    <xf numFmtId="17" fontId="6" fillId="4" borderId="0" xfId="0" applyNumberFormat="1" applyFont="1" applyFill="1"/>
    <xf numFmtId="0" fontId="21" fillId="0" borderId="2" xfId="0" applyFont="1" applyBorder="1"/>
    <xf numFmtId="0" fontId="22" fillId="0" borderId="2" xfId="0" applyFont="1" applyBorder="1"/>
    <xf numFmtId="0" fontId="23" fillId="0" borderId="2" xfId="0" applyFont="1" applyBorder="1"/>
    <xf numFmtId="37" fontId="15" fillId="0" borderId="0" xfId="0" applyNumberFormat="1" applyFont="1"/>
    <xf numFmtId="37" fontId="15" fillId="0" borderId="10" xfId="0" applyNumberFormat="1" applyFont="1" applyBorder="1"/>
    <xf numFmtId="37" fontId="14" fillId="0" borderId="0" xfId="0" applyNumberFormat="1" applyFont="1"/>
    <xf numFmtId="37" fontId="14" fillId="0" borderId="10" xfId="0" applyNumberFormat="1" applyFont="1" applyBorder="1"/>
    <xf numFmtId="164" fontId="11" fillId="5" borderId="0" xfId="2" applyNumberFormat="1" applyFont="1" applyFill="1"/>
    <xf numFmtId="10" fontId="5" fillId="3" borderId="1" xfId="2" applyNumberFormat="1" applyFont="1" applyFill="1" applyBorder="1" applyAlignment="1">
      <alignment horizontal="center"/>
    </xf>
    <xf numFmtId="164" fontId="15" fillId="3" borderId="1" xfId="2" applyNumberFormat="1" applyFont="1" applyFill="1" applyBorder="1" applyAlignment="1">
      <alignment horizontal="center"/>
    </xf>
    <xf numFmtId="0" fontId="16" fillId="4" borderId="0" xfId="0" applyFont="1" applyFill="1" applyAlignment="1">
      <alignment horizontal="center" vertical="center"/>
    </xf>
    <xf numFmtId="0" fontId="6" fillId="4" borderId="0" xfId="4" applyFont="1" applyFill="1" applyAlignment="1">
      <alignment horizontal="center" vertical="center"/>
    </xf>
    <xf numFmtId="0" fontId="8" fillId="4" borderId="0" xfId="4" applyFont="1" applyFill="1" applyAlignment="1">
      <alignment horizontal="center" vertical="center"/>
    </xf>
    <xf numFmtId="37" fontId="24" fillId="0" borderId="0" xfId="8" applyNumberFormat="1" applyFont="1"/>
    <xf numFmtId="37" fontId="7" fillId="0" borderId="0" xfId="8" applyNumberFormat="1" applyFont="1"/>
    <xf numFmtId="37" fontId="25" fillId="0" borderId="0" xfId="8" applyNumberFormat="1" applyFont="1"/>
    <xf numFmtId="0" fontId="7" fillId="0" borderId="0" xfId="8" applyFont="1"/>
    <xf numFmtId="9" fontId="7" fillId="0" borderId="0" xfId="9" applyFont="1"/>
    <xf numFmtId="10" fontId="7" fillId="0" borderId="0" xfId="9" applyNumberFormat="1" applyFont="1"/>
    <xf numFmtId="9" fontId="15" fillId="6" borderId="0" xfId="2" applyFont="1" applyFill="1" applyBorder="1"/>
    <xf numFmtId="9" fontId="5" fillId="6" borderId="0" xfId="2" applyFont="1" applyFill="1" applyBorder="1"/>
    <xf numFmtId="0" fontId="1" fillId="0" borderId="0" xfId="8" applyFont="1"/>
    <xf numFmtId="14" fontId="1" fillId="0" borderId="0" xfId="8" applyNumberFormat="1" applyFont="1"/>
    <xf numFmtId="0" fontId="1" fillId="0" borderId="0" xfId="8" applyFont="1" applyAlignment="1">
      <alignment horizontal="right"/>
    </xf>
    <xf numFmtId="167" fontId="1" fillId="0" borderId="0" xfId="8" applyNumberFormat="1" applyFont="1"/>
    <xf numFmtId="168" fontId="1" fillId="0" borderId="0" xfId="8" applyNumberFormat="1" applyFont="1"/>
    <xf numFmtId="37" fontId="1" fillId="0" borderId="0" xfId="8" applyNumberFormat="1" applyFont="1"/>
    <xf numFmtId="2" fontId="1" fillId="0" borderId="0" xfId="8" applyNumberFormat="1" applyFont="1"/>
    <xf numFmtId="10" fontId="1" fillId="0" borderId="0" xfId="8" applyNumberFormat="1" applyFont="1"/>
    <xf numFmtId="9" fontId="1" fillId="0" borderId="0" xfId="8" applyNumberFormat="1" applyFont="1"/>
    <xf numFmtId="3" fontId="1" fillId="0" borderId="0" xfId="8" applyNumberFormat="1" applyFont="1"/>
    <xf numFmtId="164" fontId="1" fillId="0" borderId="0" xfId="8" applyNumberFormat="1" applyFont="1"/>
    <xf numFmtId="169" fontId="1" fillId="0" borderId="0" xfId="8" applyNumberFormat="1" applyFont="1"/>
    <xf numFmtId="9" fontId="11" fillId="0" borderId="0" xfId="9" applyFont="1"/>
    <xf numFmtId="164" fontId="11" fillId="0" borderId="0" xfId="9" applyNumberFormat="1" applyFont="1"/>
    <xf numFmtId="9" fontId="18" fillId="3" borderId="1" xfId="2" applyFont="1" applyFill="1" applyBorder="1"/>
    <xf numFmtId="0" fontId="18" fillId="0" borderId="0" xfId="0" applyFont="1"/>
    <xf numFmtId="9" fontId="5" fillId="3" borderId="1" xfId="2" applyNumberFormat="1" applyFont="1" applyFill="1" applyBorder="1" applyAlignment="1">
      <alignment horizontal="center"/>
    </xf>
    <xf numFmtId="9" fontId="15" fillId="3" borderId="1" xfId="2" applyNumberFormat="1" applyFont="1" applyFill="1" applyBorder="1"/>
    <xf numFmtId="9" fontId="18" fillId="3" borderId="9" xfId="3" applyNumberFormat="1" applyFont="1" applyBorder="1"/>
    <xf numFmtId="37" fontId="24" fillId="0" borderId="0" xfId="0" applyNumberFormat="1" applyFont="1"/>
    <xf numFmtId="37" fontId="14" fillId="0" borderId="0" xfId="2" applyNumberFormat="1" applyFont="1" applyBorder="1"/>
    <xf numFmtId="9" fontId="18" fillId="3" borderId="1" xfId="3" applyNumberFormat="1" applyFont="1"/>
    <xf numFmtId="37" fontId="27" fillId="0" borderId="0" xfId="2" applyNumberFormat="1" applyFont="1" applyBorder="1"/>
    <xf numFmtId="0" fontId="11" fillId="6" borderId="0" xfId="0" applyFont="1" applyFill="1"/>
    <xf numFmtId="9" fontId="5" fillId="6" borderId="0" xfId="2" applyFont="1" applyFill="1" applyBorder="1" applyAlignment="1">
      <alignment horizontal="center"/>
    </xf>
    <xf numFmtId="0" fontId="11" fillId="6" borderId="0" xfId="0" applyFont="1" applyFill="1" applyAlignment="1">
      <alignment horizontal="center"/>
    </xf>
    <xf numFmtId="37" fontId="1" fillId="0" borderId="0" xfId="2" applyNumberFormat="1" applyFont="1" applyBorder="1"/>
    <xf numFmtId="9" fontId="15" fillId="3" borderId="9" xfId="3" applyNumberFormat="1" applyFont="1" applyBorder="1"/>
    <xf numFmtId="37" fontId="14" fillId="0" borderId="10" xfId="2" applyNumberFormat="1" applyFont="1" applyBorder="1"/>
    <xf numFmtId="37" fontId="27" fillId="0" borderId="10" xfId="2" applyNumberFormat="1" applyFont="1" applyBorder="1"/>
    <xf numFmtId="37" fontId="11" fillId="0" borderId="0" xfId="0" applyNumberFormat="1" applyFont="1" applyBorder="1"/>
    <xf numFmtId="0" fontId="11" fillId="0" borderId="0" xfId="0" applyFont="1" applyBorder="1"/>
    <xf numFmtId="9" fontId="13" fillId="0" borderId="10" xfId="2" applyNumberFormat="1" applyFont="1" applyBorder="1"/>
    <xf numFmtId="9" fontId="13" fillId="0" borderId="0" xfId="2" applyNumberFormat="1" applyFont="1"/>
    <xf numFmtId="37" fontId="1" fillId="0" borderId="0" xfId="8" applyNumberFormat="1" applyFont="1" applyAlignment="1">
      <alignment horizontal="right"/>
    </xf>
    <xf numFmtId="9" fontId="19" fillId="0" borderId="0" xfId="2" applyFont="1" applyBorder="1"/>
    <xf numFmtId="37" fontId="1" fillId="0" borderId="10" xfId="2" applyNumberFormat="1" applyFont="1" applyBorder="1"/>
    <xf numFmtId="4" fontId="8" fillId="6" borderId="0" xfId="0" applyNumberFormat="1" applyFont="1" applyFill="1"/>
    <xf numFmtId="0" fontId="0" fillId="0" borderId="0" xfId="0"/>
    <xf numFmtId="0" fontId="5" fillId="3" borderId="1" xfId="3" applyAlignment="1" applyProtection="1">
      <alignment horizontal="center"/>
      <protection locked="0"/>
    </xf>
    <xf numFmtId="164" fontId="5" fillId="3" borderId="1" xfId="2" applyNumberFormat="1" applyFont="1" applyFill="1" applyBorder="1" applyAlignment="1" applyProtection="1">
      <alignment horizontal="center"/>
      <protection locked="0"/>
    </xf>
    <xf numFmtId="164" fontId="5" fillId="3" borderId="1" xfId="3" applyNumberFormat="1" applyAlignment="1" applyProtection="1">
      <alignment horizontal="center"/>
      <protection locked="0"/>
    </xf>
    <xf numFmtId="9" fontId="5" fillId="3" borderId="1" xfId="3" applyNumberFormat="1" applyProtection="1">
      <protection locked="0"/>
    </xf>
    <xf numFmtId="9" fontId="5" fillId="3" borderId="1" xfId="3" applyNumberFormat="1" applyAlignment="1" applyProtection="1">
      <alignment horizontal="center"/>
      <protection locked="0"/>
    </xf>
    <xf numFmtId="9" fontId="5" fillId="3" borderId="1" xfId="2" applyFont="1" applyFill="1" applyBorder="1" applyAlignment="1" applyProtection="1">
      <alignment horizontal="center"/>
      <protection locked="0"/>
    </xf>
    <xf numFmtId="37" fontId="5" fillId="3" borderId="1" xfId="2" applyNumberFormat="1" applyFont="1" applyFill="1" applyBorder="1" applyAlignment="1" applyProtection="1">
      <alignment horizontal="center"/>
      <protection locked="0"/>
    </xf>
    <xf numFmtId="0" fontId="5" fillId="3" borderId="1" xfId="2" applyNumberFormat="1" applyFont="1" applyFill="1" applyBorder="1" applyAlignment="1" applyProtection="1">
      <alignment horizontal="center"/>
      <protection locked="0"/>
    </xf>
  </cellXfs>
  <cellStyles count="10">
    <cellStyle name="Currency" xfId="1" builtinId="4"/>
    <cellStyle name="Currency 2" xfId="6" xr:uid="{F2391798-3600-E649-A125-EDFFF79942EA}"/>
    <cellStyle name="Currency 3" xfId="7" xr:uid="{731EEFDA-A2E6-3747-8F92-CE3D3EAE4516}"/>
    <cellStyle name="Input" xfId="3" builtinId="20"/>
    <cellStyle name="Normal" xfId="0" builtinId="0"/>
    <cellStyle name="Normal 2" xfId="4" xr:uid="{05623A6D-C816-9C40-A073-CBF2288ED03E}"/>
    <cellStyle name="Normal 3" xfId="8" xr:uid="{22628953-635D-714D-ADD0-507D7B08BF4A}"/>
    <cellStyle name="Percent" xfId="2" builtinId="5"/>
    <cellStyle name="Percent 2" xfId="5" xr:uid="{9CEB9B7C-8101-854A-8B07-AB8D67E07701}"/>
    <cellStyle name="Percent 3" xfId="9" xr:uid="{5062EB38-2C36-D744-8745-136F586F69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9</xdr:col>
      <xdr:colOff>18729</xdr:colOff>
      <xdr:row>0</xdr:row>
      <xdr:rowOff>136493</xdr:rowOff>
    </xdr:from>
    <xdr:to>
      <xdr:col>9</xdr:col>
      <xdr:colOff>18729</xdr:colOff>
      <xdr:row>88</xdr:row>
      <xdr:rowOff>2438</xdr:rowOff>
    </xdr:to>
    <xdr:cxnSp macro="">
      <xdr:nvCxnSpPr>
        <xdr:cNvPr id="2" name="Straight Connector 1">
          <a:extLst>
            <a:ext uri="{FF2B5EF4-FFF2-40B4-BE49-F238E27FC236}">
              <a16:creationId xmlns:a16="http://schemas.microsoft.com/office/drawing/2014/main" id="{AEAE8798-CF2C-2E49-9B6D-14BB11B9A449}"/>
            </a:ext>
          </a:extLst>
        </xdr:cNvPr>
        <xdr:cNvCxnSpPr/>
      </xdr:nvCxnSpPr>
      <xdr:spPr>
        <a:xfrm>
          <a:off x="8934129" y="136493"/>
          <a:ext cx="0" cy="1937314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22</xdr:col>
      <xdr:colOff>0</xdr:colOff>
      <xdr:row>1</xdr:row>
      <xdr:rowOff>0</xdr:rowOff>
    </xdr:from>
    <xdr:to>
      <xdr:col>22</xdr:col>
      <xdr:colOff>14111</xdr:colOff>
      <xdr:row>128</xdr:row>
      <xdr:rowOff>169334</xdr:rowOff>
    </xdr:to>
    <xdr:cxnSp macro="">
      <xdr:nvCxnSpPr>
        <xdr:cNvPr id="3" name="Straight Connector 2">
          <a:extLst>
            <a:ext uri="{FF2B5EF4-FFF2-40B4-BE49-F238E27FC236}">
              <a16:creationId xmlns:a16="http://schemas.microsoft.com/office/drawing/2014/main" id="{95B32D27-7BBF-6D4C-938F-B9562FB21436}"/>
            </a:ext>
          </a:extLst>
        </xdr:cNvPr>
        <xdr:cNvCxnSpPr/>
      </xdr:nvCxnSpPr>
      <xdr:spPr>
        <a:xfrm flipH="1">
          <a:off x="19797889" y="197556"/>
          <a:ext cx="14111" cy="26839334"/>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8473" id="{D159CC5F-DC8A-5840-90D6-B40CBF7FEDD5}" userId="S::c8473@c.of365.online::3950204f-c74f-44a5-9096-655dc20c1ab8"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https://www.bing.com/financeapi/forcetrigger?t=a1otrw&amp;q=XNYS%3aBRK.B&amp;form=skydnc</v>
    <v>Learn more on Bing</v>
  </rv>
  <rv s="1">
    <v>0</v>
    <v>BERKSHIRE HATHAWAY INC., (XNYS:BRK.B)</v>
    <v>2</v>
    <v>3</v>
    <v>Finance</v>
    <v>4</v>
    <v>en-US</v>
    <v>a1otrw</v>
    <v>268435456</v>
    <v>1</v>
    <v>Powered by Refinitiv</v>
    <v>362.1</v>
    <v>259.85000000000002</v>
    <v>0.89439999999999997</v>
    <v>-6.56</v>
    <v>-2.0834999999999999E-2</v>
    <v>-0.49</v>
    <v>-1.5890000000000001E-3</v>
    <v>USD</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New York Stock Exchange</v>
    <v>XNYS</v>
    <v>XNYS</v>
    <v>3555 Farnam St, OMAHA, NE, 68131 US</v>
    <v>315.54000000000002</v>
    <v>Consumer Goods Conglomerates</v>
    <v>Stock</v>
    <v>44945.041306689061</v>
    <v>0</v>
    <v>307.75</v>
    <v>693761800000</v>
    <v>BERKSHIRE HATHAWAY INC.,</v>
    <v>BERKSHIRE HATHAWAY INC.,</v>
    <v>315</v>
    <v>58.405200000000001</v>
    <v>314.86</v>
    <v>308.3</v>
    <v>307.81</v>
    <v>1464240</v>
    <v>BRK.B</v>
    <v>BERKSHIRE HATHAWAY INC., (XNYS:BRK.B)</v>
    <v>3408726</v>
    <v>3738416</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6" dT="2023-01-19T05:28:14.97" personId="{D159CC5F-DC8A-5840-90D6-B40CBF7FEDD5}" id="{9622AC72-54FF-9B46-91B6-BCEA50C239B1}">
    <text>Cash + U.S. Treasury + Fixed Securities + Equity Securities + Equity Method Investments</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06192-F749-FC45-A949-1D3AF78F560A}">
  <dimension ref="A2:V178"/>
  <sheetViews>
    <sheetView showGridLines="0" tabSelected="1" zoomScale="110" zoomScaleNormal="110" workbookViewId="0">
      <selection activeCell="K108" sqref="K108:U108"/>
    </sheetView>
  </sheetViews>
  <sheetFormatPr baseColWidth="10" defaultColWidth="11.83203125" defaultRowHeight="16" customHeight="1" x14ac:dyDescent="0.2"/>
  <cols>
    <col min="1" max="1" width="4.83203125" style="5" customWidth="1"/>
    <col min="2" max="16384" width="11.83203125" style="5"/>
  </cols>
  <sheetData>
    <row r="2" spans="1:21" s="4" customFormat="1" ht="31" customHeight="1" thickBot="1" x14ac:dyDescent="0.35">
      <c r="B2" s="103" t="s">
        <v>140</v>
      </c>
      <c r="E2" s="101" t="s">
        <v>163</v>
      </c>
      <c r="F2" s="102"/>
      <c r="G2" s="102"/>
      <c r="H2" s="101" t="s">
        <v>164</v>
      </c>
      <c r="K2" s="101" t="s">
        <v>165</v>
      </c>
      <c r="N2" s="101" t="s">
        <v>170</v>
      </c>
    </row>
    <row r="4" spans="1:21" ht="16" customHeight="1" x14ac:dyDescent="0.2">
      <c r="B4" s="5" t="s">
        <v>18</v>
      </c>
      <c r="C4" s="21" t="s">
        <v>96</v>
      </c>
      <c r="E4" s="5" t="s">
        <v>56</v>
      </c>
      <c r="G4" s="58">
        <f ca="1">D139</f>
        <v>379.57508702891062</v>
      </c>
      <c r="I4" s="5" t="s">
        <v>8</v>
      </c>
      <c r="K4" s="58">
        <v>379.57508702891062</v>
      </c>
      <c r="M4" s="5" t="s">
        <v>21</v>
      </c>
      <c r="O4" s="60">
        <v>339.66287547165376</v>
      </c>
      <c r="Q4" s="5" t="s">
        <v>59</v>
      </c>
      <c r="S4" s="60">
        <f ca="1">G4*(1+((1/T125)^(1/10)-1))^10</f>
        <v>771.5177905124624</v>
      </c>
    </row>
    <row r="5" spans="1:21" ht="16" customHeight="1" x14ac:dyDescent="0.2">
      <c r="B5" s="5" t="s">
        <v>17</v>
      </c>
      <c r="C5" s="22">
        <v>44945</v>
      </c>
      <c r="E5" s="5" t="s">
        <v>57</v>
      </c>
      <c r="G5" s="57" cm="1">
        <f t="array" ref="G5">_FV('Financials + KPIs'!B1,"price")</f>
        <v>308.3</v>
      </c>
      <c r="I5" s="5" t="s">
        <v>24</v>
      </c>
      <c r="K5" s="58">
        <v>416.55957009760459</v>
      </c>
      <c r="M5" s="5" t="s">
        <v>58</v>
      </c>
      <c r="O5" s="109">
        <f ca="1">G4/G5-1</f>
        <v>0.23118743765459171</v>
      </c>
      <c r="Q5" s="5" t="s">
        <v>60</v>
      </c>
      <c r="S5" s="109">
        <f ca="1">(S4/G5)^(1/10)-1</f>
        <v>9.6067352478009127E-2</v>
      </c>
    </row>
    <row r="7" spans="1:21" ht="16" customHeight="1" x14ac:dyDescent="0.2">
      <c r="A7" s="5" t="s">
        <v>20</v>
      </c>
      <c r="B7" s="64" t="s">
        <v>19</v>
      </c>
      <c r="C7" s="65"/>
      <c r="D7" s="65"/>
      <c r="E7" s="66" t="s">
        <v>168</v>
      </c>
      <c r="F7" s="65"/>
      <c r="G7" s="65"/>
      <c r="H7" s="65"/>
      <c r="I7" s="65"/>
      <c r="J7" s="6"/>
      <c r="K7" s="6"/>
      <c r="L7" s="6"/>
      <c r="M7" s="6"/>
      <c r="N7" s="6"/>
      <c r="O7" s="6"/>
      <c r="P7" s="6"/>
      <c r="Q7" s="6"/>
      <c r="R7" s="6"/>
      <c r="S7" s="6"/>
      <c r="T7" s="6"/>
      <c r="U7" s="6"/>
    </row>
    <row r="8" spans="1:21" ht="16" customHeight="1" x14ac:dyDescent="0.2">
      <c r="B8" s="9" t="s">
        <v>169</v>
      </c>
      <c r="F8" s="9" t="s">
        <v>21</v>
      </c>
      <c r="J8" s="9" t="s">
        <v>22</v>
      </c>
      <c r="N8" s="9" t="s">
        <v>24</v>
      </c>
      <c r="R8" s="9" t="s">
        <v>83</v>
      </c>
      <c r="S8"/>
      <c r="T8"/>
    </row>
    <row r="9" spans="1:21" ht="16" customHeight="1" x14ac:dyDescent="0.2">
      <c r="B9" s="5" t="s">
        <v>104</v>
      </c>
      <c r="D9" s="161">
        <v>2</v>
      </c>
      <c r="F9" s="5" t="s">
        <v>141</v>
      </c>
      <c r="H9" s="24">
        <v>0.8</v>
      </c>
      <c r="J9" s="5" t="str">
        <f>F9</f>
        <v>Insurance - 2023</v>
      </c>
      <c r="L9" s="26"/>
      <c r="N9" s="5" t="str">
        <f>J9</f>
        <v>Insurance - 2023</v>
      </c>
      <c r="P9" s="24">
        <v>1.2</v>
      </c>
      <c r="R9" s="5" t="s">
        <v>93</v>
      </c>
      <c r="S9"/>
      <c r="T9" s="167">
        <v>3757</v>
      </c>
    </row>
    <row r="10" spans="1:21" ht="16" customHeight="1" x14ac:dyDescent="0.2">
      <c r="B10"/>
      <c r="C10"/>
      <c r="D10"/>
      <c r="F10" s="5" t="s">
        <v>142</v>
      </c>
      <c r="H10" s="24">
        <v>0.02</v>
      </c>
      <c r="J10" s="5" t="str">
        <f>F10</f>
        <v>Insurance - 2032</v>
      </c>
      <c r="N10" s="5" t="str">
        <f>F10</f>
        <v>Insurance - 2032</v>
      </c>
      <c r="P10" s="24">
        <v>0.03</v>
      </c>
      <c r="R10" s="5" t="s">
        <v>84</v>
      </c>
      <c r="S10"/>
      <c r="T10" s="167">
        <v>0</v>
      </c>
    </row>
    <row r="11" spans="1:21" ht="16" customHeight="1" x14ac:dyDescent="0.2">
      <c r="B11" s="5" t="s">
        <v>120</v>
      </c>
      <c r="C11"/>
      <c r="D11" s="161">
        <v>2</v>
      </c>
      <c r="F11" s="5" t="s">
        <v>143</v>
      </c>
      <c r="H11" s="24">
        <v>0.75</v>
      </c>
      <c r="J11" s="5" t="s">
        <v>143</v>
      </c>
      <c r="N11" s="5" t="s">
        <v>143</v>
      </c>
      <c r="P11" s="24">
        <v>1.1499999999999999</v>
      </c>
      <c r="R11" s="5" t="s">
        <v>95</v>
      </c>
      <c r="S11"/>
      <c r="T11" s="167">
        <f>41535+74961</f>
        <v>116496</v>
      </c>
    </row>
    <row r="12" spans="1:21" ht="16" customHeight="1" x14ac:dyDescent="0.2">
      <c r="F12" s="5" t="s">
        <v>144</v>
      </c>
      <c r="H12" s="24">
        <v>0.02</v>
      </c>
      <c r="J12" s="5" t="str">
        <f>F12</f>
        <v>Railroad - 2032</v>
      </c>
      <c r="L12" s="24">
        <v>0.03</v>
      </c>
      <c r="N12" s="5" t="str">
        <f>J12</f>
        <v>Railroad - 2032</v>
      </c>
      <c r="P12" s="24">
        <v>0.04</v>
      </c>
      <c r="R12" s="5" t="s">
        <v>158</v>
      </c>
      <c r="S12"/>
      <c r="T12" s="167">
        <f>7220+74155</f>
        <v>81375</v>
      </c>
    </row>
    <row r="13" spans="1:21" ht="16" customHeight="1" x14ac:dyDescent="0.2">
      <c r="B13" s="5" t="s">
        <v>121</v>
      </c>
      <c r="D13" s="161">
        <v>2</v>
      </c>
      <c r="F13" s="5" t="s">
        <v>145</v>
      </c>
      <c r="H13" s="138">
        <v>0.01</v>
      </c>
      <c r="J13" s="5" t="str">
        <f>F13</f>
        <v>Utlities &amp; Energy - 2032</v>
      </c>
      <c r="L13" s="24">
        <v>0.02</v>
      </c>
      <c r="N13" s="5" t="str">
        <f>J13</f>
        <v>Utlities &amp; Energy - 2032</v>
      </c>
      <c r="P13" s="138">
        <v>0.03</v>
      </c>
      <c r="R13" s="5" t="s">
        <v>88</v>
      </c>
      <c r="S13"/>
      <c r="T13" s="167">
        <v>88079</v>
      </c>
    </row>
    <row r="14" spans="1:21" ht="16" customHeight="1" x14ac:dyDescent="0.2">
      <c r="B14" s="5" t="s">
        <v>122</v>
      </c>
      <c r="D14" s="161">
        <v>2</v>
      </c>
      <c r="F14" s="5" t="s">
        <v>146</v>
      </c>
      <c r="H14" s="24">
        <v>0.8</v>
      </c>
      <c r="J14" s="5" t="str">
        <f>F14</f>
        <v>Service - 2023-25</v>
      </c>
      <c r="L14"/>
      <c r="N14" s="5" t="str">
        <f>J14</f>
        <v>Service - 2023-25</v>
      </c>
      <c r="P14" s="24">
        <v>1.2</v>
      </c>
      <c r="R14" s="5" t="s">
        <v>91</v>
      </c>
      <c r="T14" s="167">
        <v>5273</v>
      </c>
    </row>
    <row r="15" spans="1:21" ht="16" customHeight="1" x14ac:dyDescent="0.2">
      <c r="D15"/>
      <c r="F15" s="5" t="s">
        <v>25</v>
      </c>
      <c r="H15" s="24">
        <v>0.02</v>
      </c>
      <c r="J15" s="5" t="s">
        <v>25</v>
      </c>
      <c r="L15" s="24">
        <v>0.03</v>
      </c>
      <c r="N15" s="5" t="s">
        <v>25</v>
      </c>
      <c r="P15" s="24">
        <v>0.04</v>
      </c>
      <c r="R15" s="5" t="s">
        <v>47</v>
      </c>
      <c r="S15"/>
      <c r="T15" s="162">
        <v>4.3799999999999999E-2</v>
      </c>
    </row>
    <row r="16" spans="1:21" ht="16" customHeight="1" x14ac:dyDescent="0.2">
      <c r="B16" s="5" t="s">
        <v>123</v>
      </c>
      <c r="D16" s="161">
        <v>2</v>
      </c>
      <c r="F16" s="5" t="s">
        <v>123</v>
      </c>
      <c r="H16" s="24">
        <v>0.85</v>
      </c>
      <c r="J16" s="5" t="s">
        <v>123</v>
      </c>
      <c r="L16"/>
      <c r="N16" s="5" t="s">
        <v>123</v>
      </c>
      <c r="P16" s="24">
        <v>1.1499999999999999</v>
      </c>
      <c r="R16" s="5" t="s">
        <v>157</v>
      </c>
      <c r="T16" s="167">
        <f>1.466946*1500+2200.419462</f>
        <v>4400.8384619999997</v>
      </c>
    </row>
    <row r="17" spans="1:22" ht="16" customHeight="1" x14ac:dyDescent="0.2">
      <c r="B17" s="5" t="s">
        <v>15</v>
      </c>
      <c r="D17" s="161">
        <v>2</v>
      </c>
      <c r="F17" s="5" t="str">
        <f>B17</f>
        <v>EBIT</v>
      </c>
      <c r="H17" s="24">
        <v>0.97</v>
      </c>
      <c r="J17" s="5" t="str">
        <f>F17</f>
        <v>EBIT</v>
      </c>
      <c r="L17" s="24">
        <v>0.13</v>
      </c>
      <c r="N17" s="5" t="str">
        <f>J17</f>
        <v>EBIT</v>
      </c>
      <c r="P17" s="24">
        <v>1.03</v>
      </c>
    </row>
    <row r="18" spans="1:22" ht="16" customHeight="1" x14ac:dyDescent="0.2">
      <c r="B18" s="5" t="s">
        <v>3</v>
      </c>
      <c r="F18" s="5" t="s">
        <v>3</v>
      </c>
      <c r="J18" s="5" t="s">
        <v>3</v>
      </c>
      <c r="L18" s="166">
        <v>0.21</v>
      </c>
      <c r="N18" s="5" t="s">
        <v>3</v>
      </c>
      <c r="R18" s="9" t="s">
        <v>85</v>
      </c>
      <c r="S18"/>
      <c r="T18"/>
    </row>
    <row r="19" spans="1:22" ht="16" customHeight="1" x14ac:dyDescent="0.2">
      <c r="B19" s="5" t="s">
        <v>151</v>
      </c>
      <c r="D19" s="161">
        <v>2</v>
      </c>
      <c r="F19" s="5" t="s">
        <v>150</v>
      </c>
      <c r="H19" s="52">
        <f>L19-0.5%</f>
        <v>7.4999999999999997E-2</v>
      </c>
      <c r="J19" s="5" t="s">
        <v>150</v>
      </c>
      <c r="L19" s="52">
        <v>0.08</v>
      </c>
      <c r="N19" s="5" t="s">
        <v>150</v>
      </c>
      <c r="P19" s="52">
        <f>L19+0.5%</f>
        <v>8.5000000000000006E-2</v>
      </c>
      <c r="R19" s="5" t="s">
        <v>86</v>
      </c>
      <c r="S19"/>
      <c r="T19" s="162">
        <v>3.4770000000000002E-2</v>
      </c>
    </row>
    <row r="20" spans="1:22" ht="16" customHeight="1" x14ac:dyDescent="0.2">
      <c r="B20" s="5" t="s">
        <v>152</v>
      </c>
      <c r="D20"/>
      <c r="G20" s="145"/>
      <c r="H20" s="146"/>
      <c r="L20" s="165">
        <v>0.1</v>
      </c>
      <c r="P20" s="146"/>
      <c r="R20" s="5" t="s">
        <v>87</v>
      </c>
      <c r="S20"/>
      <c r="T20" s="162">
        <v>5.11E-2</v>
      </c>
    </row>
    <row r="21" spans="1:22" ht="16" customHeight="1" x14ac:dyDescent="0.2">
      <c r="D21" s="25"/>
      <c r="G21" s="145"/>
      <c r="H21" s="147"/>
      <c r="R21" s="5" t="s">
        <v>45</v>
      </c>
      <c r="T21" s="168">
        <v>1.02</v>
      </c>
    </row>
    <row r="22" spans="1:22" ht="16" customHeight="1" x14ac:dyDescent="0.2">
      <c r="B22" s="5" t="s">
        <v>16</v>
      </c>
      <c r="D22" s="161">
        <v>2</v>
      </c>
      <c r="F22" s="5" t="s">
        <v>16</v>
      </c>
      <c r="H22" s="52">
        <f>L22-0.5%</f>
        <v>7.8525836687602185E-2</v>
      </c>
      <c r="J22" s="5" t="s">
        <v>16</v>
      </c>
      <c r="L22" s="97">
        <f>WACC!F22</f>
        <v>8.352583668760219E-2</v>
      </c>
      <c r="N22" s="5" t="s">
        <v>16</v>
      </c>
      <c r="P22" s="52">
        <f>L22+0.5%</f>
        <v>8.8525836687602194E-2</v>
      </c>
    </row>
    <row r="23" spans="1:22" ht="16" customHeight="1" x14ac:dyDescent="0.2">
      <c r="B23" s="5" t="s">
        <v>37</v>
      </c>
      <c r="D23" s="161">
        <v>2</v>
      </c>
      <c r="F23" s="5" t="s">
        <v>37</v>
      </c>
      <c r="H23" s="53">
        <f>L23-0.5%</f>
        <v>2.4999999999999998E-2</v>
      </c>
      <c r="J23" s="5" t="s">
        <v>37</v>
      </c>
      <c r="L23" s="53">
        <v>0.03</v>
      </c>
      <c r="N23" s="5" t="s">
        <v>37</v>
      </c>
      <c r="P23" s="53">
        <f>L23+0.5%</f>
        <v>3.4999999999999996E-2</v>
      </c>
    </row>
    <row r="24" spans="1:22" customFormat="1" ht="16" customHeight="1" x14ac:dyDescent="0.2">
      <c r="R24" s="5"/>
      <c r="S24" s="5"/>
      <c r="T24" s="5"/>
    </row>
    <row r="25" spans="1:22" customFormat="1" ht="16" customHeight="1" x14ac:dyDescent="0.2">
      <c r="B25" s="9" t="s">
        <v>62</v>
      </c>
      <c r="F25" s="9" t="s">
        <v>167</v>
      </c>
      <c r="R25" s="5"/>
      <c r="S25" s="5"/>
      <c r="T25" s="5"/>
    </row>
    <row r="26" spans="1:22" customFormat="1" ht="16" customHeight="1" x14ac:dyDescent="0.2">
      <c r="B26" s="5" t="s">
        <v>16</v>
      </c>
      <c r="D26" s="52">
        <f>CHOOSE(D22,H22,L22,P22,H26)</f>
        <v>8.352583668760219E-2</v>
      </c>
      <c r="F26" s="5" t="s">
        <v>16</v>
      </c>
      <c r="G26" s="5"/>
      <c r="H26" s="162"/>
      <c r="R26" s="5"/>
      <c r="S26" s="5"/>
      <c r="T26" s="5"/>
    </row>
    <row r="27" spans="1:22" customFormat="1" ht="16" customHeight="1" x14ac:dyDescent="0.2">
      <c r="B27" s="5" t="s">
        <v>37</v>
      </c>
      <c r="D27" s="52">
        <f>CHOOSE(D23,H23,L23,P23,H27)</f>
        <v>0.03</v>
      </c>
      <c r="F27" s="5" t="s">
        <v>37</v>
      </c>
      <c r="G27" s="5"/>
      <c r="H27" s="163"/>
      <c r="V27" s="5"/>
    </row>
    <row r="29" spans="1:22" ht="16" customHeight="1" x14ac:dyDescent="0.2">
      <c r="A29" s="5" t="s">
        <v>20</v>
      </c>
      <c r="B29" s="64" t="s">
        <v>89</v>
      </c>
      <c r="C29" s="64"/>
      <c r="D29" s="64"/>
      <c r="E29" s="70">
        <v>2016</v>
      </c>
      <c r="F29" s="70">
        <f>E29+1</f>
        <v>2017</v>
      </c>
      <c r="G29" s="70">
        <f t="shared" ref="G29:J29" si="0">F29+1</f>
        <v>2018</v>
      </c>
      <c r="H29" s="70">
        <f t="shared" si="0"/>
        <v>2019</v>
      </c>
      <c r="I29" s="70">
        <f t="shared" si="0"/>
        <v>2020</v>
      </c>
      <c r="J29" s="70">
        <f t="shared" si="0"/>
        <v>2021</v>
      </c>
      <c r="K29" s="83">
        <v>2022</v>
      </c>
      <c r="L29" s="83">
        <f>K29+1</f>
        <v>2023</v>
      </c>
      <c r="M29" s="83">
        <f t="shared" ref="M29:U29" si="1">L29+1</f>
        <v>2024</v>
      </c>
      <c r="N29" s="83">
        <f t="shared" si="1"/>
        <v>2025</v>
      </c>
      <c r="O29" s="83">
        <f t="shared" si="1"/>
        <v>2026</v>
      </c>
      <c r="P29" s="83">
        <f t="shared" si="1"/>
        <v>2027</v>
      </c>
      <c r="Q29" s="83">
        <f t="shared" si="1"/>
        <v>2028</v>
      </c>
      <c r="R29" s="83">
        <f t="shared" si="1"/>
        <v>2029</v>
      </c>
      <c r="S29" s="83">
        <f t="shared" si="1"/>
        <v>2030</v>
      </c>
      <c r="T29" s="83">
        <f t="shared" si="1"/>
        <v>2031</v>
      </c>
      <c r="U29" s="83">
        <f t="shared" si="1"/>
        <v>2032</v>
      </c>
    </row>
    <row r="30" spans="1:22" ht="16" customHeight="1" x14ac:dyDescent="0.2">
      <c r="B30" s="64" t="s">
        <v>90</v>
      </c>
      <c r="C30" s="64"/>
      <c r="D30" s="64"/>
      <c r="E30" s="100">
        <f t="shared" ref="E30:I30" si="2">EDATE(F30,-12)</f>
        <v>42735</v>
      </c>
      <c r="F30" s="100">
        <f t="shared" si="2"/>
        <v>43100</v>
      </c>
      <c r="G30" s="100">
        <f t="shared" si="2"/>
        <v>43465</v>
      </c>
      <c r="H30" s="100">
        <f t="shared" si="2"/>
        <v>43830</v>
      </c>
      <c r="I30" s="100">
        <f t="shared" si="2"/>
        <v>44196</v>
      </c>
      <c r="J30" s="100">
        <f>EDATE(K30,-12)</f>
        <v>44561</v>
      </c>
      <c r="K30" s="100">
        <v>44926</v>
      </c>
      <c r="L30" s="100">
        <f>EDATE(K30,12)</f>
        <v>45291</v>
      </c>
      <c r="M30" s="100">
        <f t="shared" ref="M30:U30" si="3">EDATE(L30,12)</f>
        <v>45657</v>
      </c>
      <c r="N30" s="100">
        <f t="shared" si="3"/>
        <v>46022</v>
      </c>
      <c r="O30" s="100">
        <f t="shared" si="3"/>
        <v>46387</v>
      </c>
      <c r="P30" s="100">
        <f t="shared" si="3"/>
        <v>46752</v>
      </c>
      <c r="Q30" s="100">
        <f t="shared" si="3"/>
        <v>47118</v>
      </c>
      <c r="R30" s="100">
        <f t="shared" si="3"/>
        <v>47483</v>
      </c>
      <c r="S30" s="100">
        <f t="shared" si="3"/>
        <v>47848</v>
      </c>
      <c r="T30" s="100">
        <f t="shared" si="3"/>
        <v>48213</v>
      </c>
      <c r="U30" s="100">
        <f t="shared" si="3"/>
        <v>48579</v>
      </c>
    </row>
    <row r="31" spans="1:22" ht="16" customHeight="1" x14ac:dyDescent="0.2">
      <c r="B31" s="9" t="s">
        <v>104</v>
      </c>
      <c r="E31" s="106">
        <f>'Financials + KPIs'!Q12-'Financials + KPIs'!Q6</f>
        <v>171487</v>
      </c>
      <c r="F31" s="106">
        <f>'Financials + KPIs'!R12-'Financials + KPIs'!R6</f>
        <v>191704</v>
      </c>
      <c r="G31" s="106">
        <f>'Financials + KPIs'!S12-'Financials + KPIs'!S6</f>
        <v>196486</v>
      </c>
      <c r="H31" s="106">
        <f>'Financials + KPIs'!T12-'Financials + KPIs'!T6</f>
        <v>201923</v>
      </c>
      <c r="I31" s="106">
        <f>'Financials + KPIs'!U12-'Financials + KPIs'!U6</f>
        <v>195654</v>
      </c>
      <c r="J31" s="107">
        <f>'Financials + KPIs'!V12-'Financials + KPIs'!V6</f>
        <v>220509</v>
      </c>
      <c r="K31" s="11">
        <f ca="1">J31*(1+K32)</f>
        <v>241046.72621877931</v>
      </c>
      <c r="L31" s="11">
        <f t="shared" ref="L31:U31" ca="1" si="4">K31*(1+L32)</f>
        <v>255702.45848175665</v>
      </c>
      <c r="M31" s="11">
        <f t="shared" ca="1" si="4"/>
        <v>269671.89621223474</v>
      </c>
      <c r="N31" s="11">
        <f t="shared" ca="1" si="4"/>
        <v>283745.34231713449</v>
      </c>
      <c r="O31" s="11">
        <f t="shared" ca="1" si="4"/>
        <v>297846.60111823521</v>
      </c>
      <c r="P31" s="11">
        <f t="shared" ca="1" si="4"/>
        <v>311893.7580376768</v>
      </c>
      <c r="Q31" s="11">
        <f t="shared" ca="1" si="4"/>
        <v>325800.57702711999</v>
      </c>
      <c r="R31" s="11">
        <f t="shared" ca="1" si="4"/>
        <v>339478.27204818692</v>
      </c>
      <c r="S31" s="11">
        <f t="shared" ca="1" si="4"/>
        <v>352837.60631822026</v>
      </c>
      <c r="T31" s="11">
        <f t="shared" ca="1" si="4"/>
        <v>365791.24192150496</v>
      </c>
      <c r="U31" s="11">
        <f t="shared" ca="1" si="4"/>
        <v>378256.23424502817</v>
      </c>
    </row>
    <row r="32" spans="1:22" s="10" customFormat="1" ht="16" customHeight="1" x14ac:dyDescent="0.2">
      <c r="B32" s="10" t="s">
        <v>5</v>
      </c>
      <c r="F32" s="12">
        <f t="shared" ref="F32:H32" si="5">F31/E31-1</f>
        <v>0.11789231836815617</v>
      </c>
      <c r="G32" s="12">
        <f t="shared" si="5"/>
        <v>2.4944706422401097E-2</v>
      </c>
      <c r="H32" s="12">
        <f t="shared" si="5"/>
        <v>2.7671182679682049E-2</v>
      </c>
      <c r="I32" s="12">
        <f>I31/H31-1</f>
        <v>-3.1046488017709706E-2</v>
      </c>
      <c r="J32" s="76">
        <f>J31/I31-1</f>
        <v>0.12703548100217721</v>
      </c>
      <c r="K32" s="12">
        <f ca="1">OFFSET(K32,$D$9,0)</f>
        <v>9.31378139612411E-2</v>
      </c>
      <c r="L32" s="12">
        <f t="shared" ref="L32:U32" ca="1" si="6">OFFSET(L32,$D$9,0)</f>
        <v>6.080037880155853E-2</v>
      </c>
      <c r="M32" s="12">
        <f t="shared" ca="1" si="6"/>
        <v>5.4631612904397553E-2</v>
      </c>
      <c r="N32" s="12">
        <f t="shared" ca="1" si="6"/>
        <v>5.2187292419317632E-2</v>
      </c>
      <c r="O32" s="12">
        <f t="shared" ca="1" si="6"/>
        <v>4.9696882020851429E-2</v>
      </c>
      <c r="P32" s="12">
        <f t="shared" ca="1" si="6"/>
        <v>4.7162387842275111E-2</v>
      </c>
      <c r="Q32" s="12">
        <f t="shared" ca="1" si="6"/>
        <v>4.4588320962047678E-2</v>
      </c>
      <c r="R32" s="12">
        <f t="shared" ca="1" si="6"/>
        <v>4.1981801094012061E-2</v>
      </c>
      <c r="S32" s="12">
        <f t="shared" ca="1" si="6"/>
        <v>3.9352545862308075E-2</v>
      </c>
      <c r="T32" s="12">
        <f t="shared" ca="1" si="6"/>
        <v>3.6712740851104098E-2</v>
      </c>
      <c r="U32" s="12">
        <f t="shared" ca="1" si="6"/>
        <v>3.4076792702975922E-2</v>
      </c>
    </row>
    <row r="33" spans="2:21" ht="16" customHeight="1" x14ac:dyDescent="0.2">
      <c r="B33" s="5" t="s">
        <v>21</v>
      </c>
      <c r="J33" s="77"/>
      <c r="K33" s="71">
        <f>K34</f>
        <v>9.31378139612411E-2</v>
      </c>
      <c r="L33" s="136">
        <f>L34*H9</f>
        <v>4.8640303041246828E-2</v>
      </c>
      <c r="M33" s="16">
        <f>L33-($L$33-$U$33)/($U$29-$L$29)</f>
        <v>4.545804714777496E-2</v>
      </c>
      <c r="N33" s="16">
        <f t="shared" ref="N33:T33" si="7">M33-($L$33-$U$33)/($U$29-$L$29)</f>
        <v>4.2275791254303093E-2</v>
      </c>
      <c r="O33" s="16">
        <f t="shared" si="7"/>
        <v>3.9093535360831225E-2</v>
      </c>
      <c r="P33" s="16">
        <f t="shared" si="7"/>
        <v>3.5911279467359357E-2</v>
      </c>
      <c r="Q33" s="16">
        <f t="shared" si="7"/>
        <v>3.2729023573887489E-2</v>
      </c>
      <c r="R33" s="16">
        <f t="shared" si="7"/>
        <v>2.9546767680415621E-2</v>
      </c>
      <c r="S33" s="16">
        <f t="shared" si="7"/>
        <v>2.6364511786943753E-2</v>
      </c>
      <c r="T33" s="16">
        <f t="shared" si="7"/>
        <v>2.3182255893471886E-2</v>
      </c>
      <c r="U33" s="27">
        <f>H10</f>
        <v>0.02</v>
      </c>
    </row>
    <row r="34" spans="2:21" ht="16" customHeight="1" x14ac:dyDescent="0.2">
      <c r="B34" s="5" t="s">
        <v>22</v>
      </c>
      <c r="J34" s="77"/>
      <c r="K34" s="72">
        <f>'Financials + KPIs'!W46</f>
        <v>9.31378139612411E-2</v>
      </c>
      <c r="L34" s="72">
        <f>'Financials + KPIs'!X46</f>
        <v>6.080037880155853E-2</v>
      </c>
      <c r="M34" s="72">
        <f>'Financials + KPIs'!Y46</f>
        <v>5.4631612904397553E-2</v>
      </c>
      <c r="N34" s="72">
        <f>'Financials + KPIs'!Z46</f>
        <v>5.2187292419317632E-2</v>
      </c>
      <c r="O34" s="72">
        <f>'Financials + KPIs'!AA46</f>
        <v>4.9696882020851429E-2</v>
      </c>
      <c r="P34" s="72">
        <f>'Financials + KPIs'!AB46</f>
        <v>4.7162387842275111E-2</v>
      </c>
      <c r="Q34" s="72">
        <f>'Financials + KPIs'!AC46</f>
        <v>4.4588320962047678E-2</v>
      </c>
      <c r="R34" s="72">
        <f>'Financials + KPIs'!AD46</f>
        <v>4.1981801094012061E-2</v>
      </c>
      <c r="S34" s="72">
        <f>'Financials + KPIs'!AE46</f>
        <v>3.9352545862308075E-2</v>
      </c>
      <c r="T34" s="72">
        <f>'Financials + KPIs'!AF46</f>
        <v>3.6712740851104098E-2</v>
      </c>
      <c r="U34" s="72">
        <f>'Financials + KPIs'!AG46</f>
        <v>3.4076792702975922E-2</v>
      </c>
    </row>
    <row r="35" spans="2:21" ht="16" customHeight="1" x14ac:dyDescent="0.2">
      <c r="B35" s="5" t="s">
        <v>23</v>
      </c>
      <c r="J35" s="77"/>
      <c r="K35" s="71">
        <f>K34</f>
        <v>9.31378139612411E-2</v>
      </c>
      <c r="L35" s="136">
        <f>L34*P9</f>
        <v>7.2960454561870239E-2</v>
      </c>
      <c r="M35" s="16">
        <f>L35-($L$35-$U$35)/($U$29-$L$29)</f>
        <v>6.8187070721662441E-2</v>
      </c>
      <c r="N35" s="16">
        <f t="shared" ref="N35:T35" si="8">M35-($L$35-$U$35)/($U$29-$L$29)</f>
        <v>6.3413686881454642E-2</v>
      </c>
      <c r="O35" s="16">
        <f t="shared" si="8"/>
        <v>5.8640303041246837E-2</v>
      </c>
      <c r="P35" s="16">
        <f t="shared" si="8"/>
        <v>5.3866919201039032E-2</v>
      </c>
      <c r="Q35" s="16">
        <f t="shared" si="8"/>
        <v>4.9093535360831227E-2</v>
      </c>
      <c r="R35" s="16">
        <f t="shared" si="8"/>
        <v>4.4320151520623421E-2</v>
      </c>
      <c r="S35" s="16">
        <f t="shared" si="8"/>
        <v>3.9546767680415616E-2</v>
      </c>
      <c r="T35" s="16">
        <f t="shared" si="8"/>
        <v>3.4773383840207811E-2</v>
      </c>
      <c r="U35" s="27">
        <f>P10</f>
        <v>0.03</v>
      </c>
    </row>
    <row r="36" spans="2:21" ht="16" customHeight="1" x14ac:dyDescent="0.2">
      <c r="B36" s="5" t="s">
        <v>167</v>
      </c>
      <c r="J36" s="77"/>
      <c r="K36" s="164"/>
      <c r="L36" s="164"/>
      <c r="M36" s="164"/>
      <c r="N36" s="164"/>
      <c r="O36" s="164"/>
      <c r="P36" s="164"/>
      <c r="Q36" s="164"/>
      <c r="R36" s="164"/>
      <c r="S36" s="164"/>
      <c r="T36" s="164"/>
      <c r="U36" s="164"/>
    </row>
    <row r="37" spans="2:21" ht="16" customHeight="1" x14ac:dyDescent="0.2">
      <c r="J37" s="77"/>
      <c r="L37" s="137"/>
    </row>
    <row r="38" spans="2:21" ht="16" customHeight="1" x14ac:dyDescent="0.2">
      <c r="B38" s="9" t="s">
        <v>120</v>
      </c>
      <c r="E38" s="106">
        <f>'Financials + KPIs'!Q8</f>
        <v>19683</v>
      </c>
      <c r="F38" s="106">
        <f>'Financials + KPIs'!R8</f>
        <v>21080</v>
      </c>
      <c r="G38" s="106">
        <f>'Financials + KPIs'!S8</f>
        <v>23703</v>
      </c>
      <c r="H38" s="106">
        <f>'Financials + KPIs'!T8</f>
        <v>23357</v>
      </c>
      <c r="I38" s="106">
        <f>'Financials + KPIs'!U8</f>
        <v>20750</v>
      </c>
      <c r="J38" s="107">
        <f>'Financials + KPIs'!V8</f>
        <v>23177</v>
      </c>
      <c r="K38" s="11">
        <f ca="1">J38*(1+K39)</f>
        <v>26418</v>
      </c>
      <c r="L38" s="11">
        <f t="shared" ref="L38:U38" ca="1" si="9">K38*(1+L39)</f>
        <v>29501.79</v>
      </c>
      <c r="M38" s="11">
        <f t="shared" ca="1" si="9"/>
        <v>31271.897400000002</v>
      </c>
      <c r="N38" s="11">
        <f t="shared" ca="1" si="9"/>
        <v>33030.941628749999</v>
      </c>
      <c r="O38" s="11">
        <f t="shared" ca="1" si="9"/>
        <v>34765.066064259372</v>
      </c>
      <c r="P38" s="11">
        <f t="shared" ca="1" si="9"/>
        <v>36459.86303489202</v>
      </c>
      <c r="Q38" s="11">
        <f t="shared" ca="1" si="9"/>
        <v>38100.556871462155</v>
      </c>
      <c r="R38" s="11">
        <f t="shared" ca="1" si="9"/>
        <v>39672.20484240997</v>
      </c>
      <c r="S38" s="11">
        <f t="shared" ca="1" si="9"/>
        <v>41159.912524000349</v>
      </c>
      <c r="T38" s="11">
        <f t="shared" ca="1" si="9"/>
        <v>42549.059571685357</v>
      </c>
      <c r="U38" s="11">
        <f t="shared" ca="1" si="9"/>
        <v>43825.53135883592</v>
      </c>
    </row>
    <row r="39" spans="2:21" s="10" customFormat="1" ht="16" customHeight="1" x14ac:dyDescent="0.2">
      <c r="B39" s="10" t="s">
        <v>5</v>
      </c>
      <c r="F39" s="12">
        <f t="shared" ref="F39:H39" si="10">F38/E38-1</f>
        <v>7.0974953005131347E-2</v>
      </c>
      <c r="G39" s="12">
        <f t="shared" si="10"/>
        <v>0.12443074003795074</v>
      </c>
      <c r="H39" s="12">
        <f t="shared" si="10"/>
        <v>-1.4597308357591876E-2</v>
      </c>
      <c r="I39" s="12">
        <f>I38/H38-1</f>
        <v>-0.11161536156184437</v>
      </c>
      <c r="J39" s="76">
        <f>J38/I38-1</f>
        <v>0.11696385542168675</v>
      </c>
      <c r="K39" s="12">
        <f ca="1">OFFSET(K39,$D$11,0)</f>
        <v>0.13983690727876774</v>
      </c>
      <c r="L39" s="12">
        <f ca="1">OFFSET(L39,$D$11,0)</f>
        <v>0.11673063820122653</v>
      </c>
      <c r="M39" s="12">
        <f ca="1">OFFSET(M39,$D$11,0)</f>
        <v>0.06</v>
      </c>
      <c r="N39" s="12">
        <f ca="1">OFFSET(N39,$D$11,0)</f>
        <v>5.6249999999999994E-2</v>
      </c>
      <c r="O39" s="12">
        <f ca="1">OFFSET(O39,$D$11,0)</f>
        <v>5.2499999999999991E-2</v>
      </c>
      <c r="P39" s="12">
        <f ca="1">OFFSET(P39,$D$11,0)</f>
        <v>4.8749999999999988E-2</v>
      </c>
      <c r="Q39" s="12">
        <f ca="1">OFFSET(Q39,$D$11,0)</f>
        <v>4.4999999999999984E-2</v>
      </c>
      <c r="R39" s="12">
        <f ca="1">OFFSET(R39,$D$11,0)</f>
        <v>4.1249999999999981E-2</v>
      </c>
      <c r="S39" s="12">
        <f ca="1">OFFSET(S39,$D$11,0)</f>
        <v>3.7499999999999978E-2</v>
      </c>
      <c r="T39" s="12">
        <f ca="1">OFFSET(T39,$D$11,0)</f>
        <v>3.3749999999999974E-2</v>
      </c>
      <c r="U39" s="12">
        <f ca="1">OFFSET(U39,$D$11,0)</f>
        <v>0.03</v>
      </c>
    </row>
    <row r="40" spans="2:21" ht="16" customHeight="1" x14ac:dyDescent="0.2">
      <c r="B40" s="5" t="s">
        <v>21</v>
      </c>
      <c r="J40" s="77"/>
      <c r="K40" s="71">
        <f>K41</f>
        <v>0.13983690727876774</v>
      </c>
      <c r="L40" s="136">
        <f>L41*H11</f>
        <v>8.75479786509199E-2</v>
      </c>
      <c r="M40" s="136">
        <f>L40-($K$40-$U$40)/($U$29-$K$29)</f>
        <v>7.5564287923043122E-2</v>
      </c>
      <c r="N40" s="16">
        <f>M40-($M$40-$U$40)/($U$29-$M$29)</f>
        <v>6.861875193266273E-2</v>
      </c>
      <c r="O40" s="16">
        <f t="shared" ref="O40:T40" si="11">N40-($M$40-$U$40)/($U$29-$M$29)</f>
        <v>6.1673215942282339E-2</v>
      </c>
      <c r="P40" s="16">
        <f t="shared" si="11"/>
        <v>5.4727679951901947E-2</v>
      </c>
      <c r="Q40" s="16">
        <f t="shared" si="11"/>
        <v>4.7782143961521556E-2</v>
      </c>
      <c r="R40" s="16">
        <f t="shared" si="11"/>
        <v>4.0836607971141164E-2</v>
      </c>
      <c r="S40" s="16">
        <f t="shared" si="11"/>
        <v>3.3891071980760773E-2</v>
      </c>
      <c r="T40" s="16">
        <f t="shared" si="11"/>
        <v>2.6945535990380381E-2</v>
      </c>
      <c r="U40" s="23">
        <f>H12</f>
        <v>0.02</v>
      </c>
    </row>
    <row r="41" spans="2:21" ht="16" customHeight="1" x14ac:dyDescent="0.2">
      <c r="B41" s="5" t="s">
        <v>22</v>
      </c>
      <c r="J41" s="77"/>
      <c r="K41" s="73">
        <f>'Financials + KPIs'!W54</f>
        <v>0.13983690727876774</v>
      </c>
      <c r="L41" s="17">
        <f>'Financials + KPIs'!X54</f>
        <v>0.11673063820122653</v>
      </c>
      <c r="M41" s="17">
        <f>'Financials + KPIs'!Y54</f>
        <v>0.06</v>
      </c>
      <c r="N41" s="16">
        <f>M41-($M$41-$U$41)/($U$29-$M$29)</f>
        <v>5.6249999999999994E-2</v>
      </c>
      <c r="O41" s="16">
        <f t="shared" ref="O41:T41" si="12">N41-($M$41-$U$41)/($U$29-$M$29)</f>
        <v>5.2499999999999991E-2</v>
      </c>
      <c r="P41" s="16">
        <f t="shared" si="12"/>
        <v>4.8749999999999988E-2</v>
      </c>
      <c r="Q41" s="16">
        <f t="shared" si="12"/>
        <v>4.4999999999999984E-2</v>
      </c>
      <c r="R41" s="16">
        <f t="shared" si="12"/>
        <v>4.1249999999999981E-2</v>
      </c>
      <c r="S41" s="16">
        <f t="shared" si="12"/>
        <v>3.7499999999999978E-2</v>
      </c>
      <c r="T41" s="16">
        <f t="shared" si="12"/>
        <v>3.3749999999999974E-2</v>
      </c>
      <c r="U41" s="23">
        <f>L12</f>
        <v>0.03</v>
      </c>
    </row>
    <row r="42" spans="2:21" ht="16" customHeight="1" x14ac:dyDescent="0.2">
      <c r="B42" s="5" t="s">
        <v>23</v>
      </c>
      <c r="J42" s="77"/>
      <c r="K42" s="71">
        <f>K41</f>
        <v>0.13983690727876774</v>
      </c>
      <c r="L42" s="136">
        <f>L41*P11</f>
        <v>0.13424023393141049</v>
      </c>
      <c r="M42" s="136">
        <f>L42-($K$42-$U$42)/($U$29-$K$29)</f>
        <v>0.12425654320353371</v>
      </c>
      <c r="N42" s="16">
        <f>M42-($M$42-$U$42)/($U$29-$M$29)</f>
        <v>0.113724475303092</v>
      </c>
      <c r="O42" s="16">
        <f t="shared" ref="O42:T42" si="13">N42-($M$42-$U$42)/($U$29-$M$29)</f>
        <v>0.10319240740265029</v>
      </c>
      <c r="P42" s="16">
        <f t="shared" si="13"/>
        <v>9.2660339502208575E-2</v>
      </c>
      <c r="Q42" s="16">
        <f t="shared" si="13"/>
        <v>8.2128271601766861E-2</v>
      </c>
      <c r="R42" s="16">
        <f t="shared" si="13"/>
        <v>7.1596203701325148E-2</v>
      </c>
      <c r="S42" s="16">
        <f t="shared" si="13"/>
        <v>6.1064135800883435E-2</v>
      </c>
      <c r="T42" s="16">
        <f t="shared" si="13"/>
        <v>5.0532067900441721E-2</v>
      </c>
      <c r="U42" s="23">
        <f>P12</f>
        <v>0.04</v>
      </c>
    </row>
    <row r="43" spans="2:21" ht="16" customHeight="1" x14ac:dyDescent="0.2">
      <c r="B43" s="5" t="s">
        <v>167</v>
      </c>
      <c r="J43" s="77"/>
      <c r="K43" s="164"/>
      <c r="L43" s="164"/>
      <c r="M43" s="164"/>
      <c r="N43" s="164"/>
      <c r="O43" s="164"/>
      <c r="P43" s="164"/>
      <c r="Q43" s="164"/>
      <c r="R43" s="164"/>
      <c r="S43" s="164"/>
      <c r="T43" s="164"/>
      <c r="U43" s="164"/>
    </row>
    <row r="44" spans="2:21" ht="16" customHeight="1" x14ac:dyDescent="0.2">
      <c r="J44" s="77"/>
      <c r="K44" s="120"/>
      <c r="L44" s="121"/>
      <c r="M44" s="121"/>
      <c r="N44" s="121"/>
      <c r="O44" s="121"/>
      <c r="P44" s="121"/>
      <c r="Q44" s="121"/>
      <c r="R44" s="121"/>
      <c r="S44" s="121"/>
      <c r="T44" s="121"/>
      <c r="U44" s="121"/>
    </row>
    <row r="45" spans="2:21" ht="16" customHeight="1" x14ac:dyDescent="0.2">
      <c r="B45" s="9" t="s">
        <v>121</v>
      </c>
      <c r="E45" s="106">
        <f>'Financials + KPIs'!Q9</f>
        <v>14621</v>
      </c>
      <c r="F45" s="106">
        <f>'Financials + KPIs'!R9</f>
        <v>15155</v>
      </c>
      <c r="G45" s="106">
        <f>'Financials + KPIs'!S9</f>
        <v>15555</v>
      </c>
      <c r="H45" s="106">
        <f>'Financials + KPIs'!T9</f>
        <v>15353</v>
      </c>
      <c r="I45" s="106">
        <f>'Financials + KPIs'!U9</f>
        <v>15540</v>
      </c>
      <c r="J45" s="107">
        <f>'Financials + KPIs'!V9</f>
        <v>18891</v>
      </c>
      <c r="K45" s="11">
        <f ca="1">J45*(1+K46)</f>
        <v>19804.78</v>
      </c>
      <c r="L45" s="11">
        <f t="shared" ref="L45" ca="1" si="14">K45*(1+L46)</f>
        <v>20706.572116855645</v>
      </c>
      <c r="M45" s="11">
        <f t="shared" ref="M45" ca="1" si="15">L45*(1+M46)</f>
        <v>21590.679500826336</v>
      </c>
      <c r="N45" s="11">
        <f t="shared" ref="N45" ca="1" si="16">M45*(1+N46)</f>
        <v>22451.28025984842</v>
      </c>
      <c r="O45" s="11">
        <f t="shared" ref="O45" ca="1" si="17">N45*(1+O46)</f>
        <v>23282.487480674044</v>
      </c>
      <c r="P45" s="11">
        <f t="shared" ref="P45" ca="1" si="18">O45*(1+P46)</f>
        <v>24078.413075667388</v>
      </c>
      <c r="Q45" s="11">
        <f t="shared" ref="Q45" ca="1" si="19">P45*(1+Q46)</f>
        <v>24833.234553464357</v>
      </c>
      <c r="R45" s="11">
        <f t="shared" ref="R45" ca="1" si="20">Q45*(1+R46)</f>
        <v>25541.263710013634</v>
      </c>
      <c r="S45" s="11">
        <f t="shared" ref="S45" ca="1" si="21">R45*(1+S46)</f>
        <v>26197.016152685868</v>
      </c>
      <c r="T45" s="11">
        <f t="shared" ref="T45" ca="1" si="22">S45*(1+T46)</f>
        <v>26795.280507168274</v>
      </c>
      <c r="U45" s="11">
        <f t="shared" ref="U45" ca="1" si="23">T45*(1+U46)</f>
        <v>27331.186117311641</v>
      </c>
    </row>
    <row r="46" spans="2:21" s="10" customFormat="1" ht="16" customHeight="1" x14ac:dyDescent="0.2">
      <c r="B46" s="10" t="s">
        <v>5</v>
      </c>
      <c r="F46" s="12">
        <f t="shared" ref="F46" si="24">F45/E45-1</f>
        <v>3.6522809657342226E-2</v>
      </c>
      <c r="G46" s="12">
        <f t="shared" ref="G46" si="25">G45/F45-1</f>
        <v>2.6393929396238969E-2</v>
      </c>
      <c r="H46" s="12">
        <f t="shared" ref="H46" si="26">H45/G45-1</f>
        <v>-1.2986178077788457E-2</v>
      </c>
      <c r="I46" s="12">
        <f>I45/H45-1</f>
        <v>1.2180029961571082E-2</v>
      </c>
      <c r="J46" s="76">
        <f>J45/I45-1</f>
        <v>0.21563706563706564</v>
      </c>
      <c r="K46" s="12">
        <f ca="1">OFFSET(K46,$D$13,0)</f>
        <v>4.8371182044359751E-2</v>
      </c>
      <c r="L46" s="12">
        <f t="shared" ref="L46:U46" ca="1" si="27">OFFSET(L46,$D$13,0)</f>
        <v>4.5534063839923776E-2</v>
      </c>
      <c r="M46" s="12">
        <f t="shared" ca="1" si="27"/>
        <v>4.2696945635487801E-2</v>
      </c>
      <c r="N46" s="12">
        <f t="shared" ca="1" si="27"/>
        <v>3.9859827431051827E-2</v>
      </c>
      <c r="O46" s="12">
        <f t="shared" ca="1" si="27"/>
        <v>3.7022709226615852E-2</v>
      </c>
      <c r="P46" s="12">
        <f t="shared" ca="1" si="27"/>
        <v>3.4185591022179877E-2</v>
      </c>
      <c r="Q46" s="12">
        <f t="shared" ca="1" si="27"/>
        <v>3.1348472817743903E-2</v>
      </c>
      <c r="R46" s="12">
        <f t="shared" ca="1" si="27"/>
        <v>2.8511354613307928E-2</v>
      </c>
      <c r="S46" s="12">
        <f t="shared" ca="1" si="27"/>
        <v>2.5674236408871953E-2</v>
      </c>
      <c r="T46" s="12">
        <f t="shared" ca="1" si="27"/>
        <v>2.2837118204435979E-2</v>
      </c>
      <c r="U46" s="12">
        <f t="shared" ca="1" si="27"/>
        <v>0.02</v>
      </c>
    </row>
    <row r="47" spans="2:21" ht="16" customHeight="1" x14ac:dyDescent="0.2">
      <c r="B47" s="5" t="s">
        <v>21</v>
      </c>
      <c r="J47" s="77"/>
      <c r="K47" s="71">
        <f>K48</f>
        <v>4.8371182044359751E-2</v>
      </c>
      <c r="L47" s="14">
        <f>K47-($K$47-$U$47)/($U$29-$K$29)</f>
        <v>4.4534063839923775E-2</v>
      </c>
      <c r="M47" s="14">
        <f t="shared" ref="M47:T47" si="28">L47-($K$47-$U$47)/($U$29-$K$29)</f>
        <v>4.06969456354878E-2</v>
      </c>
      <c r="N47" s="14">
        <f t="shared" si="28"/>
        <v>3.6859827431051824E-2</v>
      </c>
      <c r="O47" s="14">
        <f t="shared" si="28"/>
        <v>3.3022709226615848E-2</v>
      </c>
      <c r="P47" s="14">
        <f t="shared" si="28"/>
        <v>2.9185591022179873E-2</v>
      </c>
      <c r="Q47" s="14">
        <f t="shared" si="28"/>
        <v>2.5348472817743897E-2</v>
      </c>
      <c r="R47" s="14">
        <f t="shared" si="28"/>
        <v>2.1511354613307922E-2</v>
      </c>
      <c r="S47" s="14">
        <f t="shared" si="28"/>
        <v>1.7674236408871946E-2</v>
      </c>
      <c r="T47" s="14">
        <f t="shared" si="28"/>
        <v>1.3837118204435971E-2</v>
      </c>
      <c r="U47" s="139">
        <f>H13</f>
        <v>0.01</v>
      </c>
    </row>
    <row r="48" spans="2:21" ht="16" customHeight="1" x14ac:dyDescent="0.2">
      <c r="B48" s="5" t="s">
        <v>22</v>
      </c>
      <c r="J48" s="77"/>
      <c r="K48" s="73">
        <f>'Financials + KPIs'!W55</f>
        <v>4.8371182044359751E-2</v>
      </c>
      <c r="L48" s="14">
        <f>K48-($K$48-$U$48)/($U$29-$K$29)</f>
        <v>4.5534063839923776E-2</v>
      </c>
      <c r="M48" s="14">
        <f t="shared" ref="M48:T48" si="29">L48-($K$48-$U$48)/($U$29-$K$29)</f>
        <v>4.2696945635487801E-2</v>
      </c>
      <c r="N48" s="14">
        <f t="shared" si="29"/>
        <v>3.9859827431051827E-2</v>
      </c>
      <c r="O48" s="14">
        <f t="shared" si="29"/>
        <v>3.7022709226615852E-2</v>
      </c>
      <c r="P48" s="14">
        <f t="shared" si="29"/>
        <v>3.4185591022179877E-2</v>
      </c>
      <c r="Q48" s="14">
        <f t="shared" si="29"/>
        <v>3.1348472817743903E-2</v>
      </c>
      <c r="R48" s="14">
        <f t="shared" si="29"/>
        <v>2.8511354613307928E-2</v>
      </c>
      <c r="S48" s="14">
        <f t="shared" si="29"/>
        <v>2.5674236408871953E-2</v>
      </c>
      <c r="T48" s="14">
        <f t="shared" si="29"/>
        <v>2.2837118204435979E-2</v>
      </c>
      <c r="U48" s="139">
        <f>L13</f>
        <v>0.02</v>
      </c>
    </row>
    <row r="49" spans="2:21" ht="16" customHeight="1" x14ac:dyDescent="0.2">
      <c r="B49" s="5" t="s">
        <v>23</v>
      </c>
      <c r="J49" s="77"/>
      <c r="K49" s="71">
        <f>K48</f>
        <v>4.8371182044359751E-2</v>
      </c>
      <c r="L49" s="14">
        <f>K49-($K$49-$U$49)/($U$29-$K$29)</f>
        <v>4.6534063839923777E-2</v>
      </c>
      <c r="M49" s="14">
        <f t="shared" ref="M49:T49" si="30">L49-($K$49-$U$49)/($U$29-$K$29)</f>
        <v>4.4696945635487803E-2</v>
      </c>
      <c r="N49" s="14">
        <f t="shared" si="30"/>
        <v>4.2859827431051829E-2</v>
      </c>
      <c r="O49" s="14">
        <f t="shared" si="30"/>
        <v>4.1022709226615856E-2</v>
      </c>
      <c r="P49" s="14">
        <f t="shared" si="30"/>
        <v>3.9185591022179882E-2</v>
      </c>
      <c r="Q49" s="14">
        <f t="shared" si="30"/>
        <v>3.7348472817743908E-2</v>
      </c>
      <c r="R49" s="14">
        <f t="shared" si="30"/>
        <v>3.5511354613307934E-2</v>
      </c>
      <c r="S49" s="14">
        <f t="shared" si="30"/>
        <v>3.367423640887196E-2</v>
      </c>
      <c r="T49" s="14">
        <f t="shared" si="30"/>
        <v>3.1837118204435987E-2</v>
      </c>
      <c r="U49" s="139">
        <f>P13</f>
        <v>0.03</v>
      </c>
    </row>
    <row r="50" spans="2:21" ht="16" customHeight="1" x14ac:dyDescent="0.2">
      <c r="B50" s="5" t="s">
        <v>167</v>
      </c>
      <c r="J50" s="77"/>
      <c r="K50" s="164"/>
      <c r="L50" s="164"/>
      <c r="M50" s="164"/>
      <c r="N50" s="164"/>
      <c r="O50" s="164"/>
      <c r="P50" s="164"/>
      <c r="Q50" s="164"/>
      <c r="R50" s="164"/>
      <c r="S50" s="164"/>
      <c r="T50" s="164"/>
      <c r="U50" s="164"/>
    </row>
    <row r="51" spans="2:21" ht="16" customHeight="1" x14ac:dyDescent="0.2">
      <c r="J51" s="77"/>
      <c r="K51" s="120"/>
      <c r="L51" s="121"/>
      <c r="M51" s="121"/>
      <c r="N51" s="121"/>
      <c r="O51" s="121"/>
      <c r="P51" s="121"/>
      <c r="Q51" s="121"/>
      <c r="R51" s="121"/>
      <c r="S51" s="121"/>
      <c r="T51" s="121"/>
      <c r="U51" s="121"/>
    </row>
    <row r="52" spans="2:21" ht="16" customHeight="1" x14ac:dyDescent="0.2">
      <c r="B52" s="9" t="s">
        <v>122</v>
      </c>
      <c r="E52" s="106">
        <f>'Financials + KPIs'!Q10</f>
        <v>3143</v>
      </c>
      <c r="F52" s="106">
        <f>'Financials + KPIs'!R10</f>
        <v>3770</v>
      </c>
      <c r="G52" s="106">
        <f>'Financials + KPIs'!S10</f>
        <v>4415</v>
      </c>
      <c r="H52" s="106">
        <f>'Financials + KPIs'!T10</f>
        <v>4743</v>
      </c>
      <c r="I52" s="106">
        <f>'Financials + KPIs'!U10</f>
        <v>5474</v>
      </c>
      <c r="J52" s="107">
        <f>'Financials + KPIs'!V10</f>
        <v>6052</v>
      </c>
      <c r="K52" s="11">
        <f ca="1">J52*(1+K53)</f>
        <v>5467.6</v>
      </c>
      <c r="L52" s="11">
        <f t="shared" ref="L52" ca="1" si="31">K52*(1+L53)</f>
        <v>5303.5720000000001</v>
      </c>
      <c r="M52" s="11">
        <f t="shared" ref="M52" ca="1" si="32">L52*(1+M53)</f>
        <v>5568.7506000000003</v>
      </c>
      <c r="N52" s="11">
        <f t="shared" ref="N52" ca="1" si="33">M52*(1+N53)</f>
        <v>5902.8756360000007</v>
      </c>
      <c r="O52" s="11">
        <f t="shared" ref="O52" ca="1" si="34">N52*(1+O53)</f>
        <v>6231.7501357199999</v>
      </c>
      <c r="P52" s="11">
        <f t="shared" ref="P52" ca="1" si="35">O52*(1+P53)</f>
        <v>6552.2401426998849</v>
      </c>
      <c r="Q52" s="11">
        <f t="shared" ref="Q52" ca="1" si="36">P52*(1+Q53)</f>
        <v>6861.1314637128798</v>
      </c>
      <c r="R52" s="11">
        <f t="shared" ref="R52" ca="1" si="37">Q52*(1+R53)</f>
        <v>7155.1799550148608</v>
      </c>
      <c r="S52" s="11">
        <f t="shared" ref="S52" ca="1" si="38">R52*(1+S53)</f>
        <v>7431.1654675654336</v>
      </c>
      <c r="T52" s="11">
        <f t="shared" ref="T52" ca="1" si="39">S52*(1+T53)</f>
        <v>7685.9482835962481</v>
      </c>
      <c r="U52" s="11">
        <f t="shared" ref="U52" ca="1" si="40">T52*(1+U53)</f>
        <v>7916.5267321041356</v>
      </c>
    </row>
    <row r="53" spans="2:21" s="10" customFormat="1" ht="16" customHeight="1" x14ac:dyDescent="0.2">
      <c r="B53" s="10" t="s">
        <v>5</v>
      </c>
      <c r="F53" s="12">
        <f t="shared" ref="F53" si="41">F52/E52-1</f>
        <v>0.19949093223035308</v>
      </c>
      <c r="G53" s="12">
        <f t="shared" ref="G53" si="42">G52/F52-1</f>
        <v>0.17108753315649872</v>
      </c>
      <c r="H53" s="12">
        <f t="shared" ref="H53" si="43">H52/G52-1</f>
        <v>7.4292185730464366E-2</v>
      </c>
      <c r="I53" s="12">
        <f>I52/H52-1</f>
        <v>0.15412186379928317</v>
      </c>
      <c r="J53" s="76">
        <f>J52/I52-1</f>
        <v>0.10559006211180133</v>
      </c>
      <c r="K53" s="12">
        <f ca="1">OFFSET(K53,$D$14,0)</f>
        <v>-9.6563119629874405E-2</v>
      </c>
      <c r="L53" s="12">
        <f t="shared" ref="L53:U53" ca="1" si="44">OFFSET(L53,$D$14,0)</f>
        <v>-0.03</v>
      </c>
      <c r="M53" s="12">
        <f t="shared" ca="1" si="44"/>
        <v>0.05</v>
      </c>
      <c r="N53" s="12">
        <f t="shared" ca="1" si="44"/>
        <v>0.06</v>
      </c>
      <c r="O53" s="12">
        <f t="shared" ca="1" si="44"/>
        <v>5.5714285714285709E-2</v>
      </c>
      <c r="P53" s="12">
        <f t="shared" ca="1" si="44"/>
        <v>5.1428571428571421E-2</v>
      </c>
      <c r="Q53" s="12">
        <f t="shared" ca="1" si="44"/>
        <v>4.7142857142857132E-2</v>
      </c>
      <c r="R53" s="12">
        <f t="shared" ca="1" si="44"/>
        <v>4.2857142857142844E-2</v>
      </c>
      <c r="S53" s="12">
        <f t="shared" ca="1" si="44"/>
        <v>3.8571428571428555E-2</v>
      </c>
      <c r="T53" s="12">
        <f t="shared" ca="1" si="44"/>
        <v>3.4285714285714267E-2</v>
      </c>
      <c r="U53" s="12">
        <f t="shared" ca="1" si="44"/>
        <v>0.03</v>
      </c>
    </row>
    <row r="54" spans="2:21" ht="16" customHeight="1" x14ac:dyDescent="0.2">
      <c r="B54" s="5" t="s">
        <v>21</v>
      </c>
      <c r="J54" s="77"/>
      <c r="K54" s="71">
        <f>K55</f>
        <v>-9.6563119629874405E-2</v>
      </c>
      <c r="L54" s="136">
        <f>L55*$H$14</f>
        <v>-2.4E-2</v>
      </c>
      <c r="M54" s="136">
        <f t="shared" ref="M54:N54" si="45">M55*$H$14</f>
        <v>4.0000000000000008E-2</v>
      </c>
      <c r="N54" s="136">
        <f t="shared" si="45"/>
        <v>4.8000000000000001E-2</v>
      </c>
      <c r="O54" s="14">
        <f>N54-($N$54-$U$54)/($U$29-$N$29)</f>
        <v>4.3999999999999997E-2</v>
      </c>
      <c r="P54" s="14">
        <f t="shared" ref="P54:T54" si="46">O54-($N$54-$U$54)/($U$29-$N$29)</f>
        <v>3.9999999999999994E-2</v>
      </c>
      <c r="Q54" s="14">
        <f t="shared" si="46"/>
        <v>3.599999999999999E-2</v>
      </c>
      <c r="R54" s="14">
        <f t="shared" si="46"/>
        <v>3.1999999999999987E-2</v>
      </c>
      <c r="S54" s="14">
        <f t="shared" si="46"/>
        <v>2.7999999999999987E-2</v>
      </c>
      <c r="T54" s="14">
        <f t="shared" si="46"/>
        <v>2.3999999999999987E-2</v>
      </c>
      <c r="U54" s="23">
        <f>H15</f>
        <v>0.02</v>
      </c>
    </row>
    <row r="55" spans="2:21" ht="16" customHeight="1" x14ac:dyDescent="0.2">
      <c r="B55" s="5" t="s">
        <v>22</v>
      </c>
      <c r="J55" s="77"/>
      <c r="K55" s="73">
        <f>'Financials + KPIs'!W56</f>
        <v>-9.6563119629874405E-2</v>
      </c>
      <c r="L55" s="14">
        <v>-0.03</v>
      </c>
      <c r="M55" s="14">
        <v>0.05</v>
      </c>
      <c r="N55" s="14">
        <v>0.06</v>
      </c>
      <c r="O55" s="14">
        <f>N55-($N$55-$U$55)/($U$29-$N$29)</f>
        <v>5.5714285714285709E-2</v>
      </c>
      <c r="P55" s="14">
        <f t="shared" ref="P55:T55" si="47">O55-($N$55-$U$55)/($U$29-$N$29)</f>
        <v>5.1428571428571421E-2</v>
      </c>
      <c r="Q55" s="14">
        <f t="shared" si="47"/>
        <v>4.7142857142857132E-2</v>
      </c>
      <c r="R55" s="14">
        <f t="shared" si="47"/>
        <v>4.2857142857142844E-2</v>
      </c>
      <c r="S55" s="14">
        <f t="shared" si="47"/>
        <v>3.8571428571428555E-2</v>
      </c>
      <c r="T55" s="14">
        <f t="shared" si="47"/>
        <v>3.4285714285714267E-2</v>
      </c>
      <c r="U55" s="23">
        <f>L15</f>
        <v>0.03</v>
      </c>
    </row>
    <row r="56" spans="2:21" ht="16" customHeight="1" x14ac:dyDescent="0.2">
      <c r="B56" s="5" t="s">
        <v>23</v>
      </c>
      <c r="J56" s="77"/>
      <c r="K56" s="71">
        <f>K55</f>
        <v>-9.6563119629874405E-2</v>
      </c>
      <c r="L56" s="136">
        <f>L55*$P$14</f>
        <v>-3.5999999999999997E-2</v>
      </c>
      <c r="M56" s="136">
        <f t="shared" ref="M56:N56" si="48">M55*$P$14</f>
        <v>0.06</v>
      </c>
      <c r="N56" s="136">
        <f t="shared" si="48"/>
        <v>7.1999999999999995E-2</v>
      </c>
      <c r="O56" s="14">
        <f>N56-($N$56-$U$56)/($U$29-$N$29)</f>
        <v>6.7428571428571421E-2</v>
      </c>
      <c r="P56" s="14">
        <f t="shared" ref="P56:T56" si="49">O56-($N$56-$U$56)/($U$29-$N$29)</f>
        <v>6.2857142857142848E-2</v>
      </c>
      <c r="Q56" s="14">
        <f t="shared" si="49"/>
        <v>5.8285714285714274E-2</v>
      </c>
      <c r="R56" s="14">
        <f t="shared" si="49"/>
        <v>5.3714285714285701E-2</v>
      </c>
      <c r="S56" s="14">
        <f t="shared" si="49"/>
        <v>4.9142857142857127E-2</v>
      </c>
      <c r="T56" s="14">
        <f t="shared" si="49"/>
        <v>4.4571428571428554E-2</v>
      </c>
      <c r="U56" s="23">
        <f>P15</f>
        <v>0.04</v>
      </c>
    </row>
    <row r="57" spans="2:21" ht="16" customHeight="1" x14ac:dyDescent="0.2">
      <c r="B57" s="5" t="s">
        <v>167</v>
      </c>
      <c r="J57" s="77"/>
      <c r="K57" s="164"/>
      <c r="L57" s="164"/>
      <c r="M57" s="164"/>
      <c r="N57" s="164"/>
      <c r="O57" s="164"/>
      <c r="P57" s="164"/>
      <c r="Q57" s="164"/>
      <c r="R57" s="164"/>
      <c r="S57" s="164"/>
      <c r="T57" s="164"/>
      <c r="U57" s="164"/>
    </row>
    <row r="58" spans="2:21" ht="16" customHeight="1" x14ac:dyDescent="0.2">
      <c r="J58" s="77"/>
      <c r="K58" s="120"/>
      <c r="L58" s="121"/>
      <c r="M58" s="121"/>
      <c r="N58" s="121"/>
      <c r="O58" s="121"/>
      <c r="P58" s="121"/>
      <c r="Q58" s="121"/>
      <c r="R58" s="121"/>
      <c r="S58" s="121"/>
      <c r="T58" s="121"/>
      <c r="U58" s="121"/>
    </row>
    <row r="59" spans="2:21" ht="16" customHeight="1" x14ac:dyDescent="0.2">
      <c r="B59" s="9" t="s">
        <v>123</v>
      </c>
      <c r="E59" s="106">
        <f>'Financials + KPIs'!Q6</f>
        <v>6180</v>
      </c>
      <c r="F59" s="106">
        <f>'Financials + KPIs'!R6</f>
        <v>1202</v>
      </c>
      <c r="G59" s="106">
        <f>'Financials + KPIs'!S6</f>
        <v>7678</v>
      </c>
      <c r="H59" s="106">
        <f>'Financials + KPIs'!T6</f>
        <v>9240</v>
      </c>
      <c r="I59" s="106">
        <f>'Financials + KPIs'!U6</f>
        <v>8092</v>
      </c>
      <c r="J59" s="107">
        <f>'Financials + KPIs'!V6</f>
        <v>7465</v>
      </c>
      <c r="K59" s="11">
        <f ca="1">J59*(1+K60)</f>
        <v>10031.200000000001</v>
      </c>
      <c r="L59" s="11">
        <f t="shared" ref="L59" ca="1" si="50">K59*(1+L60)</f>
        <v>11234.944000000001</v>
      </c>
      <c r="M59" s="11">
        <f t="shared" ref="M59" ca="1" si="51">L59*(1+M60)</f>
        <v>12470.787840000003</v>
      </c>
      <c r="N59" s="11">
        <f t="shared" ref="N59" ca="1" si="52">M59*(1+N60)</f>
        <v>13717.866624000004</v>
      </c>
      <c r="O59" s="11">
        <f t="shared" ref="O59" ca="1" si="53">N59*(1+O60)</f>
        <v>14883.885287040004</v>
      </c>
      <c r="P59" s="11">
        <f t="shared" ref="P59" ca="1" si="54">O59*(1+P60)</f>
        <v>16149.015536438405</v>
      </c>
      <c r="Q59" s="11">
        <f t="shared" ref="Q59" ca="1" si="55">P59*(1+Q60)</f>
        <v>17521.68185703567</v>
      </c>
      <c r="R59" s="11">
        <f t="shared" ref="R59" ca="1" si="56">Q59*(1+R60)</f>
        <v>19011.024814883702</v>
      </c>
      <c r="S59" s="11">
        <f t="shared" ref="S59" ca="1" si="57">R59*(1+S60)</f>
        <v>20626.961924148814</v>
      </c>
      <c r="T59" s="11">
        <f t="shared" ref="T59" ca="1" si="58">S59*(1+T60)</f>
        <v>22380.253687701465</v>
      </c>
      <c r="U59" s="11">
        <f t="shared" ref="U59" ca="1" si="59">T59*(1+U60)</f>
        <v>24282.57525115609</v>
      </c>
    </row>
    <row r="60" spans="2:21" s="10" customFormat="1" ht="16" customHeight="1" x14ac:dyDescent="0.2">
      <c r="B60" s="10" t="s">
        <v>5</v>
      </c>
      <c r="F60" s="12">
        <f t="shared" ref="F60" si="60">F59/E59-1</f>
        <v>-0.80550161812297738</v>
      </c>
      <c r="G60" s="12">
        <f t="shared" ref="G60" si="61">G59/F59-1</f>
        <v>5.3876871880199664</v>
      </c>
      <c r="H60" s="12">
        <f t="shared" ref="H60" si="62">H59/G59-1</f>
        <v>0.20343839541547282</v>
      </c>
      <c r="I60" s="12">
        <f>I59/H59-1</f>
        <v>-0.12424242424242427</v>
      </c>
      <c r="J60" s="76">
        <f>J59/I59-1</f>
        <v>-7.7483934750370742E-2</v>
      </c>
      <c r="K60" s="12">
        <f ca="1">OFFSET(K60,$D$16,0)</f>
        <v>0.34376423308774284</v>
      </c>
      <c r="L60" s="12">
        <f t="shared" ref="L60:U60" ca="1" si="63">OFFSET(L60,$D$16,0)</f>
        <v>0.12</v>
      </c>
      <c r="M60" s="12">
        <f t="shared" ca="1" si="63"/>
        <v>0.11</v>
      </c>
      <c r="N60" s="12">
        <f t="shared" ca="1" si="63"/>
        <v>0.1</v>
      </c>
      <c r="O60" s="12">
        <f t="shared" ca="1" si="63"/>
        <v>8.5000000000000006E-2</v>
      </c>
      <c r="P60" s="12">
        <f t="shared" ca="1" si="63"/>
        <v>8.5000000000000006E-2</v>
      </c>
      <c r="Q60" s="12">
        <f t="shared" ca="1" si="63"/>
        <v>8.5000000000000006E-2</v>
      </c>
      <c r="R60" s="12">
        <f t="shared" ca="1" si="63"/>
        <v>8.5000000000000006E-2</v>
      </c>
      <c r="S60" s="12">
        <f t="shared" ca="1" si="63"/>
        <v>8.5000000000000006E-2</v>
      </c>
      <c r="T60" s="12">
        <f t="shared" ca="1" si="63"/>
        <v>8.5000000000000006E-2</v>
      </c>
      <c r="U60" s="12">
        <f t="shared" ca="1" si="63"/>
        <v>8.5000000000000006E-2</v>
      </c>
    </row>
    <row r="61" spans="2:21" ht="16" customHeight="1" x14ac:dyDescent="0.2">
      <c r="B61" s="5" t="s">
        <v>21</v>
      </c>
      <c r="J61" s="77"/>
      <c r="K61" s="71">
        <f>K62</f>
        <v>0.34376423308774284</v>
      </c>
      <c r="L61" s="136">
        <f>L62*$H$16</f>
        <v>0.10199999999999999</v>
      </c>
      <c r="M61" s="136">
        <f t="shared" ref="M61:U61" si="64">M62*$H$16</f>
        <v>9.35E-2</v>
      </c>
      <c r="N61" s="136">
        <f t="shared" si="64"/>
        <v>8.5000000000000006E-2</v>
      </c>
      <c r="O61" s="136">
        <f t="shared" si="64"/>
        <v>7.2250000000000009E-2</v>
      </c>
      <c r="P61" s="136">
        <f t="shared" si="64"/>
        <v>7.2250000000000009E-2</v>
      </c>
      <c r="Q61" s="136">
        <f t="shared" si="64"/>
        <v>7.2250000000000009E-2</v>
      </c>
      <c r="R61" s="136">
        <f t="shared" si="64"/>
        <v>7.2250000000000009E-2</v>
      </c>
      <c r="S61" s="136">
        <f t="shared" si="64"/>
        <v>7.2250000000000009E-2</v>
      </c>
      <c r="T61" s="136">
        <f t="shared" si="64"/>
        <v>7.2250000000000009E-2</v>
      </c>
      <c r="U61" s="136">
        <f t="shared" si="64"/>
        <v>7.2250000000000009E-2</v>
      </c>
    </row>
    <row r="62" spans="2:21" ht="16" customHeight="1" x14ac:dyDescent="0.2">
      <c r="B62" s="5" t="s">
        <v>22</v>
      </c>
      <c r="J62" s="77"/>
      <c r="K62" s="73">
        <f>'Financials + KPIs'!W53</f>
        <v>0.34376423308774284</v>
      </c>
      <c r="L62" s="14">
        <v>0.12</v>
      </c>
      <c r="M62" s="14">
        <v>0.11</v>
      </c>
      <c r="N62" s="14">
        <v>0.1</v>
      </c>
      <c r="O62" s="14">
        <v>8.5000000000000006E-2</v>
      </c>
      <c r="P62" s="14">
        <v>8.5000000000000006E-2</v>
      </c>
      <c r="Q62" s="14">
        <v>8.5000000000000006E-2</v>
      </c>
      <c r="R62" s="14">
        <v>8.5000000000000006E-2</v>
      </c>
      <c r="S62" s="14">
        <v>8.5000000000000006E-2</v>
      </c>
      <c r="T62" s="14">
        <v>8.5000000000000006E-2</v>
      </c>
      <c r="U62" s="14">
        <v>8.5000000000000006E-2</v>
      </c>
    </row>
    <row r="63" spans="2:21" ht="16" customHeight="1" x14ac:dyDescent="0.2">
      <c r="B63" s="5" t="s">
        <v>23</v>
      </c>
      <c r="J63" s="77"/>
      <c r="K63" s="71">
        <f>K62</f>
        <v>0.34376423308774284</v>
      </c>
      <c r="L63" s="136">
        <f>L62*$P$16</f>
        <v>0.13799999999999998</v>
      </c>
      <c r="M63" s="136">
        <f t="shared" ref="M63:U63" si="65">M62*$P$16</f>
        <v>0.1265</v>
      </c>
      <c r="N63" s="136">
        <f t="shared" si="65"/>
        <v>0.11499999999999999</v>
      </c>
      <c r="O63" s="136">
        <f t="shared" si="65"/>
        <v>9.7750000000000004E-2</v>
      </c>
      <c r="P63" s="136">
        <f t="shared" si="65"/>
        <v>9.7750000000000004E-2</v>
      </c>
      <c r="Q63" s="136">
        <f t="shared" si="65"/>
        <v>9.7750000000000004E-2</v>
      </c>
      <c r="R63" s="136">
        <f t="shared" si="65"/>
        <v>9.7750000000000004E-2</v>
      </c>
      <c r="S63" s="136">
        <f t="shared" si="65"/>
        <v>9.7750000000000004E-2</v>
      </c>
      <c r="T63" s="136">
        <f t="shared" si="65"/>
        <v>9.7750000000000004E-2</v>
      </c>
      <c r="U63" s="136">
        <f t="shared" si="65"/>
        <v>9.7750000000000004E-2</v>
      </c>
    </row>
    <row r="64" spans="2:21" ht="16" customHeight="1" x14ac:dyDescent="0.2">
      <c r="B64" s="5" t="s">
        <v>167</v>
      </c>
      <c r="J64" s="77"/>
      <c r="K64" s="164"/>
      <c r="L64" s="164"/>
      <c r="M64" s="164"/>
      <c r="N64" s="164"/>
      <c r="O64" s="164"/>
      <c r="P64" s="164"/>
      <c r="Q64" s="164"/>
      <c r="R64" s="164"/>
      <c r="S64" s="164"/>
      <c r="T64" s="164"/>
      <c r="U64" s="164"/>
    </row>
    <row r="65" spans="1:21" ht="16" customHeight="1" x14ac:dyDescent="0.2">
      <c r="J65" s="77"/>
    </row>
    <row r="66" spans="1:21" ht="16" customHeight="1" x14ac:dyDescent="0.2">
      <c r="B66" s="98" t="s">
        <v>2</v>
      </c>
      <c r="C66" s="19"/>
      <c r="D66" s="19"/>
      <c r="E66" s="20">
        <f>E38+E31+E45+E52+E59</f>
        <v>215114</v>
      </c>
      <c r="F66" s="20">
        <f t="shared" ref="F66:U66" si="66">F38+F31+F45+F52+F59</f>
        <v>232911</v>
      </c>
      <c r="G66" s="20">
        <f t="shared" si="66"/>
        <v>247837</v>
      </c>
      <c r="H66" s="20">
        <f t="shared" si="66"/>
        <v>254616</v>
      </c>
      <c r="I66" s="20">
        <f t="shared" si="66"/>
        <v>245510</v>
      </c>
      <c r="J66" s="32">
        <f t="shared" si="66"/>
        <v>276094</v>
      </c>
      <c r="K66" s="20">
        <f t="shared" ca="1" si="66"/>
        <v>302768.30621877935</v>
      </c>
      <c r="L66" s="20">
        <f t="shared" ca="1" si="66"/>
        <v>322449.33659861231</v>
      </c>
      <c r="M66" s="20">
        <f t="shared" ca="1" si="66"/>
        <v>340574.01155306114</v>
      </c>
      <c r="N66" s="20">
        <f t="shared" ca="1" si="66"/>
        <v>358848.30646573292</v>
      </c>
      <c r="O66" s="20">
        <f t="shared" ca="1" si="66"/>
        <v>377009.79008592869</v>
      </c>
      <c r="P66" s="20">
        <f t="shared" ca="1" si="66"/>
        <v>395133.28982737451</v>
      </c>
      <c r="Q66" s="20">
        <f t="shared" ca="1" si="66"/>
        <v>413117.18177279504</v>
      </c>
      <c r="R66" s="20">
        <f t="shared" ca="1" si="66"/>
        <v>430857.94537050911</v>
      </c>
      <c r="S66" s="20">
        <f t="shared" ca="1" si="66"/>
        <v>448252.66238662071</v>
      </c>
      <c r="T66" s="20">
        <f t="shared" ca="1" si="66"/>
        <v>465201.78397165635</v>
      </c>
      <c r="U66" s="20">
        <f t="shared" ca="1" si="66"/>
        <v>481612.053704436</v>
      </c>
    </row>
    <row r="67" spans="1:21" s="10" customFormat="1" ht="16" customHeight="1" x14ac:dyDescent="0.2">
      <c r="B67" s="10" t="s">
        <v>5</v>
      </c>
      <c r="F67" s="12">
        <f>F66/E66-1</f>
        <v>8.2732876521286469E-2</v>
      </c>
      <c r="G67" s="12">
        <f t="shared" ref="G67:J67" si="67">G66/F66-1</f>
        <v>6.4084564490298979E-2</v>
      </c>
      <c r="H67" s="12">
        <f t="shared" si="67"/>
        <v>2.735265517255292E-2</v>
      </c>
      <c r="I67" s="12">
        <f t="shared" si="67"/>
        <v>-3.5763659785716495E-2</v>
      </c>
      <c r="J67" s="76">
        <f t="shared" si="67"/>
        <v>0.12457333713494356</v>
      </c>
      <c r="K67" s="12">
        <f t="shared" ref="K67" ca="1" si="68">K66/J66-1</f>
        <v>9.6613132551882197E-2</v>
      </c>
      <c r="L67" s="12">
        <f t="shared" ref="L67" ca="1" si="69">L66/K66-1</f>
        <v>6.500360168349828E-2</v>
      </c>
      <c r="M67" s="12">
        <f t="shared" ref="M67" ca="1" si="70">M66/L66-1</f>
        <v>5.6209372751821141E-2</v>
      </c>
      <c r="N67" s="12">
        <f t="shared" ref="N67" ca="1" si="71">N66/M66-1</f>
        <v>5.3657338178384917E-2</v>
      </c>
      <c r="O67" s="12">
        <f t="shared" ref="O67" ca="1" si="72">O66/N66-1</f>
        <v>5.0610476050637399E-2</v>
      </c>
      <c r="P67" s="12">
        <f t="shared" ref="P67" ca="1" si="73">P66/O66-1</f>
        <v>4.8071695266361791E-2</v>
      </c>
      <c r="Q67" s="12">
        <f t="shared" ref="Q67" ca="1" si="74">Q66/P66-1</f>
        <v>4.5513482180348008E-2</v>
      </c>
      <c r="R67" s="12">
        <f t="shared" ref="R67" ca="1" si="75">R66/Q66-1</f>
        <v>4.2943659524359967E-2</v>
      </c>
      <c r="S67" s="12">
        <f t="shared" ref="S67" ca="1" si="76">S66/R66-1</f>
        <v>4.037227861993653E-2</v>
      </c>
      <c r="T67" s="12">
        <f t="shared" ref="T67" ca="1" si="77">T66/S66-1</f>
        <v>3.7811535786076211E-2</v>
      </c>
      <c r="U67" s="12">
        <f t="shared" ref="U67" ca="1" si="78">U66/T66-1</f>
        <v>3.5275595017450589E-2</v>
      </c>
    </row>
    <row r="68" spans="1:21" ht="16" customHeight="1" x14ac:dyDescent="0.2">
      <c r="J68" s="77"/>
    </row>
    <row r="69" spans="1:21" ht="16" customHeight="1" x14ac:dyDescent="0.2">
      <c r="A69" s="5" t="s">
        <v>20</v>
      </c>
      <c r="B69" s="64" t="s">
        <v>28</v>
      </c>
      <c r="C69" s="64"/>
      <c r="D69" s="64"/>
      <c r="E69" s="70">
        <v>2016</v>
      </c>
      <c r="F69" s="70">
        <f>E69+1</f>
        <v>2017</v>
      </c>
      <c r="G69" s="70">
        <f t="shared" ref="G69:J69" si="79">F69+1</f>
        <v>2018</v>
      </c>
      <c r="H69" s="70">
        <f t="shared" si="79"/>
        <v>2019</v>
      </c>
      <c r="I69" s="70">
        <f t="shared" si="79"/>
        <v>2020</v>
      </c>
      <c r="J69" s="70">
        <f t="shared" si="79"/>
        <v>2021</v>
      </c>
      <c r="K69" s="83">
        <v>2022</v>
      </c>
      <c r="L69" s="83">
        <f>K69+1</f>
        <v>2023</v>
      </c>
      <c r="M69" s="83">
        <f t="shared" ref="M69:U69" si="80">L69+1</f>
        <v>2024</v>
      </c>
      <c r="N69" s="83">
        <f t="shared" si="80"/>
        <v>2025</v>
      </c>
      <c r="O69" s="83">
        <f t="shared" si="80"/>
        <v>2026</v>
      </c>
      <c r="P69" s="83">
        <f t="shared" si="80"/>
        <v>2027</v>
      </c>
      <c r="Q69" s="83">
        <f t="shared" si="80"/>
        <v>2028</v>
      </c>
      <c r="R69" s="83">
        <f t="shared" si="80"/>
        <v>2029</v>
      </c>
      <c r="S69" s="83">
        <f t="shared" si="80"/>
        <v>2030</v>
      </c>
      <c r="T69" s="83">
        <f t="shared" si="80"/>
        <v>2031</v>
      </c>
      <c r="U69" s="83">
        <f t="shared" si="80"/>
        <v>2032</v>
      </c>
    </row>
    <row r="70" spans="1:21" ht="16" customHeight="1" x14ac:dyDescent="0.2">
      <c r="B70" s="64" t="s">
        <v>90</v>
      </c>
      <c r="C70" s="64"/>
      <c r="D70" s="64"/>
      <c r="E70" s="100">
        <f t="shared" ref="E70:I70" si="81">EDATE(F70,-12)</f>
        <v>42735</v>
      </c>
      <c r="F70" s="100">
        <f t="shared" si="81"/>
        <v>43100</v>
      </c>
      <c r="G70" s="100">
        <f t="shared" si="81"/>
        <v>43465</v>
      </c>
      <c r="H70" s="100">
        <f t="shared" si="81"/>
        <v>43830</v>
      </c>
      <c r="I70" s="100">
        <f t="shared" si="81"/>
        <v>44196</v>
      </c>
      <c r="J70" s="100">
        <f>EDATE(K70,-12)</f>
        <v>44561</v>
      </c>
      <c r="K70" s="100">
        <v>44926</v>
      </c>
      <c r="L70" s="100">
        <f>EDATE(K70,12)</f>
        <v>45291</v>
      </c>
      <c r="M70" s="100">
        <f t="shared" ref="M70:U70" si="82">EDATE(L70,12)</f>
        <v>45657</v>
      </c>
      <c r="N70" s="100">
        <f t="shared" si="82"/>
        <v>46022</v>
      </c>
      <c r="O70" s="100">
        <f t="shared" si="82"/>
        <v>46387</v>
      </c>
      <c r="P70" s="100">
        <f t="shared" si="82"/>
        <v>46752</v>
      </c>
      <c r="Q70" s="100">
        <f t="shared" si="82"/>
        <v>47118</v>
      </c>
      <c r="R70" s="100">
        <f t="shared" si="82"/>
        <v>47483</v>
      </c>
      <c r="S70" s="100">
        <f t="shared" si="82"/>
        <v>47848</v>
      </c>
      <c r="T70" s="100">
        <f t="shared" si="82"/>
        <v>48213</v>
      </c>
      <c r="U70" s="100">
        <f t="shared" si="82"/>
        <v>48579</v>
      </c>
    </row>
    <row r="71" spans="1:21" ht="16" customHeight="1" x14ac:dyDescent="0.2">
      <c r="B71" s="5" t="s">
        <v>9</v>
      </c>
      <c r="E71" s="104">
        <f>E66</f>
        <v>215114</v>
      </c>
      <c r="F71" s="104">
        <f t="shared" ref="F71:U71" si="83">F66</f>
        <v>232911</v>
      </c>
      <c r="G71" s="104">
        <f t="shared" si="83"/>
        <v>247837</v>
      </c>
      <c r="H71" s="104">
        <f t="shared" si="83"/>
        <v>254616</v>
      </c>
      <c r="I71" s="104">
        <f t="shared" si="83"/>
        <v>245510</v>
      </c>
      <c r="J71" s="105">
        <f t="shared" si="83"/>
        <v>276094</v>
      </c>
      <c r="K71" s="104">
        <f t="shared" ca="1" si="83"/>
        <v>302768.30621877935</v>
      </c>
      <c r="L71" s="104">
        <f t="shared" ca="1" si="83"/>
        <v>322449.33659861231</v>
      </c>
      <c r="M71" s="104">
        <f t="shared" ca="1" si="83"/>
        <v>340574.01155306114</v>
      </c>
      <c r="N71" s="104">
        <f t="shared" ca="1" si="83"/>
        <v>358848.30646573292</v>
      </c>
      <c r="O71" s="104">
        <f t="shared" ca="1" si="83"/>
        <v>377009.79008592869</v>
      </c>
      <c r="P71" s="104">
        <f t="shared" ca="1" si="83"/>
        <v>395133.28982737451</v>
      </c>
      <c r="Q71" s="104">
        <f t="shared" ca="1" si="83"/>
        <v>413117.18177279504</v>
      </c>
      <c r="R71" s="104">
        <f t="shared" ca="1" si="83"/>
        <v>430857.94537050911</v>
      </c>
      <c r="S71" s="104">
        <f t="shared" ca="1" si="83"/>
        <v>448252.66238662071</v>
      </c>
      <c r="T71" s="104">
        <f t="shared" ca="1" si="83"/>
        <v>465201.78397165635</v>
      </c>
      <c r="U71" s="104">
        <f t="shared" ca="1" si="83"/>
        <v>481612.053704436</v>
      </c>
    </row>
    <row r="72" spans="1:21" s="10" customFormat="1" ht="16" customHeight="1" x14ac:dyDescent="0.2">
      <c r="B72" s="10" t="s">
        <v>5</v>
      </c>
      <c r="F72" s="28">
        <f>F67</f>
        <v>8.2732876521286469E-2</v>
      </c>
      <c r="G72" s="28">
        <f t="shared" ref="G72:U72" si="84">G67</f>
        <v>6.4084564490298979E-2</v>
      </c>
      <c r="H72" s="28">
        <f t="shared" si="84"/>
        <v>2.735265517255292E-2</v>
      </c>
      <c r="I72" s="28">
        <f t="shared" si="84"/>
        <v>-3.5763659785716495E-2</v>
      </c>
      <c r="J72" s="78">
        <f t="shared" si="84"/>
        <v>0.12457333713494356</v>
      </c>
      <c r="K72" s="28">
        <f t="shared" ca="1" si="84"/>
        <v>9.6613132551882197E-2</v>
      </c>
      <c r="L72" s="28">
        <f t="shared" ca="1" si="84"/>
        <v>6.500360168349828E-2</v>
      </c>
      <c r="M72" s="28">
        <f t="shared" ca="1" si="84"/>
        <v>5.6209372751821141E-2</v>
      </c>
      <c r="N72" s="28">
        <f t="shared" ca="1" si="84"/>
        <v>5.3657338178384917E-2</v>
      </c>
      <c r="O72" s="28">
        <f t="shared" ca="1" si="84"/>
        <v>5.0610476050637399E-2</v>
      </c>
      <c r="P72" s="28">
        <f t="shared" ca="1" si="84"/>
        <v>4.8071695266361791E-2</v>
      </c>
      <c r="Q72" s="28">
        <f t="shared" ca="1" si="84"/>
        <v>4.5513482180348008E-2</v>
      </c>
      <c r="R72" s="28">
        <f t="shared" ca="1" si="84"/>
        <v>4.2943659524359967E-2</v>
      </c>
      <c r="S72" s="28">
        <f t="shared" ca="1" si="84"/>
        <v>4.037227861993653E-2</v>
      </c>
      <c r="T72" s="28">
        <f t="shared" ca="1" si="84"/>
        <v>3.7811535786076211E-2</v>
      </c>
      <c r="U72" s="28">
        <f t="shared" ca="1" si="84"/>
        <v>3.5275595017450589E-2</v>
      </c>
    </row>
    <row r="73" spans="1:21" ht="16" customHeight="1" x14ac:dyDescent="0.2">
      <c r="J73" s="77"/>
    </row>
    <row r="74" spans="1:21" s="11" customFormat="1" ht="16" customHeight="1" x14ac:dyDescent="0.2">
      <c r="B74" s="11" t="s">
        <v>26</v>
      </c>
      <c r="E74" s="106">
        <f>'Financials + KPIs'!Q36</f>
        <v>27995</v>
      </c>
      <c r="F74" s="106">
        <f>'Financials + KPIs'!R36</f>
        <v>16060</v>
      </c>
      <c r="G74" s="106">
        <f>'Financials + KPIs'!S36</f>
        <v>32858</v>
      </c>
      <c r="H74" s="106">
        <f>'Financials + KPIs'!T36</f>
        <v>32970</v>
      </c>
      <c r="I74" s="106">
        <f>'Financials + KPIs'!U36</f>
        <v>28975</v>
      </c>
      <c r="J74" s="107">
        <f>'Financials + KPIs'!V36</f>
        <v>36321</v>
      </c>
      <c r="K74" s="11">
        <f ca="1">K71*K75</f>
        <v>43427.51502964674</v>
      </c>
      <c r="L74" s="11">
        <f t="shared" ref="L74:U74" ca="1" si="85">L71*L75</f>
        <v>41918.413757819602</v>
      </c>
      <c r="M74" s="11">
        <f t="shared" ca="1" si="85"/>
        <v>44274.621501897949</v>
      </c>
      <c r="N74" s="11">
        <f t="shared" ca="1" si="85"/>
        <v>46650.279840545285</v>
      </c>
      <c r="O74" s="11">
        <f t="shared" ca="1" si="85"/>
        <v>49011.272711170728</v>
      </c>
      <c r="P74" s="11">
        <f t="shared" ca="1" si="85"/>
        <v>51367.327677558686</v>
      </c>
      <c r="Q74" s="11">
        <f t="shared" ca="1" si="85"/>
        <v>53705.233630463357</v>
      </c>
      <c r="R74" s="11">
        <f t="shared" ca="1" si="85"/>
        <v>56011.532898166188</v>
      </c>
      <c r="S74" s="11">
        <f t="shared" ca="1" si="85"/>
        <v>58272.846110260696</v>
      </c>
      <c r="T74" s="11">
        <f t="shared" ca="1" si="85"/>
        <v>60476.23191631533</v>
      </c>
      <c r="U74" s="11">
        <f t="shared" ca="1" si="85"/>
        <v>62609.566981576681</v>
      </c>
    </row>
    <row r="75" spans="1:21" s="10" customFormat="1" ht="16" customHeight="1" x14ac:dyDescent="0.2">
      <c r="B75" s="10" t="s">
        <v>13</v>
      </c>
      <c r="E75" s="155">
        <f>E74/E71</f>
        <v>0.13014029770261351</v>
      </c>
      <c r="F75" s="12">
        <f t="shared" ref="F75:J75" si="86">F74/F71</f>
        <v>6.8953377041015673E-2</v>
      </c>
      <c r="G75" s="155">
        <f t="shared" si="86"/>
        <v>0.13257907414954184</v>
      </c>
      <c r="H75" s="155">
        <f t="shared" si="86"/>
        <v>0.1294891130172495</v>
      </c>
      <c r="I75" s="12">
        <f t="shared" si="86"/>
        <v>0.11801963260152336</v>
      </c>
      <c r="J75" s="154">
        <f t="shared" si="86"/>
        <v>0.13155302179692424</v>
      </c>
      <c r="K75" s="155">
        <f ca="1">OFFSET(K75,$D$17,0)</f>
        <v>0.14343481182692275</v>
      </c>
      <c r="L75" s="12">
        <f t="shared" ref="L75:U75" ca="1" si="87">OFFSET(L75,$D$17,0)</f>
        <v>0.13</v>
      </c>
      <c r="M75" s="12">
        <f t="shared" ca="1" si="87"/>
        <v>0.13</v>
      </c>
      <c r="N75" s="12">
        <f t="shared" ca="1" si="87"/>
        <v>0.13</v>
      </c>
      <c r="O75" s="12">
        <f t="shared" ca="1" si="87"/>
        <v>0.13</v>
      </c>
      <c r="P75" s="12">
        <f t="shared" ca="1" si="87"/>
        <v>0.13</v>
      </c>
      <c r="Q75" s="12">
        <f t="shared" ca="1" si="87"/>
        <v>0.13</v>
      </c>
      <c r="R75" s="12">
        <f t="shared" ca="1" si="87"/>
        <v>0.13</v>
      </c>
      <c r="S75" s="12">
        <f t="shared" ca="1" si="87"/>
        <v>0.13</v>
      </c>
      <c r="T75" s="12">
        <f t="shared" ca="1" si="87"/>
        <v>0.13</v>
      </c>
      <c r="U75" s="12">
        <f t="shared" ca="1" si="87"/>
        <v>0.13</v>
      </c>
    </row>
    <row r="76" spans="1:21" ht="16" customHeight="1" x14ac:dyDescent="0.2">
      <c r="B76" s="5" t="s">
        <v>21</v>
      </c>
      <c r="J76" s="77"/>
      <c r="K76" s="74">
        <f>K77</f>
        <v>0.14343481182692275</v>
      </c>
      <c r="L76" s="140">
        <f t="shared" ref="L76:U76" si="88">L77*$H$17</f>
        <v>0.12609999999999999</v>
      </c>
      <c r="M76" s="140">
        <f t="shared" si="88"/>
        <v>0.12609999999999999</v>
      </c>
      <c r="N76" s="140">
        <f t="shared" si="88"/>
        <v>0.12609999999999999</v>
      </c>
      <c r="O76" s="140">
        <f t="shared" si="88"/>
        <v>0.12609999999999999</v>
      </c>
      <c r="P76" s="140">
        <f t="shared" si="88"/>
        <v>0.12609999999999999</v>
      </c>
      <c r="Q76" s="140">
        <f t="shared" si="88"/>
        <v>0.12609999999999999</v>
      </c>
      <c r="R76" s="140">
        <f t="shared" si="88"/>
        <v>0.12609999999999999</v>
      </c>
      <c r="S76" s="140">
        <f t="shared" si="88"/>
        <v>0.12609999999999999</v>
      </c>
      <c r="T76" s="140">
        <f t="shared" si="88"/>
        <v>0.12609999999999999</v>
      </c>
      <c r="U76" s="140">
        <f t="shared" si="88"/>
        <v>0.12609999999999999</v>
      </c>
    </row>
    <row r="77" spans="1:21" ht="16" customHeight="1" x14ac:dyDescent="0.2">
      <c r="B77" s="5" t="s">
        <v>22</v>
      </c>
      <c r="J77" s="77"/>
      <c r="K77" s="73">
        <f>'Financials + KPIs'!W74</f>
        <v>0.14343481182692275</v>
      </c>
      <c r="L77" s="27">
        <f>L17</f>
        <v>0.13</v>
      </c>
      <c r="M77" s="71">
        <f>L77</f>
        <v>0.13</v>
      </c>
      <c r="N77" s="71">
        <f t="shared" ref="N77:U77" si="89">M77</f>
        <v>0.13</v>
      </c>
      <c r="O77" s="71">
        <f t="shared" si="89"/>
        <v>0.13</v>
      </c>
      <c r="P77" s="71">
        <f t="shared" si="89"/>
        <v>0.13</v>
      </c>
      <c r="Q77" s="71">
        <f t="shared" si="89"/>
        <v>0.13</v>
      </c>
      <c r="R77" s="71">
        <f t="shared" si="89"/>
        <v>0.13</v>
      </c>
      <c r="S77" s="71">
        <f t="shared" si="89"/>
        <v>0.13</v>
      </c>
      <c r="T77" s="71">
        <f t="shared" si="89"/>
        <v>0.13</v>
      </c>
      <c r="U77" s="71">
        <f t="shared" si="89"/>
        <v>0.13</v>
      </c>
    </row>
    <row r="78" spans="1:21" ht="16" customHeight="1" x14ac:dyDescent="0.2">
      <c r="B78" s="5" t="s">
        <v>23</v>
      </c>
      <c r="J78" s="77"/>
      <c r="K78" s="74">
        <f>K77</f>
        <v>0.14343481182692275</v>
      </c>
      <c r="L78" s="140">
        <f t="shared" ref="L78:U78" si="90">L77*$P$17</f>
        <v>0.13390000000000002</v>
      </c>
      <c r="M78" s="140">
        <f t="shared" si="90"/>
        <v>0.13390000000000002</v>
      </c>
      <c r="N78" s="140">
        <f t="shared" si="90"/>
        <v>0.13390000000000002</v>
      </c>
      <c r="O78" s="140">
        <f t="shared" si="90"/>
        <v>0.13390000000000002</v>
      </c>
      <c r="P78" s="140">
        <f t="shared" si="90"/>
        <v>0.13390000000000002</v>
      </c>
      <c r="Q78" s="140">
        <f t="shared" si="90"/>
        <v>0.13390000000000002</v>
      </c>
      <c r="R78" s="140">
        <f t="shared" si="90"/>
        <v>0.13390000000000002</v>
      </c>
      <c r="S78" s="140">
        <f t="shared" si="90"/>
        <v>0.13390000000000002</v>
      </c>
      <c r="T78" s="140">
        <f t="shared" si="90"/>
        <v>0.13390000000000002</v>
      </c>
      <c r="U78" s="140">
        <f t="shared" si="90"/>
        <v>0.13390000000000002</v>
      </c>
    </row>
    <row r="79" spans="1:21" ht="16" customHeight="1" x14ac:dyDescent="0.2">
      <c r="B79" s="5" t="s">
        <v>167</v>
      </c>
      <c r="J79" s="77"/>
      <c r="K79" s="164"/>
      <c r="L79" s="164"/>
      <c r="M79" s="164"/>
      <c r="N79" s="164"/>
      <c r="O79" s="164"/>
      <c r="P79" s="164"/>
      <c r="Q79" s="164"/>
      <c r="R79" s="164"/>
      <c r="S79" s="164"/>
      <c r="T79" s="164"/>
      <c r="U79" s="164"/>
    </row>
    <row r="80" spans="1:21" ht="16" customHeight="1" x14ac:dyDescent="0.2">
      <c r="J80" s="77"/>
    </row>
    <row r="81" spans="2:21" ht="16" customHeight="1" x14ac:dyDescent="0.2">
      <c r="B81" s="5" t="s">
        <v>3</v>
      </c>
      <c r="E81" s="106">
        <f>'Financials + KPIs'!Q39</f>
        <v>-321</v>
      </c>
      <c r="F81" s="106">
        <f>'Financials + KPIs'!R39</f>
        <v>-21515</v>
      </c>
      <c r="G81" s="106">
        <f>'Financials + KPIs'!S39</f>
        <v>-321</v>
      </c>
      <c r="H81" s="106">
        <f>'Financials + KPIs'!T39</f>
        <v>20904</v>
      </c>
      <c r="I81" s="106">
        <f>'Financials + KPIs'!U39</f>
        <v>12440</v>
      </c>
      <c r="J81" s="107">
        <f>'Financials + KPIs'!V39</f>
        <v>20879</v>
      </c>
      <c r="K81" s="11">
        <f t="shared" ref="K81:U81" ca="1" si="91">K74*K82</f>
        <v>9119.7781562258151</v>
      </c>
      <c r="L81" s="11">
        <f t="shared" ca="1" si="91"/>
        <v>8802.8668891421166</v>
      </c>
      <c r="M81" s="11">
        <f t="shared" ca="1" si="91"/>
        <v>9297.6705153985695</v>
      </c>
      <c r="N81" s="11">
        <f t="shared" ca="1" si="91"/>
        <v>9796.5587665145104</v>
      </c>
      <c r="O81" s="11">
        <f t="shared" ca="1" si="91"/>
        <v>10292.367269345852</v>
      </c>
      <c r="P81" s="11">
        <f t="shared" ca="1" si="91"/>
        <v>10787.138812287323</v>
      </c>
      <c r="Q81" s="11">
        <f t="shared" ca="1" si="91"/>
        <v>11278.099062397305</v>
      </c>
      <c r="R81" s="11">
        <f t="shared" ca="1" si="91"/>
        <v>11762.421908614899</v>
      </c>
      <c r="S81" s="11">
        <f t="shared" ca="1" si="91"/>
        <v>12237.297683154746</v>
      </c>
      <c r="T81" s="11">
        <f t="shared" ca="1" si="91"/>
        <v>12700.008702426219</v>
      </c>
      <c r="U81" s="11">
        <f t="shared" ca="1" si="91"/>
        <v>13148.009066131102</v>
      </c>
    </row>
    <row r="82" spans="2:21" s="10" customFormat="1" ht="16" customHeight="1" x14ac:dyDescent="0.2">
      <c r="B82" s="10" t="s">
        <v>27</v>
      </c>
      <c r="E82" s="12">
        <f t="shared" ref="E82:J82" si="92">E81/E74</f>
        <v>-1.1466333273798892E-2</v>
      </c>
      <c r="F82" s="12">
        <f t="shared" si="92"/>
        <v>-1.3396637608966375</v>
      </c>
      <c r="G82" s="12">
        <f t="shared" si="92"/>
        <v>-9.7693103658165435E-3</v>
      </c>
      <c r="H82" s="12">
        <f t="shared" si="92"/>
        <v>0.63403093721565063</v>
      </c>
      <c r="I82" s="12">
        <f t="shared" si="92"/>
        <v>0.42933563416738568</v>
      </c>
      <c r="J82" s="76">
        <f t="shared" si="92"/>
        <v>0.57484650753007904</v>
      </c>
      <c r="K82" s="85">
        <f>L18</f>
        <v>0.21</v>
      </c>
      <c r="L82" s="85">
        <f>$L$18</f>
        <v>0.21</v>
      </c>
      <c r="M82" s="85">
        <f t="shared" ref="M82:U82" si="93">$L$18</f>
        <v>0.21</v>
      </c>
      <c r="N82" s="85">
        <f t="shared" si="93"/>
        <v>0.21</v>
      </c>
      <c r="O82" s="85">
        <f t="shared" si="93"/>
        <v>0.21</v>
      </c>
      <c r="P82" s="85">
        <f t="shared" si="93"/>
        <v>0.21</v>
      </c>
      <c r="Q82" s="85">
        <f t="shared" si="93"/>
        <v>0.21</v>
      </c>
      <c r="R82" s="85">
        <f t="shared" si="93"/>
        <v>0.21</v>
      </c>
      <c r="S82" s="85">
        <f t="shared" si="93"/>
        <v>0.21</v>
      </c>
      <c r="T82" s="85">
        <f t="shared" si="93"/>
        <v>0.21</v>
      </c>
      <c r="U82" s="85">
        <f t="shared" si="93"/>
        <v>0.21</v>
      </c>
    </row>
    <row r="83" spans="2:21" ht="16" customHeight="1" x14ac:dyDescent="0.2">
      <c r="J83" s="77"/>
    </row>
    <row r="84" spans="2:21" ht="16" customHeight="1" x14ac:dyDescent="0.2">
      <c r="B84" s="29" t="s">
        <v>30</v>
      </c>
      <c r="C84" s="29"/>
      <c r="D84" s="29"/>
      <c r="E84" s="30">
        <f>E74-E81</f>
        <v>28316</v>
      </c>
      <c r="F84" s="30">
        <f t="shared" ref="F84:J84" si="94">F74-F81</f>
        <v>37575</v>
      </c>
      <c r="G84" s="30">
        <f t="shared" si="94"/>
        <v>33179</v>
      </c>
      <c r="H84" s="30">
        <f t="shared" si="94"/>
        <v>12066</v>
      </c>
      <c r="I84" s="30">
        <f t="shared" si="94"/>
        <v>16535</v>
      </c>
      <c r="J84" s="31">
        <f t="shared" si="94"/>
        <v>15442</v>
      </c>
      <c r="K84" s="30">
        <f ca="1">K74-K81</f>
        <v>34307.736873420923</v>
      </c>
      <c r="L84" s="30">
        <f t="shared" ref="L84:U84" ca="1" si="95">L74-L81</f>
        <v>33115.546868677484</v>
      </c>
      <c r="M84" s="30">
        <f t="shared" ca="1" si="95"/>
        <v>34976.950986499382</v>
      </c>
      <c r="N84" s="30">
        <f t="shared" ca="1" si="95"/>
        <v>36853.721074030778</v>
      </c>
      <c r="O84" s="30">
        <f ca="1">O74-O81</f>
        <v>38718.905441824878</v>
      </c>
      <c r="P84" s="30">
        <f t="shared" ca="1" si="95"/>
        <v>40580.188865271361</v>
      </c>
      <c r="Q84" s="30">
        <f t="shared" ca="1" si="95"/>
        <v>42427.134568066052</v>
      </c>
      <c r="R84" s="30">
        <f t="shared" ca="1" si="95"/>
        <v>44249.110989551293</v>
      </c>
      <c r="S84" s="30">
        <f t="shared" ca="1" si="95"/>
        <v>46035.548427105954</v>
      </c>
      <c r="T84" s="30">
        <f t="shared" ca="1" si="95"/>
        <v>47776.223213889112</v>
      </c>
      <c r="U84" s="30">
        <f t="shared" ca="1" si="95"/>
        <v>49461.557915445577</v>
      </c>
    </row>
    <row r="85" spans="2:21" ht="16" customHeight="1" x14ac:dyDescent="0.2">
      <c r="J85" s="77"/>
    </row>
    <row r="86" spans="2:21" ht="16" customHeight="1" x14ac:dyDescent="0.2">
      <c r="B86" s="5" t="s">
        <v>31</v>
      </c>
      <c r="E86" s="106">
        <f>'Financials + KPIs'!Q83</f>
        <v>7411</v>
      </c>
      <c r="F86" s="106">
        <f>'Financials + KPIs'!R83</f>
        <v>7719</v>
      </c>
      <c r="G86" s="106">
        <f>'Financials + KPIs'!S83</f>
        <v>8386</v>
      </c>
      <c r="H86" s="106">
        <f>'Financials + KPIs'!T83</f>
        <v>8747</v>
      </c>
      <c r="I86" s="106">
        <f>'Financials + KPIs'!U83</f>
        <v>9319</v>
      </c>
      <c r="J86" s="107">
        <f>'Financials + KPIs'!V83</f>
        <v>9466</v>
      </c>
      <c r="K86" s="11">
        <f>'Financials + KPIs'!W83</f>
        <v>9631</v>
      </c>
      <c r="L86" s="11">
        <f t="shared" ref="L86:U86" ca="1" si="96">L71*L87</f>
        <v>11037.69935094947</v>
      </c>
      <c r="M86" s="11">
        <f t="shared" ca="1" si="96"/>
        <v>11719.957676835349</v>
      </c>
      <c r="N86" s="11">
        <f t="shared" ca="1" si="96"/>
        <v>12383.245569764596</v>
      </c>
      <c r="O86" s="11">
        <f t="shared" ca="1" si="96"/>
        <v>13019.682320405329</v>
      </c>
      <c r="P86" s="11">
        <f t="shared" ca="1" si="96"/>
        <v>13420.094101612318</v>
      </c>
      <c r="Q86" s="11">
        <f t="shared" ca="1" si="96"/>
        <v>14008.721208352183</v>
      </c>
      <c r="R86" s="11">
        <f t="shared" ca="1" si="96"/>
        <v>14761.107103756909</v>
      </c>
      <c r="S86" s="11">
        <f t="shared" ca="1" si="96"/>
        <v>15359.213059684953</v>
      </c>
      <c r="T86" s="11">
        <f t="shared" ca="1" si="96"/>
        <v>15928.514201804644</v>
      </c>
      <c r="U86" s="11">
        <f t="shared" ca="1" si="96"/>
        <v>16468.866691232113</v>
      </c>
    </row>
    <row r="87" spans="2:21" s="10" customFormat="1" ht="16" customHeight="1" x14ac:dyDescent="0.2">
      <c r="B87" s="10" t="s">
        <v>13</v>
      </c>
      <c r="E87" s="12">
        <f t="shared" ref="E87:K87" si="97">E86/E71</f>
        <v>3.4451500134812241E-2</v>
      </c>
      <c r="F87" s="12">
        <f t="shared" si="97"/>
        <v>3.3141414531731007E-2</v>
      </c>
      <c r="G87" s="12">
        <f t="shared" si="97"/>
        <v>3.3836755609533684E-2</v>
      </c>
      <c r="H87" s="12">
        <f t="shared" si="97"/>
        <v>3.4353693404970624E-2</v>
      </c>
      <c r="I87" s="12">
        <f t="shared" si="97"/>
        <v>3.7957720663109443E-2</v>
      </c>
      <c r="J87" s="76">
        <f t="shared" si="97"/>
        <v>3.4285424529326966E-2</v>
      </c>
      <c r="K87" s="59">
        <f t="shared" ca="1" si="97"/>
        <v>3.1809802420470892E-2</v>
      </c>
      <c r="L87" s="157">
        <f t="shared" ref="L87:U87" ca="1" si="98">AVERAGE(F87:K87)</f>
        <v>3.4230801859857107E-2</v>
      </c>
      <c r="M87" s="84">
        <f t="shared" ca="1" si="98"/>
        <v>3.4412366414544787E-2</v>
      </c>
      <c r="N87" s="84">
        <f t="shared" ca="1" si="98"/>
        <v>3.4508301548713302E-2</v>
      </c>
      <c r="O87" s="84">
        <f t="shared" ca="1" si="98"/>
        <v>3.4534069572670412E-2</v>
      </c>
      <c r="P87" s="84">
        <f t="shared" ca="1" si="98"/>
        <v>3.396346105759724E-2</v>
      </c>
      <c r="Q87" s="84">
        <f t="shared" ca="1" si="98"/>
        <v>3.390980047897562E-2</v>
      </c>
      <c r="R87" s="84">
        <f t="shared" ca="1" si="98"/>
        <v>3.4259800155393073E-2</v>
      </c>
      <c r="S87" s="84">
        <f t="shared" ca="1" si="98"/>
        <v>3.4264633204649071E-2</v>
      </c>
      <c r="T87" s="84">
        <f t="shared" ca="1" si="98"/>
        <v>3.4240011002999789E-2</v>
      </c>
      <c r="U87" s="84">
        <f t="shared" ca="1" si="98"/>
        <v>3.4195295912047528E-2</v>
      </c>
    </row>
    <row r="88" spans="2:21" s="10" customFormat="1" ht="16" customHeight="1" x14ac:dyDescent="0.2">
      <c r="B88" s="10" t="s">
        <v>34</v>
      </c>
      <c r="E88" s="12">
        <f>E86/E90</f>
        <v>0.57210128145746486</v>
      </c>
      <c r="F88" s="12">
        <f t="shared" ref="F88:U88" si="99">F86/F90</f>
        <v>0.65929279125384355</v>
      </c>
      <c r="G88" s="12">
        <f t="shared" si="99"/>
        <v>0.57687280731925428</v>
      </c>
      <c r="H88" s="12">
        <f t="shared" si="99"/>
        <v>0.54740597033606608</v>
      </c>
      <c r="I88" s="12">
        <f t="shared" si="99"/>
        <v>0.71618505994466641</v>
      </c>
      <c r="J88" s="76">
        <f t="shared" si="99"/>
        <v>0.71301596866526062</v>
      </c>
      <c r="K88" s="12">
        <f t="shared" si="99"/>
        <v>0.64468839949126444</v>
      </c>
      <c r="L88" s="59">
        <f t="shared" ca="1" si="99"/>
        <v>0.63762879730338617</v>
      </c>
      <c r="M88" s="12">
        <f t="shared" ca="1" si="99"/>
        <v>0.6342833916202949</v>
      </c>
      <c r="N88" s="12">
        <f t="shared" ca="1" si="99"/>
        <v>0.64476989081712055</v>
      </c>
      <c r="O88" s="12">
        <f t="shared" ca="1" si="99"/>
        <v>0.66436137434970133</v>
      </c>
      <c r="P88" s="12">
        <f t="shared" ca="1" si="99"/>
        <v>0.6555259008410762</v>
      </c>
      <c r="Q88" s="12">
        <f t="shared" ca="1" si="99"/>
        <v>0.64673860203193745</v>
      </c>
      <c r="R88" s="12">
        <f t="shared" ca="1" si="99"/>
        <v>0.64705703231963929</v>
      </c>
      <c r="S88" s="12">
        <f t="shared" ca="1" si="99"/>
        <v>0.64865399699724546</v>
      </c>
      <c r="T88" s="12">
        <f t="shared" ca="1" si="99"/>
        <v>0.65112506975801865</v>
      </c>
      <c r="U88" s="12">
        <f t="shared" ca="1" si="99"/>
        <v>0.65220628954500559</v>
      </c>
    </row>
    <row r="89" spans="2:21" ht="16" customHeight="1" x14ac:dyDescent="0.2">
      <c r="E89" s="11"/>
      <c r="F89" s="11"/>
      <c r="G89" s="11"/>
      <c r="H89" s="11"/>
      <c r="I89" s="11"/>
      <c r="J89" s="75"/>
      <c r="K89" s="11"/>
      <c r="L89" s="152"/>
      <c r="M89" s="11"/>
      <c r="N89" s="11"/>
      <c r="O89" s="11"/>
      <c r="P89" s="11"/>
      <c r="Q89" s="11"/>
      <c r="R89" s="11"/>
      <c r="S89" s="11"/>
      <c r="T89" s="11"/>
      <c r="U89" s="11"/>
    </row>
    <row r="90" spans="2:21" ht="16" customHeight="1" x14ac:dyDescent="0.2">
      <c r="B90" s="5" t="s">
        <v>32</v>
      </c>
      <c r="E90" s="106">
        <f>'Financials + KPIs'!Q84</f>
        <v>12954</v>
      </c>
      <c r="F90" s="106">
        <f>'Financials + KPIs'!R84</f>
        <v>11708</v>
      </c>
      <c r="G90" s="106">
        <f>'Financials + KPIs'!S84</f>
        <v>14537</v>
      </c>
      <c r="H90" s="106">
        <f>'Financials + KPIs'!T84</f>
        <v>15979</v>
      </c>
      <c r="I90" s="106">
        <f>'Financials + KPIs'!U84</f>
        <v>13012</v>
      </c>
      <c r="J90" s="107">
        <f>'Financials + KPIs'!V84</f>
        <v>13276</v>
      </c>
      <c r="K90" s="11">
        <f>'Financials + KPIs'!W84</f>
        <v>14939</v>
      </c>
      <c r="L90" s="152">
        <f ca="1">L71*L91</f>
        <v>17310.540862692076</v>
      </c>
      <c r="M90" s="11">
        <f t="shared" ref="M90:U90" ca="1" si="100">M71*M91</f>
        <v>18477.478413704615</v>
      </c>
      <c r="N90" s="11">
        <f t="shared" ca="1" si="100"/>
        <v>19205.682129590819</v>
      </c>
      <c r="O90" s="11">
        <f t="shared" ca="1" si="100"/>
        <v>19597.289702685412</v>
      </c>
      <c r="P90" s="11">
        <f t="shared" ca="1" si="100"/>
        <v>20472.256068591021</v>
      </c>
      <c r="Q90" s="11">
        <f t="shared" ca="1" si="100"/>
        <v>21660.561414363201</v>
      </c>
      <c r="R90" s="11">
        <f t="shared" ca="1" si="100"/>
        <v>22812.683220271501</v>
      </c>
      <c r="S90" s="11">
        <f t="shared" ca="1" si="100"/>
        <v>23678.591561581292</v>
      </c>
      <c r="T90" s="11">
        <f t="shared" ca="1" si="100"/>
        <v>24463.063920613975</v>
      </c>
      <c r="U90" s="11">
        <f t="shared" ca="1" si="100"/>
        <v>25251.008699595921</v>
      </c>
    </row>
    <row r="91" spans="2:21" s="10" customFormat="1" ht="16" customHeight="1" x14ac:dyDescent="0.2">
      <c r="B91" s="10" t="s">
        <v>13</v>
      </c>
      <c r="E91" s="12">
        <f t="shared" ref="E91:K91" si="101">E90/E71</f>
        <v>6.0219232592950714E-2</v>
      </c>
      <c r="F91" s="12">
        <f t="shared" si="101"/>
        <v>5.0268128169128984E-2</v>
      </c>
      <c r="G91" s="12">
        <f t="shared" si="101"/>
        <v>5.8655487275911182E-2</v>
      </c>
      <c r="H91" s="12">
        <f t="shared" si="101"/>
        <v>6.275725013353442E-2</v>
      </c>
      <c r="I91" s="12">
        <f t="shared" si="101"/>
        <v>5.2999877805384711E-2</v>
      </c>
      <c r="J91" s="76">
        <f t="shared" si="101"/>
        <v>4.8085072475316376E-2</v>
      </c>
      <c r="K91" s="59">
        <f t="shared" ca="1" si="101"/>
        <v>4.9341360020705501E-2</v>
      </c>
      <c r="L91" s="157">
        <f t="shared" ref="L91:U91" ca="1" si="102">AVERAGE(F91:K91)</f>
        <v>5.3684529313330197E-2</v>
      </c>
      <c r="M91" s="84">
        <f t="shared" ca="1" si="102"/>
        <v>5.42539295040304E-2</v>
      </c>
      <c r="N91" s="84">
        <f t="shared" ca="1" si="102"/>
        <v>5.3520336542050267E-2</v>
      </c>
      <c r="O91" s="84">
        <f t="shared" ca="1" si="102"/>
        <v>5.1980850943469568E-2</v>
      </c>
      <c r="P91" s="84">
        <f t="shared" ca="1" si="102"/>
        <v>5.181101313315039E-2</v>
      </c>
      <c r="Q91" s="84">
        <f t="shared" ca="1" si="102"/>
        <v>5.2432003242789384E-2</v>
      </c>
      <c r="R91" s="84">
        <f t="shared" ca="1" si="102"/>
        <v>5.294711044647004E-2</v>
      </c>
      <c r="S91" s="84">
        <f t="shared" ca="1" si="102"/>
        <v>5.2824207301993352E-2</v>
      </c>
      <c r="T91" s="84">
        <f t="shared" ca="1" si="102"/>
        <v>5.2585920268320492E-2</v>
      </c>
      <c r="U91" s="84">
        <f t="shared" ca="1" si="102"/>
        <v>5.2430184222698871E-2</v>
      </c>
    </row>
    <row r="92" spans="2:21" ht="16" customHeight="1" x14ac:dyDescent="0.2">
      <c r="B92" s="10"/>
      <c r="E92" s="11"/>
      <c r="F92" s="11"/>
      <c r="G92" s="11"/>
      <c r="H92" s="11"/>
      <c r="I92" s="11"/>
      <c r="J92" s="75"/>
      <c r="K92" s="11"/>
      <c r="L92" s="152"/>
      <c r="M92" s="11"/>
      <c r="N92" s="11"/>
      <c r="O92" s="11"/>
      <c r="P92" s="11"/>
      <c r="Q92" s="11"/>
      <c r="R92" s="11"/>
      <c r="S92" s="11"/>
      <c r="T92" s="11"/>
      <c r="U92" s="11"/>
    </row>
    <row r="93" spans="2:21" ht="16" customHeight="1" x14ac:dyDescent="0.2">
      <c r="B93" s="5" t="s">
        <v>33</v>
      </c>
      <c r="E93" s="106">
        <f>'Financials + KPIs'!Q85</f>
        <v>8689</v>
      </c>
      <c r="F93" s="106">
        <f>'Financials + KPIs'!R85</f>
        <v>-16301</v>
      </c>
      <c r="G93" s="106">
        <f>'Financials + KPIs'!S85</f>
        <v>1851</v>
      </c>
      <c r="H93" s="106">
        <f>'Financials + KPIs'!T85</f>
        <v>3497</v>
      </c>
      <c r="I93" s="106">
        <f>'Financials + KPIs'!U85</f>
        <v>-3108</v>
      </c>
      <c r="J93" s="107">
        <f>'Financials + KPIs'!V85</f>
        <v>4925</v>
      </c>
      <c r="K93" s="11">
        <f>'Financials + KPIs'!W85</f>
        <v>16487</v>
      </c>
      <c r="L93" s="152">
        <f t="shared" ref="L93:U93" ca="1" si="103">L71*L94</f>
        <v>5914.3136445779928</v>
      </c>
      <c r="M93" s="11">
        <f ca="1">M71*M94</f>
        <v>6639.0462829184326</v>
      </c>
      <c r="N93" s="11">
        <f t="shared" ca="1" si="103"/>
        <v>9879.7974597160792</v>
      </c>
      <c r="O93" s="11">
        <f t="shared" ca="1" si="103"/>
        <v>11293.486205589024</v>
      </c>
      <c r="P93" s="11">
        <f t="shared" ca="1" si="103"/>
        <v>9416.3141686075469</v>
      </c>
      <c r="Q93" s="11">
        <f t="shared" ca="1" si="103"/>
        <v>10411.772116005508</v>
      </c>
      <c r="R93" s="11">
        <f t="shared" ca="1" si="103"/>
        <v>11473.861177991357</v>
      </c>
      <c r="S93" s="11">
        <f t="shared" ca="1" si="103"/>
        <v>11836.040205255038</v>
      </c>
      <c r="T93" s="11">
        <f t="shared" ca="1" si="103"/>
        <v>11870.645246457958</v>
      </c>
      <c r="U93" s="11">
        <f t="shared" ca="1" si="103"/>
        <v>12492.445122112329</v>
      </c>
    </row>
    <row r="94" spans="2:21" s="10" customFormat="1" ht="16" customHeight="1" x14ac:dyDescent="0.2">
      <c r="B94" s="10" t="s">
        <v>13</v>
      </c>
      <c r="E94" s="12">
        <f t="shared" ref="E94:K94" si="104">E93/E71</f>
        <v>4.0392536050652211E-2</v>
      </c>
      <c r="F94" s="12">
        <f t="shared" si="104"/>
        <v>-6.9988107045180353E-2</v>
      </c>
      <c r="G94" s="12">
        <f t="shared" si="104"/>
        <v>7.468618487150829E-3</v>
      </c>
      <c r="H94" s="12">
        <f t="shared" si="104"/>
        <v>1.3734407892669746E-2</v>
      </c>
      <c r="I94" s="12">
        <f t="shared" si="104"/>
        <v>-1.2659362144108182E-2</v>
      </c>
      <c r="J94" s="76">
        <f t="shared" si="104"/>
        <v>1.7838127594225154E-2</v>
      </c>
      <c r="K94" s="59">
        <f t="shared" ca="1" si="104"/>
        <v>5.4454180511504892E-2</v>
      </c>
      <c r="L94" s="157">
        <f ca="1">AVERAGE(H94:K94)</f>
        <v>1.8341838463572901E-2</v>
      </c>
      <c r="M94" s="157">
        <f t="shared" ref="M94:U94" ca="1" si="105">AVERAGE(I94:L94)</f>
        <v>1.949369610629869E-2</v>
      </c>
      <c r="N94" s="157">
        <f t="shared" ca="1" si="105"/>
        <v>2.7531960668900408E-2</v>
      </c>
      <c r="O94" s="157">
        <f t="shared" ca="1" si="105"/>
        <v>2.9955418937569221E-2</v>
      </c>
      <c r="P94" s="157">
        <f t="shared" ca="1" si="105"/>
        <v>2.3830728544085307E-2</v>
      </c>
      <c r="Q94" s="157">
        <f t="shared" ca="1" si="105"/>
        <v>2.5202951064213407E-2</v>
      </c>
      <c r="R94" s="157">
        <f t="shared" ca="1" si="105"/>
        <v>2.6630264803692086E-2</v>
      </c>
      <c r="S94" s="157">
        <f t="shared" ca="1" si="105"/>
        <v>2.6404840837390007E-2</v>
      </c>
      <c r="T94" s="157">
        <f t="shared" ca="1" si="105"/>
        <v>2.5517196312345201E-2</v>
      </c>
      <c r="U94" s="157">
        <f t="shared" ca="1" si="105"/>
        <v>2.5938813254410175E-2</v>
      </c>
    </row>
    <row r="95" spans="2:21" s="10" customFormat="1" ht="16" customHeight="1" x14ac:dyDescent="0.2">
      <c r="B95" s="10" t="s">
        <v>35</v>
      </c>
      <c r="E95" s="95"/>
      <c r="F95" s="12">
        <f>F93/(F71-E71)</f>
        <v>-0.91594088891386194</v>
      </c>
      <c r="G95" s="12">
        <f t="shared" ref="G95:U95" si="106">G93/(G71-F71)</f>
        <v>0.1240117915047568</v>
      </c>
      <c r="H95" s="12">
        <f t="shared" si="106"/>
        <v>0.51585779613512317</v>
      </c>
      <c r="I95" s="12">
        <f t="shared" si="106"/>
        <v>0.3413134197232594</v>
      </c>
      <c r="J95" s="76">
        <f t="shared" si="106"/>
        <v>0.16103191211090767</v>
      </c>
      <c r="K95" s="12">
        <f t="shared" ca="1" si="106"/>
        <v>0.61808542890584173</v>
      </c>
      <c r="L95" s="59">
        <f t="shared" ca="1" si="106"/>
        <v>0.30050833368147017</v>
      </c>
      <c r="M95" s="12">
        <f t="shared" ca="1" si="106"/>
        <v>0.36629877774932634</v>
      </c>
      <c r="N95" s="12">
        <f t="shared" ca="1" si="106"/>
        <v>0.54063905102380816</v>
      </c>
      <c r="O95" s="12">
        <f t="shared" ca="1" si="106"/>
        <v>0.62183720458996783</v>
      </c>
      <c r="P95" s="12">
        <f t="shared" ca="1" si="106"/>
        <v>0.51956378751030075</v>
      </c>
      <c r="Q95" s="12">
        <f t="shared" ca="1" si="106"/>
        <v>0.57894988179445717</v>
      </c>
      <c r="R95" s="12">
        <f t="shared" ca="1" si="106"/>
        <v>0.64675125818540202</v>
      </c>
      <c r="S95" s="12">
        <f t="shared" ca="1" si="106"/>
        <v>0.68043879036905774</v>
      </c>
      <c r="T95" s="12">
        <f t="shared" ca="1" si="106"/>
        <v>0.70036934875365686</v>
      </c>
      <c r="U95" s="12">
        <f t="shared" ca="1" si="106"/>
        <v>0.76125775660826389</v>
      </c>
    </row>
    <row r="96" spans="2:21" ht="16" customHeight="1" x14ac:dyDescent="0.2">
      <c r="B96" s="10"/>
      <c r="E96" s="11"/>
      <c r="F96" s="13"/>
      <c r="G96" s="13"/>
      <c r="H96" s="13"/>
      <c r="I96" s="13"/>
      <c r="J96" s="79"/>
      <c r="K96" s="13"/>
      <c r="L96" s="13"/>
      <c r="M96" s="13"/>
      <c r="N96" s="13"/>
      <c r="O96" s="13"/>
      <c r="P96" s="13"/>
      <c r="Q96" s="13"/>
      <c r="R96" s="13"/>
      <c r="S96" s="13"/>
      <c r="T96" s="13"/>
      <c r="U96" s="13"/>
    </row>
    <row r="97" spans="2:21" ht="16" customHeight="1" x14ac:dyDescent="0.2">
      <c r="B97" s="5" t="s">
        <v>139</v>
      </c>
      <c r="E97" s="142">
        <f>'Financials + KPIs'!Q37</f>
        <v>1109</v>
      </c>
      <c r="F97" s="142">
        <f>'Financials + KPIs'!R37</f>
        <v>3014</v>
      </c>
      <c r="G97" s="142">
        <f>'Financials + KPIs'!S37</f>
        <v>-2167</v>
      </c>
      <c r="H97" s="142">
        <f>'Financials + KPIs'!T37</f>
        <v>1176</v>
      </c>
      <c r="I97" s="142">
        <f>'Financials + KPIs'!U37</f>
        <v>726</v>
      </c>
      <c r="J97" s="150">
        <f>'Financials + KPIs'!V37</f>
        <v>995</v>
      </c>
      <c r="K97" s="142">
        <f>'Financials + KPIs'!W37</f>
        <v>1395.2785723410011</v>
      </c>
      <c r="L97" s="142">
        <f>'Financials + KPIs'!X37</f>
        <v>1488.2360355363912</v>
      </c>
      <c r="M97" s="142">
        <f>'Financials + KPIs'!Y37</f>
        <v>1399.6806722108061</v>
      </c>
      <c r="N97" s="142">
        <f>'Financials + KPIs'!Z37</f>
        <v>1543.7900558267645</v>
      </c>
      <c r="O97" s="142">
        <f>'Financials + KPIs'!AA37</f>
        <v>1608.0267376665263</v>
      </c>
      <c r="P97" s="142">
        <f>'Financials + KPIs'!AB37</f>
        <v>1630.7649090252232</v>
      </c>
      <c r="Q97" s="142">
        <f>'Financials + KPIs'!AC37</f>
        <v>1642.0369488069448</v>
      </c>
      <c r="R97" s="142">
        <f>'Financials + KPIs'!AD37</f>
        <v>1769.7811985754331</v>
      </c>
      <c r="S97" s="142">
        <f>'Financials + KPIs'!AE37</f>
        <v>1991.1926231546674</v>
      </c>
      <c r="T97" s="142">
        <f>'Financials + KPIs'!AF37</f>
        <v>2131.3811941300537</v>
      </c>
      <c r="U97" s="142">
        <f>'Financials + KPIs'!AG37</f>
        <v>2038.6065261791825</v>
      </c>
    </row>
    <row r="98" spans="2:21" s="10" customFormat="1" ht="16" customHeight="1" x14ac:dyDescent="0.2">
      <c r="B98" s="10" t="s">
        <v>5</v>
      </c>
      <c r="E98" s="59"/>
      <c r="F98" s="59">
        <f>F97/E97-1</f>
        <v>1.7177637511271415</v>
      </c>
      <c r="G98" s="59">
        <f t="shared" ref="G98:J98" si="107">G97/F97-1</f>
        <v>-1.718978102189781</v>
      </c>
      <c r="H98" s="59">
        <f t="shared" si="107"/>
        <v>-1.5426857406552839</v>
      </c>
      <c r="I98" s="59">
        <f t="shared" si="107"/>
        <v>-0.38265306122448983</v>
      </c>
      <c r="J98" s="76">
        <f t="shared" si="107"/>
        <v>0.37052341597796135</v>
      </c>
      <c r="K98" s="59">
        <f t="shared" ref="K98" si="108">K97/J97-1</f>
        <v>0.4022900224532675</v>
      </c>
      <c r="L98" s="59">
        <f t="shared" ref="L98" si="109">L97/K97-1</f>
        <v>6.662287018385582E-2</v>
      </c>
      <c r="M98" s="59">
        <f t="shared" ref="M98" si="110">M97/L97-1</f>
        <v>-5.9503574171732798E-2</v>
      </c>
      <c r="N98" s="59">
        <f t="shared" ref="N98" si="111">N97/M97-1</f>
        <v>0.10295875800609333</v>
      </c>
      <c r="O98" s="59">
        <f t="shared" ref="O98" si="112">O97/N97-1</f>
        <v>4.1609726398555091E-2</v>
      </c>
      <c r="P98" s="59">
        <f t="shared" ref="P98" si="113">P97/O97-1</f>
        <v>1.4140418704537971E-2</v>
      </c>
      <c r="Q98" s="59">
        <f t="shared" ref="Q98" si="114">Q97/P97-1</f>
        <v>6.9121181841345081E-3</v>
      </c>
      <c r="R98" s="59">
        <f t="shared" ref="R98" si="115">R97/Q97-1</f>
        <v>7.7796209069048938E-2</v>
      </c>
      <c r="S98" s="59">
        <f t="shared" ref="S98" si="116">S97/R97-1</f>
        <v>0.12510666559089745</v>
      </c>
      <c r="T98" s="59">
        <f t="shared" ref="T98" si="117">T97/S97-1</f>
        <v>7.0404324195056489E-2</v>
      </c>
      <c r="U98" s="59">
        <f t="shared" ref="U98" si="118">U97/T97-1</f>
        <v>-4.3527956522455002E-2</v>
      </c>
    </row>
    <row r="99" spans="2:21" s="10" customFormat="1" ht="16" customHeight="1" x14ac:dyDescent="0.2">
      <c r="E99" s="59"/>
      <c r="F99" s="59"/>
      <c r="G99" s="59"/>
      <c r="H99" s="59"/>
      <c r="I99" s="59"/>
      <c r="J99" s="76"/>
      <c r="K99" s="94"/>
      <c r="L99" s="59"/>
      <c r="M99" s="59"/>
      <c r="N99" s="59"/>
      <c r="O99" s="59"/>
      <c r="P99" s="59"/>
      <c r="Q99" s="59"/>
      <c r="R99" s="59"/>
      <c r="S99" s="59"/>
      <c r="T99" s="59"/>
      <c r="U99" s="59"/>
    </row>
    <row r="100" spans="2:21" s="10" customFormat="1" ht="16" customHeight="1" x14ac:dyDescent="0.2">
      <c r="B100" s="5" t="s">
        <v>147</v>
      </c>
      <c r="E100" s="142">
        <f>'Financials + KPIs'!Q42</f>
        <v>353</v>
      </c>
      <c r="F100" s="142">
        <f>'Financials + KPIs'!R42</f>
        <v>413</v>
      </c>
      <c r="G100" s="142">
        <f>'Financials + KPIs'!S42</f>
        <v>301</v>
      </c>
      <c r="H100" s="142">
        <f>'Financials + KPIs'!T42</f>
        <v>375</v>
      </c>
      <c r="I100" s="142">
        <f>'Financials + KPIs'!U42</f>
        <v>732</v>
      </c>
      <c r="J100" s="150">
        <f>'Financials + KPIs'!V42</f>
        <v>1772</v>
      </c>
      <c r="K100" s="142">
        <f>'Financials + KPIs'!W42</f>
        <v>754</v>
      </c>
      <c r="L100" s="142">
        <f>'Financials + KPIs'!X42</f>
        <v>700</v>
      </c>
      <c r="M100" s="142">
        <f>'Financials + KPIs'!Y42</f>
        <v>698.80155934734137</v>
      </c>
      <c r="N100" s="142">
        <f>'Financials + KPIs'!Z42</f>
        <v>770.74929999046492</v>
      </c>
      <c r="O100" s="142">
        <f>'Financials + KPIs'!AA42</f>
        <v>802.81996748494612</v>
      </c>
      <c r="P100" s="142">
        <f>'Financials + KPIs'!AB42</f>
        <v>814.17217796954674</v>
      </c>
      <c r="Q100" s="142">
        <f>'Financials + KPIs'!AC42</f>
        <v>819.79983228590652</v>
      </c>
      <c r="R100" s="142">
        <f>'Financials + KPIs'!AD42</f>
        <v>883.57715143319206</v>
      </c>
      <c r="S100" s="142">
        <f>'Financials + KPIs'!AE42</f>
        <v>994.11854264130227</v>
      </c>
      <c r="T100" s="142">
        <f>'Financials + KPIs'!AF42</f>
        <v>1064.1087868057375</v>
      </c>
      <c r="U100" s="142">
        <f>'Financials + KPIs'!AG42</f>
        <v>1017.7903057984951</v>
      </c>
    </row>
    <row r="101" spans="2:21" s="10" customFormat="1" ht="16" customHeight="1" x14ac:dyDescent="0.2">
      <c r="B101" s="10" t="s">
        <v>5</v>
      </c>
      <c r="E101" s="59"/>
      <c r="F101" s="59">
        <f>F100/E100-1</f>
        <v>0.16997167138810187</v>
      </c>
      <c r="G101" s="59">
        <f t="shared" ref="G101:J101" si="119">G100/F100-1</f>
        <v>-0.27118644067796616</v>
      </c>
      <c r="H101" s="59">
        <f t="shared" si="119"/>
        <v>0.24584717607973428</v>
      </c>
      <c r="I101" s="59">
        <f t="shared" si="119"/>
        <v>0.95199999999999996</v>
      </c>
      <c r="J101" s="76">
        <f t="shared" si="119"/>
        <v>1.4207650273224042</v>
      </c>
      <c r="K101" s="59">
        <f t="shared" ref="K101" si="120">K100/J100-1</f>
        <v>-0.5744920993227991</v>
      </c>
      <c r="L101" s="59">
        <f t="shared" ref="L101" si="121">L100/K100-1</f>
        <v>-7.1618037135278478E-2</v>
      </c>
      <c r="M101" s="59">
        <f t="shared" ref="M101" si="122">M100/L100-1</f>
        <v>-1.7120580752265635E-3</v>
      </c>
      <c r="N101" s="59">
        <f t="shared" ref="N101" si="123">N100/M100-1</f>
        <v>0.10295875800609333</v>
      </c>
      <c r="O101" s="59">
        <f t="shared" ref="O101" si="124">O100/N100-1</f>
        <v>4.1609726398555313E-2</v>
      </c>
      <c r="P101" s="59">
        <f t="shared" ref="P101" si="125">P100/O100-1</f>
        <v>1.4140418704537971E-2</v>
      </c>
      <c r="Q101" s="59">
        <f t="shared" ref="Q101" si="126">Q100/P100-1</f>
        <v>6.9121181841345081E-3</v>
      </c>
      <c r="R101" s="59">
        <f t="shared" ref="R101" si="127">R100/Q100-1</f>
        <v>7.7796209069048716E-2</v>
      </c>
      <c r="S101" s="59">
        <f t="shared" ref="S101" si="128">S100/R100-1</f>
        <v>0.12510666559089767</v>
      </c>
      <c r="T101" s="59">
        <f t="shared" ref="T101" si="129">T100/S100-1</f>
        <v>7.0404324195056489E-2</v>
      </c>
      <c r="U101" s="59">
        <f t="shared" ref="U101" si="130">U100/T100-1</f>
        <v>-4.3527956522455002E-2</v>
      </c>
    </row>
    <row r="102" spans="2:21" s="10" customFormat="1" ht="16" customHeight="1" x14ac:dyDescent="0.2">
      <c r="E102" s="59"/>
      <c r="F102" s="59"/>
      <c r="G102" s="59"/>
      <c r="H102" s="59"/>
      <c r="I102" s="59"/>
      <c r="J102" s="76"/>
      <c r="K102" s="59"/>
      <c r="L102" s="59"/>
      <c r="M102" s="59"/>
      <c r="N102" s="59"/>
      <c r="O102" s="59"/>
      <c r="P102" s="59"/>
      <c r="Q102" s="59"/>
      <c r="R102" s="59"/>
      <c r="S102" s="59"/>
      <c r="T102" s="59"/>
      <c r="U102" s="59"/>
    </row>
    <row r="103" spans="2:21" s="10" customFormat="1" ht="16" customHeight="1" x14ac:dyDescent="0.2">
      <c r="B103" s="5" t="s">
        <v>153</v>
      </c>
      <c r="E103" s="142">
        <f>'Financials + KPIs'!Q16</f>
        <v>244528</v>
      </c>
      <c r="F103" s="142">
        <f>'Financials + KPIs'!R16</f>
        <v>307089</v>
      </c>
      <c r="G103" s="142">
        <f>'Financials + KPIs'!S16</f>
        <v>319235</v>
      </c>
      <c r="H103" s="142">
        <f>'Financials + KPIs'!T16</f>
        <v>409190</v>
      </c>
      <c r="I103" s="142">
        <f>'Financials + KPIs'!U16</f>
        <v>453897</v>
      </c>
      <c r="J103" s="150">
        <f>'Financials + KPIs'!V16</f>
        <v>528382</v>
      </c>
      <c r="K103" s="11">
        <f ca="1">J103*(1+K104)</f>
        <v>486205.04000000004</v>
      </c>
      <c r="L103" s="11">
        <f t="shared" ref="L103" ca="1" si="131">K103*(1+L104)</f>
        <v>488601.933606192</v>
      </c>
      <c r="M103" s="11">
        <f t="shared" ref="M103" ca="1" si="132">L103*(1+M104)</f>
        <v>527690.08829468745</v>
      </c>
      <c r="N103" s="11">
        <f t="shared" ref="N103" ca="1" si="133">M103*(1+N104)</f>
        <v>569905.29535826249</v>
      </c>
      <c r="O103" s="11">
        <f t="shared" ref="O103" ca="1" si="134">N103*(1+O104)</f>
        <v>615497.71898692357</v>
      </c>
      <c r="P103" s="11">
        <f ca="1">O103*(1+P104)</f>
        <v>664737.53650587751</v>
      </c>
      <c r="Q103" s="11">
        <f t="shared" ref="Q103" ca="1" si="135">P103*(1+Q104)</f>
        <v>717916.53942634771</v>
      </c>
      <c r="R103" s="11">
        <f t="shared" ref="R103" ca="1" si="136">Q103*(1+R104)</f>
        <v>775349.86258045561</v>
      </c>
      <c r="S103" s="11">
        <f t="shared" ref="S103" ca="1" si="137">R103*(1+S104)</f>
        <v>837377.85158689215</v>
      </c>
      <c r="T103" s="11">
        <f t="shared" ref="T103" ca="1" si="138">S103*(1+T104)</f>
        <v>904368.07971384353</v>
      </c>
      <c r="U103" s="11">
        <f t="shared" ref="U103" ca="1" si="139">T103*(1+U104)</f>
        <v>976717.52609095105</v>
      </c>
    </row>
    <row r="104" spans="2:21" s="10" customFormat="1" ht="16" customHeight="1" x14ac:dyDescent="0.2">
      <c r="B104" s="10" t="s">
        <v>5</v>
      </c>
      <c r="E104" s="59"/>
      <c r="F104" s="59">
        <f>F103/E103-1</f>
        <v>0.25584391153569319</v>
      </c>
      <c r="G104" s="59">
        <f t="shared" ref="G104" si="140">G103/F103-1</f>
        <v>3.9552051685342038E-2</v>
      </c>
      <c r="H104" s="59">
        <f t="shared" ref="H104" si="141">H103/G103-1</f>
        <v>0.28178301251429194</v>
      </c>
      <c r="I104" s="59">
        <f t="shared" ref="I104" si="142">I103/H103-1</f>
        <v>0.10925731322857346</v>
      </c>
      <c r="J104" s="76">
        <f t="shared" ref="J104" si="143">J103/I103-1</f>
        <v>0.16410110663873079</v>
      </c>
      <c r="K104" s="12">
        <f ca="1">OFFSET(K104,$D$19,0)</f>
        <v>-7.9822855434136586E-2</v>
      </c>
      <c r="L104" s="12">
        <f ca="1">OFFSET(L104,$D$19,0)</f>
        <v>4.9297999999999842E-3</v>
      </c>
      <c r="M104" s="12">
        <f t="shared" ref="M104:U104" ca="1" si="144">OFFSET(M104,$D$19,0)</f>
        <v>0.08</v>
      </c>
      <c r="N104" s="12">
        <f t="shared" ca="1" si="144"/>
        <v>0.08</v>
      </c>
      <c r="O104" s="12">
        <f t="shared" ca="1" si="144"/>
        <v>0.08</v>
      </c>
      <c r="P104" s="12">
        <f t="shared" ca="1" si="144"/>
        <v>0.08</v>
      </c>
      <c r="Q104" s="12">
        <f t="shared" ca="1" si="144"/>
        <v>0.08</v>
      </c>
      <c r="R104" s="12">
        <f t="shared" ca="1" si="144"/>
        <v>0.08</v>
      </c>
      <c r="S104" s="12">
        <f t="shared" ca="1" si="144"/>
        <v>0.08</v>
      </c>
      <c r="T104" s="12">
        <f t="shared" ca="1" si="144"/>
        <v>0.08</v>
      </c>
      <c r="U104" s="12">
        <f t="shared" ca="1" si="144"/>
        <v>0.08</v>
      </c>
    </row>
    <row r="105" spans="2:21" ht="16" customHeight="1" x14ac:dyDescent="0.2">
      <c r="B105" s="5" t="s">
        <v>21</v>
      </c>
      <c r="J105" s="77"/>
      <c r="K105" s="149">
        <f>K106</f>
        <v>-7.9822855434136586E-2</v>
      </c>
      <c r="L105" s="143">
        <v>-0.03</v>
      </c>
      <c r="M105" s="27">
        <f>$H$19</f>
        <v>7.4999999999999997E-2</v>
      </c>
      <c r="N105" s="14">
        <f>M105</f>
        <v>7.4999999999999997E-2</v>
      </c>
      <c r="O105" s="14">
        <f t="shared" ref="O105:U105" si="145">N105</f>
        <v>7.4999999999999997E-2</v>
      </c>
      <c r="P105" s="14">
        <f t="shared" si="145"/>
        <v>7.4999999999999997E-2</v>
      </c>
      <c r="Q105" s="14">
        <f t="shared" si="145"/>
        <v>7.4999999999999997E-2</v>
      </c>
      <c r="R105" s="14">
        <f t="shared" si="145"/>
        <v>7.4999999999999997E-2</v>
      </c>
      <c r="S105" s="14">
        <f t="shared" si="145"/>
        <v>7.4999999999999997E-2</v>
      </c>
      <c r="T105" s="14">
        <f t="shared" si="145"/>
        <v>7.4999999999999997E-2</v>
      </c>
      <c r="U105" s="14">
        <f t="shared" si="145"/>
        <v>7.4999999999999997E-2</v>
      </c>
    </row>
    <row r="106" spans="2:21" ht="16" customHeight="1" x14ac:dyDescent="0.2">
      <c r="B106" s="5" t="s">
        <v>22</v>
      </c>
      <c r="J106" s="77"/>
      <c r="K106" s="72">
        <f>'Financials + KPIs'!W57</f>
        <v>-7.9822855434136586E-2</v>
      </c>
      <c r="L106" s="15">
        <f>'Financials + KPIs'!X57</f>
        <v>4.9297999999999842E-3</v>
      </c>
      <c r="M106" s="27">
        <f>$L$19</f>
        <v>0.08</v>
      </c>
      <c r="N106" s="14">
        <f>M106</f>
        <v>0.08</v>
      </c>
      <c r="O106" s="14">
        <f t="shared" ref="O106:U106" si="146">N106</f>
        <v>0.08</v>
      </c>
      <c r="P106" s="14">
        <f t="shared" si="146"/>
        <v>0.08</v>
      </c>
      <c r="Q106" s="14">
        <f t="shared" si="146"/>
        <v>0.08</v>
      </c>
      <c r="R106" s="14">
        <f t="shared" si="146"/>
        <v>0.08</v>
      </c>
      <c r="S106" s="14">
        <f t="shared" si="146"/>
        <v>0.08</v>
      </c>
      <c r="T106" s="14">
        <f t="shared" si="146"/>
        <v>0.08</v>
      </c>
      <c r="U106" s="14">
        <f t="shared" si="146"/>
        <v>0.08</v>
      </c>
    </row>
    <row r="107" spans="2:21" ht="16" customHeight="1" x14ac:dyDescent="0.2">
      <c r="B107" s="5" t="s">
        <v>23</v>
      </c>
      <c r="J107" s="77"/>
      <c r="K107" s="149">
        <f>K106</f>
        <v>-7.9822855434136586E-2</v>
      </c>
      <c r="L107" s="143">
        <v>0.03</v>
      </c>
      <c r="M107" s="27">
        <f>$P$19</f>
        <v>8.5000000000000006E-2</v>
      </c>
      <c r="N107" s="14">
        <f>M107</f>
        <v>8.5000000000000006E-2</v>
      </c>
      <c r="O107" s="14">
        <f t="shared" ref="O107:U107" si="147">N107</f>
        <v>8.5000000000000006E-2</v>
      </c>
      <c r="P107" s="14">
        <f t="shared" si="147"/>
        <v>8.5000000000000006E-2</v>
      </c>
      <c r="Q107" s="14">
        <f t="shared" si="147"/>
        <v>8.5000000000000006E-2</v>
      </c>
      <c r="R107" s="14">
        <f t="shared" si="147"/>
        <v>8.5000000000000006E-2</v>
      </c>
      <c r="S107" s="14">
        <f t="shared" si="147"/>
        <v>8.5000000000000006E-2</v>
      </c>
      <c r="T107" s="14">
        <f t="shared" si="147"/>
        <v>8.5000000000000006E-2</v>
      </c>
      <c r="U107" s="14">
        <f t="shared" si="147"/>
        <v>8.5000000000000006E-2</v>
      </c>
    </row>
    <row r="108" spans="2:21" ht="16" customHeight="1" x14ac:dyDescent="0.2">
      <c r="B108" s="5" t="s">
        <v>167</v>
      </c>
      <c r="J108" s="77"/>
      <c r="K108" s="164"/>
      <c r="L108" s="164"/>
      <c r="M108" s="164"/>
      <c r="N108" s="164"/>
      <c r="O108" s="164"/>
      <c r="P108" s="164"/>
      <c r="Q108" s="164"/>
      <c r="R108" s="164"/>
      <c r="S108" s="164"/>
      <c r="T108" s="164"/>
      <c r="U108" s="164"/>
    </row>
    <row r="109" spans="2:21" s="10" customFormat="1" ht="16" customHeight="1" x14ac:dyDescent="0.2">
      <c r="E109" s="59"/>
      <c r="F109" s="59"/>
      <c r="G109" s="59"/>
      <c r="H109" s="59"/>
      <c r="I109" s="59"/>
      <c r="J109" s="76"/>
      <c r="K109" s="59"/>
      <c r="L109" s="59"/>
      <c r="M109" s="59"/>
      <c r="N109" s="59"/>
      <c r="O109" s="59"/>
      <c r="P109" s="59"/>
      <c r="Q109" s="59"/>
      <c r="R109" s="59"/>
      <c r="S109" s="59"/>
      <c r="T109" s="59"/>
      <c r="U109" s="59"/>
    </row>
    <row r="110" spans="2:21" s="10" customFormat="1" ht="16" customHeight="1" x14ac:dyDescent="0.2">
      <c r="B110" s="5" t="s">
        <v>149</v>
      </c>
      <c r="E110" s="142"/>
      <c r="F110" s="148">
        <f>F103-E103</f>
        <v>62561</v>
      </c>
      <c r="G110" s="148">
        <f t="shared" ref="G110:U110" si="148">G103-F103</f>
        <v>12146</v>
      </c>
      <c r="H110" s="148">
        <f t="shared" si="148"/>
        <v>89955</v>
      </c>
      <c r="I110" s="148">
        <f t="shared" si="148"/>
        <v>44707</v>
      </c>
      <c r="J110" s="158">
        <f t="shared" si="148"/>
        <v>74485</v>
      </c>
      <c r="K110" s="148">
        <f t="shared" ca="1" si="148"/>
        <v>-42176.959999999963</v>
      </c>
      <c r="L110" s="148">
        <f t="shared" ca="1" si="148"/>
        <v>2396.8936061919667</v>
      </c>
      <c r="M110" s="148">
        <f t="shared" ca="1" si="148"/>
        <v>39088.154688495444</v>
      </c>
      <c r="N110" s="148">
        <f t="shared" ca="1" si="148"/>
        <v>42215.207063575042</v>
      </c>
      <c r="O110" s="148">
        <f t="shared" ca="1" si="148"/>
        <v>45592.423628661083</v>
      </c>
      <c r="P110" s="148">
        <f t="shared" ca="1" si="148"/>
        <v>49239.817518953932</v>
      </c>
      <c r="Q110" s="148">
        <f t="shared" ca="1" si="148"/>
        <v>53179.0029204702</v>
      </c>
      <c r="R110" s="148">
        <f t="shared" ca="1" si="148"/>
        <v>57433.3231541079</v>
      </c>
      <c r="S110" s="148">
        <f t="shared" ca="1" si="148"/>
        <v>62027.989006436546</v>
      </c>
      <c r="T110" s="148">
        <f t="shared" ca="1" si="148"/>
        <v>66990.228126951377</v>
      </c>
      <c r="U110" s="148">
        <f t="shared" ca="1" si="148"/>
        <v>72349.446377107524</v>
      </c>
    </row>
    <row r="111" spans="2:21" s="10" customFormat="1" ht="16" customHeight="1" x14ac:dyDescent="0.2">
      <c r="B111" s="5"/>
      <c r="E111" s="142"/>
      <c r="F111" s="142"/>
      <c r="G111" s="142"/>
      <c r="H111" s="142"/>
      <c r="I111" s="142"/>
      <c r="J111" s="150"/>
      <c r="K111" s="142"/>
      <c r="L111" s="142"/>
      <c r="M111" s="142"/>
      <c r="N111" s="142"/>
      <c r="O111" s="142"/>
      <c r="P111" s="142"/>
      <c r="Q111" s="142"/>
      <c r="R111" s="142"/>
      <c r="S111" s="142"/>
      <c r="T111" s="142"/>
      <c r="U111" s="142"/>
    </row>
    <row r="112" spans="2:21" s="10" customFormat="1" ht="16" customHeight="1" x14ac:dyDescent="0.2">
      <c r="B112" s="5" t="s">
        <v>152</v>
      </c>
      <c r="E112" s="142"/>
      <c r="F112" s="142"/>
      <c r="G112" s="142"/>
      <c r="H112" s="142"/>
      <c r="I112" s="142"/>
      <c r="J112" s="150"/>
      <c r="K112" s="142"/>
      <c r="L112" s="148">
        <f ca="1">L110*L113</f>
        <v>239.68936061919669</v>
      </c>
      <c r="M112" s="148">
        <f t="shared" ref="M112:U112" ca="1" si="149">M110*M113</f>
        <v>3908.8154688495447</v>
      </c>
      <c r="N112" s="148">
        <f t="shared" ca="1" si="149"/>
        <v>4221.5207063575044</v>
      </c>
      <c r="O112" s="148">
        <f t="shared" ca="1" si="149"/>
        <v>4559.2423628661081</v>
      </c>
      <c r="P112" s="148">
        <f t="shared" ca="1" si="149"/>
        <v>4923.9817518953932</v>
      </c>
      <c r="Q112" s="148">
        <f t="shared" ca="1" si="149"/>
        <v>5317.9002920470202</v>
      </c>
      <c r="R112" s="148">
        <f t="shared" ca="1" si="149"/>
        <v>5743.3323154107902</v>
      </c>
      <c r="S112" s="148">
        <f t="shared" ca="1" si="149"/>
        <v>6202.7989006436546</v>
      </c>
      <c r="T112" s="148">
        <f t="shared" ca="1" si="149"/>
        <v>6699.0228126951379</v>
      </c>
      <c r="U112" s="148">
        <f t="shared" ca="1" si="149"/>
        <v>7234.9446377107524</v>
      </c>
    </row>
    <row r="113" spans="1:21" s="10" customFormat="1" ht="16" customHeight="1" x14ac:dyDescent="0.2">
      <c r="B113" s="10" t="s">
        <v>154</v>
      </c>
      <c r="E113" s="144"/>
      <c r="F113" s="144"/>
      <c r="G113" s="144"/>
      <c r="H113" s="144"/>
      <c r="I113" s="144"/>
      <c r="J113" s="151"/>
      <c r="K113" s="94">
        <f>L20</f>
        <v>0.1</v>
      </c>
      <c r="L113" s="94">
        <f>K113</f>
        <v>0.1</v>
      </c>
      <c r="M113" s="94">
        <f t="shared" ref="M113:U113" si="150">L113</f>
        <v>0.1</v>
      </c>
      <c r="N113" s="94">
        <f t="shared" si="150"/>
        <v>0.1</v>
      </c>
      <c r="O113" s="94">
        <f t="shared" si="150"/>
        <v>0.1</v>
      </c>
      <c r="P113" s="94">
        <f t="shared" si="150"/>
        <v>0.1</v>
      </c>
      <c r="Q113" s="94">
        <f t="shared" si="150"/>
        <v>0.1</v>
      </c>
      <c r="R113" s="94">
        <f t="shared" si="150"/>
        <v>0.1</v>
      </c>
      <c r="S113" s="94">
        <f t="shared" si="150"/>
        <v>0.1</v>
      </c>
      <c r="T113" s="94">
        <f t="shared" si="150"/>
        <v>0.1</v>
      </c>
      <c r="U113" s="94">
        <f t="shared" si="150"/>
        <v>0.1</v>
      </c>
    </row>
    <row r="114" spans="1:21" ht="16" customHeight="1" x14ac:dyDescent="0.2">
      <c r="B114" s="10"/>
      <c r="E114" s="11"/>
      <c r="F114" s="37"/>
      <c r="G114" s="37"/>
      <c r="H114" s="37"/>
      <c r="I114" s="37"/>
      <c r="J114" s="79"/>
      <c r="K114" s="37"/>
      <c r="L114" s="37"/>
      <c r="M114" s="37"/>
      <c r="N114" s="37"/>
      <c r="O114" s="37"/>
      <c r="P114" s="37"/>
      <c r="Q114" s="37"/>
      <c r="R114" s="37"/>
      <c r="S114" s="37"/>
      <c r="T114" s="37"/>
      <c r="U114" s="37"/>
    </row>
    <row r="115" spans="1:21" ht="16" customHeight="1" x14ac:dyDescent="0.2">
      <c r="B115" s="19" t="s">
        <v>155</v>
      </c>
      <c r="C115" s="19"/>
      <c r="D115" s="19"/>
      <c r="E115" s="61"/>
      <c r="F115" s="61"/>
      <c r="G115" s="61"/>
      <c r="H115" s="61"/>
      <c r="I115" s="61"/>
      <c r="J115" s="80"/>
      <c r="K115" s="61">
        <f t="shared" ref="K115:U115" ca="1" si="151">K84+K86-K90-K93+K97+K100+K110-K112</f>
        <v>-27514.944554238038</v>
      </c>
      <c r="L115" s="61">
        <f ca="1">L84+L86-L90-L93+L97+L100+L110-L112</f>
        <v>25273.83199346605</v>
      </c>
      <c r="M115" s="61">
        <f t="shared" ca="1" si="151"/>
        <v>58858.205417915735</v>
      </c>
      <c r="N115" s="61">
        <f t="shared" ca="1" si="151"/>
        <v>60459.712767523233</v>
      </c>
      <c r="O115" s="61">
        <f t="shared" ca="1" si="151"/>
        <v>64291.839824902214</v>
      </c>
      <c r="P115" s="61">
        <f t="shared" ca="1" si="151"/>
        <v>70872.485583738424</v>
      </c>
      <c r="Q115" s="61">
        <f t="shared" ca="1" si="151"/>
        <v>74686.461655565552</v>
      </c>
      <c r="R115" s="61">
        <f t="shared" ca="1" si="151"/>
        <v>79067.02288375108</v>
      </c>
      <c r="S115" s="61">
        <f t="shared" ca="1" si="151"/>
        <v>84690.630991543439</v>
      </c>
      <c r="T115" s="61">
        <f t="shared" ca="1" si="151"/>
        <v>90857.723543813845</v>
      </c>
      <c r="U115" s="61">
        <f t="shared" ca="1" si="151"/>
        <v>96357.869356343901</v>
      </c>
    </row>
    <row r="116" spans="1:21" s="10" customFormat="1" ht="16" customHeight="1" x14ac:dyDescent="0.2">
      <c r="B116" s="10" t="s">
        <v>13</v>
      </c>
      <c r="E116" s="59"/>
      <c r="F116" s="59"/>
      <c r="G116" s="59"/>
      <c r="H116" s="59"/>
      <c r="I116" s="59"/>
      <c r="J116" s="76"/>
      <c r="K116" s="59">
        <f t="shared" ref="K116:U116" ca="1" si="152">K115/K71</f>
        <v>-9.0877889095683062E-2</v>
      </c>
      <c r="L116" s="59">
        <f t="shared" ca="1" si="152"/>
        <v>7.8380784591060057E-2</v>
      </c>
      <c r="M116" s="59">
        <f t="shared" ca="1" si="152"/>
        <v>0.17282060116541123</v>
      </c>
      <c r="N116" s="59">
        <f t="shared" ca="1" si="152"/>
        <v>0.16848264762062251</v>
      </c>
      <c r="O116" s="59">
        <f t="shared" ca="1" si="152"/>
        <v>0.17053095573525748</v>
      </c>
      <c r="P116" s="59">
        <f t="shared" ca="1" si="152"/>
        <v>0.17936348925371773</v>
      </c>
      <c r="Q116" s="59">
        <f t="shared" ca="1" si="152"/>
        <v>0.18078759478137946</v>
      </c>
      <c r="R116" s="59">
        <f t="shared" ca="1" si="152"/>
        <v>0.18351065295026348</v>
      </c>
      <c r="S116" s="59">
        <f t="shared" ca="1" si="152"/>
        <v>0.18893503173104914</v>
      </c>
      <c r="T116" s="59">
        <f t="shared" ca="1" si="152"/>
        <v>0.1953082010307802</v>
      </c>
      <c r="U116" s="59">
        <f t="shared" ca="1" si="152"/>
        <v>0.20007362485050773</v>
      </c>
    </row>
    <row r="117" spans="1:21" ht="16" customHeight="1" x14ac:dyDescent="0.2">
      <c r="E117" s="11"/>
      <c r="F117" s="37"/>
      <c r="G117" s="37"/>
      <c r="H117" s="37"/>
      <c r="I117" s="37"/>
      <c r="J117" s="79"/>
      <c r="K117" s="38"/>
      <c r="L117" s="38"/>
      <c r="M117" s="38"/>
      <c r="N117" s="38"/>
      <c r="O117" s="38"/>
      <c r="P117" s="38"/>
      <c r="Q117" s="38"/>
      <c r="R117" s="38"/>
      <c r="S117" s="38"/>
      <c r="T117" s="38"/>
      <c r="U117" s="38"/>
    </row>
    <row r="118" spans="1:21" ht="16" customHeight="1" x14ac:dyDescent="0.2">
      <c r="J118" s="77"/>
      <c r="K118" s="39">
        <v>0.25</v>
      </c>
      <c r="L118" s="39">
        <v>0.75</v>
      </c>
      <c r="U118"/>
    </row>
    <row r="119" spans="1:21" ht="16" customHeight="1" x14ac:dyDescent="0.2">
      <c r="A119" s="5" t="s">
        <v>20</v>
      </c>
      <c r="B119" s="64" t="s">
        <v>81</v>
      </c>
      <c r="C119" s="64"/>
      <c r="D119" s="64"/>
      <c r="E119" s="67"/>
      <c r="F119" s="67"/>
      <c r="G119" s="67"/>
      <c r="H119" s="67"/>
      <c r="I119" s="67"/>
      <c r="J119" s="67"/>
      <c r="K119" s="67">
        <v>1</v>
      </c>
      <c r="L119" s="67">
        <f>K119+1</f>
        <v>2</v>
      </c>
      <c r="M119" s="67">
        <f t="shared" ref="M119:T119" si="153">L119+1</f>
        <v>3</v>
      </c>
      <c r="N119" s="67">
        <f t="shared" si="153"/>
        <v>4</v>
      </c>
      <c r="O119" s="67">
        <f t="shared" si="153"/>
        <v>5</v>
      </c>
      <c r="P119" s="67">
        <f t="shared" si="153"/>
        <v>6</v>
      </c>
      <c r="Q119" s="67">
        <f t="shared" si="153"/>
        <v>7</v>
      </c>
      <c r="R119" s="67">
        <f t="shared" si="153"/>
        <v>8</v>
      </c>
      <c r="S119" s="67">
        <f t="shared" si="153"/>
        <v>9</v>
      </c>
      <c r="T119" s="67">
        <f t="shared" si="153"/>
        <v>10</v>
      </c>
      <c r="U119" s="67"/>
    </row>
    <row r="120" spans="1:21" s="99" customFormat="1" ht="16" customHeight="1" x14ac:dyDescent="0.2">
      <c r="B120" s="64" t="s">
        <v>90</v>
      </c>
      <c r="C120" s="64"/>
      <c r="D120" s="64"/>
      <c r="E120" s="67"/>
      <c r="F120" s="67"/>
      <c r="G120" s="67"/>
      <c r="H120" s="67"/>
      <c r="I120" s="67"/>
      <c r="J120" s="67"/>
      <c r="K120" s="100">
        <v>45192</v>
      </c>
      <c r="L120" s="100">
        <f>EDATE(K120,12)</f>
        <v>45558</v>
      </c>
      <c r="M120" s="100">
        <f t="shared" ref="M120:T120" si="154">EDATE(L120,12)</f>
        <v>45923</v>
      </c>
      <c r="N120" s="100">
        <f t="shared" si="154"/>
        <v>46288</v>
      </c>
      <c r="O120" s="100">
        <f t="shared" si="154"/>
        <v>46653</v>
      </c>
      <c r="P120" s="100">
        <f t="shared" si="154"/>
        <v>47019</v>
      </c>
      <c r="Q120" s="100">
        <f t="shared" si="154"/>
        <v>47384</v>
      </c>
      <c r="R120" s="100">
        <f t="shared" si="154"/>
        <v>47749</v>
      </c>
      <c r="S120" s="100">
        <f t="shared" si="154"/>
        <v>48114</v>
      </c>
      <c r="T120" s="100">
        <f t="shared" si="154"/>
        <v>48480</v>
      </c>
      <c r="U120" s="67"/>
    </row>
    <row r="121" spans="1:21" ht="16" customHeight="1" x14ac:dyDescent="0.2">
      <c r="B121" s="5" t="s">
        <v>156</v>
      </c>
      <c r="E121" s="13"/>
      <c r="F121" s="13"/>
      <c r="G121" s="13"/>
      <c r="H121" s="13"/>
      <c r="I121" s="13"/>
      <c r="J121" s="79"/>
      <c r="K121" s="40">
        <f ca="1">$K$118*K115+$L$118*L115</f>
        <v>12076.637856540026</v>
      </c>
      <c r="L121" s="40">
        <f t="shared" ref="L121:S121" ca="1" si="155">$K$118*L115+$L$118*M115</f>
        <v>50462.112061803309</v>
      </c>
      <c r="M121" s="40">
        <f t="shared" ca="1" si="155"/>
        <v>60059.335930121357</v>
      </c>
      <c r="N121" s="40">
        <f t="shared" ca="1" si="155"/>
        <v>63333.808060557465</v>
      </c>
      <c r="O121" s="40">
        <f t="shared" ca="1" si="155"/>
        <v>69227.324144029379</v>
      </c>
      <c r="P121" s="40">
        <f t="shared" ca="1" si="155"/>
        <v>73732.967637608774</v>
      </c>
      <c r="Q121" s="40">
        <f t="shared" ca="1" si="155"/>
        <v>77971.882576704695</v>
      </c>
      <c r="R121" s="40">
        <f t="shared" ca="1" si="155"/>
        <v>83284.728964595357</v>
      </c>
      <c r="S121" s="40">
        <f t="shared" ca="1" si="155"/>
        <v>89315.950405746233</v>
      </c>
      <c r="T121" s="40">
        <f ca="1">$K$118*T115+$L$118*U115</f>
        <v>94982.832903211398</v>
      </c>
      <c r="U121"/>
    </row>
    <row r="122" spans="1:21" s="10" customFormat="1" ht="16" customHeight="1" x14ac:dyDescent="0.2">
      <c r="B122" s="10" t="s">
        <v>5</v>
      </c>
      <c r="J122" s="96"/>
      <c r="L122" s="12">
        <f ca="1">L121/K121-1</f>
        <v>3.1784901279022684</v>
      </c>
      <c r="M122" s="12">
        <f t="shared" ref="M122:T122" ca="1" si="156">M121/L121-1</f>
        <v>0.19018672576692541</v>
      </c>
      <c r="N122" s="12">
        <f t="shared" ca="1" si="156"/>
        <v>5.4520618313961045E-2</v>
      </c>
      <c r="O122" s="12">
        <f t="shared" ca="1" si="156"/>
        <v>9.3054819597090166E-2</v>
      </c>
      <c r="P122" s="12">
        <f t="shared" ca="1" si="156"/>
        <v>6.5084755900795432E-2</v>
      </c>
      <c r="Q122" s="12">
        <f t="shared" ca="1" si="156"/>
        <v>5.7490089913779574E-2</v>
      </c>
      <c r="R122" s="12">
        <f t="shared" ca="1" si="156"/>
        <v>6.8137977592937604E-2</v>
      </c>
      <c r="S122" s="12">
        <f t="shared" ca="1" si="156"/>
        <v>7.2416894623200001E-2</v>
      </c>
      <c r="T122" s="12">
        <f t="shared" ca="1" si="156"/>
        <v>6.3447597788766075E-2</v>
      </c>
    </row>
    <row r="123" spans="1:21" ht="16" customHeight="1" x14ac:dyDescent="0.2">
      <c r="B123" s="35" t="s">
        <v>36</v>
      </c>
      <c r="C123" s="35"/>
      <c r="D123" s="35"/>
      <c r="E123" s="35"/>
      <c r="F123" s="35"/>
      <c r="G123" s="35"/>
      <c r="H123" s="35"/>
      <c r="I123" s="35"/>
      <c r="J123" s="81"/>
      <c r="K123" s="35"/>
      <c r="L123" s="35"/>
      <c r="M123" s="35"/>
      <c r="N123" s="35"/>
      <c r="O123" s="35"/>
      <c r="P123" s="35"/>
      <c r="Q123" s="35"/>
      <c r="R123" s="35"/>
      <c r="S123" s="35"/>
      <c r="T123" s="36">
        <f ca="1">T121*(1+D27)/(T124-D27)</f>
        <v>2918117.1167157185</v>
      </c>
    </row>
    <row r="124" spans="1:21" ht="16" customHeight="1" x14ac:dyDescent="0.2">
      <c r="B124" s="5" t="s">
        <v>16</v>
      </c>
      <c r="J124" s="77"/>
      <c r="K124" s="55">
        <f>D26</f>
        <v>8.352583668760219E-2</v>
      </c>
      <c r="L124" s="86">
        <f>K124-($K$124-$T$124)/($T$119-$K$119)</f>
        <v>8.1303614465379967E-2</v>
      </c>
      <c r="M124" s="86">
        <f>L124-($K$124-$T$124)/($T$119-$K$119)</f>
        <v>7.9081392243157744E-2</v>
      </c>
      <c r="N124" s="86">
        <f>M124-($K$124-$T$124)/($T$119-$K$119)</f>
        <v>7.6859170020935522E-2</v>
      </c>
      <c r="O124" s="86">
        <f>N124-($K$124-$T$124)/($T$119-$K$119)</f>
        <v>7.4636947798713299E-2</v>
      </c>
      <c r="P124" s="86">
        <f>O124-($K$124-$T$124)/($T$119-$K$119)</f>
        <v>7.2414725576491076E-2</v>
      </c>
      <c r="Q124" s="86">
        <f>P124-($K$124-$T$124)/($T$119-$K$119)</f>
        <v>7.0192503354268854E-2</v>
      </c>
      <c r="R124" s="86">
        <f>Q124-($K$124-$T$124)/($T$119-$K$119)</f>
        <v>6.7970281132046631E-2</v>
      </c>
      <c r="S124" s="86">
        <f>R124-($K$124-$T$124)/($T$119-$K$119)</f>
        <v>6.5748058909824408E-2</v>
      </c>
      <c r="T124" s="86">
        <f>K124-2%</f>
        <v>6.3525836687602186E-2</v>
      </c>
    </row>
    <row r="125" spans="1:21" ht="16" customHeight="1" x14ac:dyDescent="0.2">
      <c r="B125" s="5" t="s">
        <v>49</v>
      </c>
      <c r="J125" s="77"/>
      <c r="K125" s="54">
        <f>1/(1+K124)</f>
        <v>0.9229129256917904</v>
      </c>
      <c r="L125" s="54">
        <f>K125*(1/(1+L124))</f>
        <v>0.85351876507700253</v>
      </c>
      <c r="M125" s="54">
        <f t="shared" ref="M125:T125" si="157">L125*(1/(1+M124))</f>
        <v>0.79096792068922317</v>
      </c>
      <c r="N125" s="54">
        <f t="shared" si="157"/>
        <v>0.73451379967711627</v>
      </c>
      <c r="O125" s="54">
        <f t="shared" si="157"/>
        <v>0.68349948434370755</v>
      </c>
      <c r="P125" s="54">
        <f t="shared" si="157"/>
        <v>0.63734623186592587</v>
      </c>
      <c r="Q125" s="54">
        <f t="shared" si="157"/>
        <v>0.59554353994100373</v>
      </c>
      <c r="R125" s="54">
        <f t="shared" si="157"/>
        <v>0.55764055466948825</v>
      </c>
      <c r="S125" s="54">
        <f t="shared" si="157"/>
        <v>0.52323863037565388</v>
      </c>
      <c r="T125" s="54">
        <f t="shared" si="157"/>
        <v>0.49198487928163881</v>
      </c>
    </row>
    <row r="126" spans="1:21" ht="16" customHeight="1" x14ac:dyDescent="0.2">
      <c r="J126" s="77"/>
    </row>
    <row r="127" spans="1:21" ht="16" customHeight="1" x14ac:dyDescent="0.2">
      <c r="B127" s="29" t="s">
        <v>50</v>
      </c>
      <c r="C127" s="29"/>
      <c r="D127" s="29"/>
      <c r="E127" s="29"/>
      <c r="F127" s="29"/>
      <c r="G127" s="29"/>
      <c r="H127" s="29"/>
      <c r="I127" s="29"/>
      <c r="J127" s="82"/>
      <c r="K127" s="30">
        <f ca="1">K125*K121</f>
        <v>11145.685176699588</v>
      </c>
      <c r="L127" s="30">
        <f ca="1">L125*L121</f>
        <v>43070.359570167675</v>
      </c>
      <c r="M127" s="30">
        <f ca="1">M125*M121</f>
        <v>47505.008058623644</v>
      </c>
      <c r="N127" s="30">
        <f ca="1">N125*N121</f>
        <v>46519.556006581239</v>
      </c>
      <c r="O127" s="30">
        <f ca="1">O125*O121</f>
        <v>47316.840354938773</v>
      </c>
      <c r="P127" s="30">
        <f ca="1">P125*P121</f>
        <v>46993.429088122211</v>
      </c>
      <c r="Q127" s="30">
        <f ca="1">Q125*Q121</f>
        <v>46435.650965594985</v>
      </c>
      <c r="R127" s="30">
        <f ca="1">R125*R121</f>
        <v>46442.942455314951</v>
      </c>
      <c r="S127" s="30">
        <f ca="1">S125*S121</f>
        <v>46733.555561002489</v>
      </c>
      <c r="T127" s="30">
        <f ca="1">T125*T121</f>
        <v>46730.117579714533</v>
      </c>
    </row>
    <row r="128" spans="1:21" ht="16" customHeight="1" x14ac:dyDescent="0.2">
      <c r="B128" s="5" t="s">
        <v>51</v>
      </c>
      <c r="T128" s="11">
        <f ca="1">T123*T125</f>
        <v>1435669.4973970668</v>
      </c>
    </row>
    <row r="130" spans="1:21" ht="16" customHeight="1" x14ac:dyDescent="0.2">
      <c r="B130" s="18" t="s">
        <v>52</v>
      </c>
      <c r="C130" s="19"/>
      <c r="D130" s="20">
        <f ca="1">SUM(K127:T128)</f>
        <v>1864562.642213827</v>
      </c>
    </row>
    <row r="132" spans="1:21" ht="16" customHeight="1" x14ac:dyDescent="0.2">
      <c r="B132" s="5" t="s">
        <v>53</v>
      </c>
      <c r="D132" s="87">
        <f>T9</f>
        <v>3757</v>
      </c>
    </row>
    <row r="133" spans="1:21" ht="16" customHeight="1" x14ac:dyDescent="0.2">
      <c r="B133" s="5" t="s">
        <v>82</v>
      </c>
      <c r="D133" s="87">
        <f>T10</f>
        <v>0</v>
      </c>
    </row>
    <row r="134" spans="1:21" ht="16" customHeight="1" x14ac:dyDescent="0.2">
      <c r="B134" s="5" t="s">
        <v>54</v>
      </c>
      <c r="D134" s="87">
        <f>T11</f>
        <v>116496</v>
      </c>
    </row>
    <row r="135" spans="1:21" ht="16" customHeight="1" x14ac:dyDescent="0.2">
      <c r="B135" s="5" t="s">
        <v>159</v>
      </c>
      <c r="D135" s="87">
        <f>T12</f>
        <v>81375</v>
      </c>
      <c r="H135" s="5" t="s">
        <v>94</v>
      </c>
    </row>
    <row r="136" spans="1:21" ht="16" customHeight="1" x14ac:dyDescent="0.2">
      <c r="B136" s="18" t="s">
        <v>41</v>
      </c>
      <c r="C136" s="19"/>
      <c r="D136" s="56">
        <f ca="1">D130+D132+D133-D134-D135</f>
        <v>1670448.642213827</v>
      </c>
    </row>
    <row r="138" spans="1:21" ht="16" customHeight="1" x14ac:dyDescent="0.2">
      <c r="B138" s="35" t="s">
        <v>55</v>
      </c>
      <c r="C138" s="35"/>
      <c r="D138" s="93">
        <f>T16</f>
        <v>4400.8384619999997</v>
      </c>
    </row>
    <row r="139" spans="1:21" ht="16" customHeight="1" x14ac:dyDescent="0.2">
      <c r="B139" s="8" t="s">
        <v>56</v>
      </c>
      <c r="D139" s="33">
        <f ca="1">D136/D138</f>
        <v>379.57508702891062</v>
      </c>
    </row>
    <row r="141" spans="1:21" ht="16" customHeight="1" x14ac:dyDescent="0.2">
      <c r="A141" s="5" t="s">
        <v>20</v>
      </c>
      <c r="B141" s="64" t="s">
        <v>61</v>
      </c>
      <c r="C141" s="7"/>
      <c r="D141" s="7"/>
      <c r="E141" s="34"/>
      <c r="F141" s="34"/>
      <c r="G141" s="34"/>
      <c r="H141" s="34"/>
      <c r="I141" s="34"/>
      <c r="J141" s="34"/>
      <c r="K141" s="34"/>
      <c r="L141" s="34"/>
      <c r="M141" s="34"/>
      <c r="N141" s="34"/>
      <c r="O141" s="34"/>
      <c r="P141" s="34"/>
      <c r="Q141" s="34"/>
      <c r="R141" s="34"/>
      <c r="S141" s="34"/>
      <c r="T141" s="34"/>
      <c r="U141" s="34"/>
    </row>
    <row r="143" spans="1:21" ht="16" customHeight="1" x14ac:dyDescent="0.2">
      <c r="B143" s="5" t="s">
        <v>37</v>
      </c>
      <c r="D143" s="110">
        <f>D27</f>
        <v>0.03</v>
      </c>
      <c r="F143" s="5" t="s">
        <v>63</v>
      </c>
      <c r="H143" s="162">
        <v>5.0000000000000001E-3</v>
      </c>
      <c r="J143"/>
      <c r="K143"/>
      <c r="L143"/>
      <c r="M143"/>
      <c r="N143"/>
      <c r="O143"/>
      <c r="P143"/>
      <c r="Q143"/>
      <c r="R143"/>
    </row>
    <row r="144" spans="1:21" ht="16" customHeight="1" x14ac:dyDescent="0.2">
      <c r="B144" s="5" t="s">
        <v>16</v>
      </c>
      <c r="D144" s="110">
        <f>D26</f>
        <v>8.352583668760219E-2</v>
      </c>
      <c r="F144" s="5" t="s">
        <v>64</v>
      </c>
      <c r="H144" s="162">
        <v>5.0000000000000001E-3</v>
      </c>
      <c r="J144"/>
      <c r="K144"/>
      <c r="L144"/>
      <c r="M144"/>
      <c r="N144"/>
      <c r="O144"/>
      <c r="P144"/>
      <c r="Q144"/>
      <c r="R144"/>
    </row>
    <row r="145" spans="1:21" ht="16" customHeight="1" x14ac:dyDescent="0.2">
      <c r="J145"/>
      <c r="K145"/>
      <c r="L145"/>
      <c r="M145"/>
      <c r="N145"/>
      <c r="O145"/>
      <c r="P145"/>
      <c r="Q145"/>
      <c r="R145"/>
    </row>
    <row r="146" spans="1:21" ht="16" customHeight="1" x14ac:dyDescent="0.2">
      <c r="D146" s="111" t="s">
        <v>37</v>
      </c>
      <c r="E146" s="111"/>
      <c r="F146" s="111"/>
      <c r="G146" s="111"/>
      <c r="H146" s="111"/>
      <c r="J146"/>
      <c r="K146"/>
      <c r="L146" s="160"/>
      <c r="M146" s="160"/>
      <c r="N146" s="160"/>
      <c r="O146" s="160"/>
      <c r="P146" s="160"/>
      <c r="Q146"/>
      <c r="R146"/>
    </row>
    <row r="147" spans="1:21" ht="16" customHeight="1" x14ac:dyDescent="0.2">
      <c r="D147" s="111"/>
      <c r="E147" s="111"/>
      <c r="F147" s="111"/>
      <c r="G147" s="111"/>
      <c r="H147" s="111"/>
      <c r="J147"/>
      <c r="K147"/>
      <c r="L147" s="160"/>
      <c r="M147" s="160"/>
      <c r="N147" s="160"/>
      <c r="O147" s="160"/>
      <c r="P147" s="160"/>
      <c r="Q147"/>
      <c r="R147"/>
    </row>
    <row r="148" spans="1:21" ht="16" customHeight="1" x14ac:dyDescent="0.2">
      <c r="C148" s="159">
        <f ca="1">D139</f>
        <v>379.57508702891062</v>
      </c>
      <c r="D148" s="62">
        <f>E148-H143</f>
        <v>1.9999999999999997E-2</v>
      </c>
      <c r="E148" s="62">
        <f>F148-H143</f>
        <v>2.4999999999999998E-2</v>
      </c>
      <c r="F148" s="108">
        <f>CHOOSE(D23,H23,L23,P23,H27)</f>
        <v>0.03</v>
      </c>
      <c r="G148" s="62">
        <f>F148+H143</f>
        <v>3.4999999999999996E-2</v>
      </c>
      <c r="H148" s="62">
        <f>G148+H143</f>
        <v>3.9999999999999994E-2</v>
      </c>
      <c r="J148"/>
      <c r="K148"/>
      <c r="L148"/>
      <c r="M148"/>
      <c r="N148"/>
      <c r="O148"/>
      <c r="P148"/>
      <c r="Q148"/>
      <c r="R148"/>
    </row>
    <row r="149" spans="1:21" ht="16" customHeight="1" x14ac:dyDescent="0.2">
      <c r="B149" s="111" t="s">
        <v>16</v>
      </c>
      <c r="C149" s="63">
        <f>C150-H144</f>
        <v>7.3525836687602181E-2</v>
      </c>
      <c r="D149" s="54">
        <f t="dataTable" ref="D149:H153" dt2D="1" dtr="1" r1="D27" r2="D26" ca="1"/>
        <v>413.64735167598769</v>
      </c>
      <c r="E149" s="54">
        <v>477.87242926564141</v>
      </c>
      <c r="F149" s="54">
        <v>569.39731278462034</v>
      </c>
      <c r="G149" s="54">
        <v>710.32610990941703</v>
      </c>
      <c r="H149" s="54">
        <v>955.44720240176912</v>
      </c>
      <c r="J149" s="160"/>
      <c r="K149"/>
      <c r="L149"/>
      <c r="M149"/>
      <c r="N149"/>
      <c r="O149"/>
      <c r="P149"/>
      <c r="Q149"/>
      <c r="R149"/>
    </row>
    <row r="150" spans="1:21" ht="16" customHeight="1" x14ac:dyDescent="0.2">
      <c r="B150" s="111"/>
      <c r="C150" s="63">
        <f>C151-H144</f>
        <v>7.8525836687602185E-2</v>
      </c>
      <c r="D150" s="54">
        <v>350.63579885804853</v>
      </c>
      <c r="E150" s="68">
        <v>396.22654108632452</v>
      </c>
      <c r="F150" s="68">
        <v>457.79954624611713</v>
      </c>
      <c r="G150" s="68">
        <v>545.54505526939204</v>
      </c>
      <c r="H150" s="54">
        <v>680.65442186245537</v>
      </c>
      <c r="J150" s="160"/>
      <c r="K150"/>
      <c r="L150"/>
      <c r="M150"/>
      <c r="N150"/>
      <c r="O150"/>
      <c r="P150"/>
      <c r="Q150"/>
      <c r="R150"/>
    </row>
    <row r="151" spans="1:21" ht="16" customHeight="1" x14ac:dyDescent="0.2">
      <c r="B151" s="111"/>
      <c r="C151" s="63">
        <f>CHOOSE(D22,H22,L22,P22,H26)</f>
        <v>8.352583668760219E-2</v>
      </c>
      <c r="D151" s="54">
        <v>302.18546283243006</v>
      </c>
      <c r="E151" s="68">
        <v>335.85834478908657</v>
      </c>
      <c r="F151" s="69">
        <v>379.57508702891062</v>
      </c>
      <c r="G151" s="68">
        <v>438.61714390142453</v>
      </c>
      <c r="H151" s="54">
        <v>522.75588815493552</v>
      </c>
      <c r="J151" s="160"/>
      <c r="K151"/>
      <c r="L151"/>
      <c r="M151"/>
      <c r="N151"/>
      <c r="O151"/>
      <c r="P151"/>
      <c r="Q151"/>
      <c r="R151"/>
    </row>
    <row r="152" spans="1:21" ht="16" customHeight="1" x14ac:dyDescent="0.2">
      <c r="B152" s="111"/>
      <c r="C152" s="63">
        <f>C151+H144</f>
        <v>8.8525836687602194E-2</v>
      </c>
      <c r="D152" s="54">
        <v>263.79237717424064</v>
      </c>
      <c r="E152" s="68">
        <v>289.43220388161905</v>
      </c>
      <c r="F152" s="68">
        <v>321.72725962796329</v>
      </c>
      <c r="G152" s="68">
        <v>363.65520121315268</v>
      </c>
      <c r="H152" s="54">
        <v>420.28137655897086</v>
      </c>
      <c r="J152" s="160"/>
      <c r="K152"/>
      <c r="L152"/>
      <c r="M152"/>
      <c r="N152"/>
      <c r="O152"/>
      <c r="P152"/>
      <c r="Q152"/>
      <c r="R152"/>
    </row>
    <row r="153" spans="1:21" ht="16" customHeight="1" x14ac:dyDescent="0.2">
      <c r="B153" s="111"/>
      <c r="C153" s="63">
        <f>C152+H144</f>
        <v>9.3525836687602198E-2</v>
      </c>
      <c r="D153" s="54">
        <v>232.63560980803567</v>
      </c>
      <c r="E153" s="54">
        <v>252.63599408566483</v>
      </c>
      <c r="F153" s="54">
        <v>277.23143863087222</v>
      </c>
      <c r="G153" s="54">
        <v>308.21102604224131</v>
      </c>
      <c r="H153" s="54">
        <v>348.43112479417465</v>
      </c>
      <c r="J153" s="160"/>
      <c r="K153"/>
      <c r="L153"/>
      <c r="M153"/>
      <c r="N153"/>
      <c r="O153"/>
      <c r="P153"/>
      <c r="Q153"/>
      <c r="R153"/>
    </row>
    <row r="155" spans="1:21" ht="16" customHeight="1" x14ac:dyDescent="0.2">
      <c r="A155" s="5" t="s">
        <v>20</v>
      </c>
      <c r="B155" s="64" t="s">
        <v>92</v>
      </c>
      <c r="C155" s="7"/>
      <c r="D155" s="7"/>
      <c r="E155" s="70">
        <v>2016</v>
      </c>
      <c r="F155" s="70">
        <f>E155+1</f>
        <v>2017</v>
      </c>
      <c r="G155" s="70">
        <f t="shared" ref="G155:J155" si="158">F155+1</f>
        <v>2018</v>
      </c>
      <c r="H155" s="70">
        <f t="shared" si="158"/>
        <v>2019</v>
      </c>
      <c r="I155" s="70">
        <f>H155+1</f>
        <v>2020</v>
      </c>
      <c r="J155" s="70">
        <f t="shared" si="158"/>
        <v>2021</v>
      </c>
      <c r="K155" s="83">
        <v>2022</v>
      </c>
      <c r="L155" s="83">
        <f>K155+1</f>
        <v>2023</v>
      </c>
      <c r="M155" s="83">
        <f>L155+1</f>
        <v>2024</v>
      </c>
      <c r="N155" s="83">
        <f>M155+1</f>
        <v>2025</v>
      </c>
      <c r="O155" s="83">
        <f>N155+1</f>
        <v>2026</v>
      </c>
      <c r="P155" s="83">
        <f>O155+1</f>
        <v>2027</v>
      </c>
      <c r="Q155" s="83">
        <f>P155+1</f>
        <v>2028</v>
      </c>
      <c r="R155" s="83">
        <f>Q155+1</f>
        <v>2029</v>
      </c>
      <c r="S155" s="83">
        <f>R155+1</f>
        <v>2030</v>
      </c>
      <c r="T155" s="83">
        <f>S155+1</f>
        <v>2031</v>
      </c>
      <c r="U155" s="83">
        <f>T155+1</f>
        <v>2032</v>
      </c>
    </row>
    <row r="156" spans="1:21" ht="16" customHeight="1" x14ac:dyDescent="0.2">
      <c r="B156" s="64" t="s">
        <v>90</v>
      </c>
      <c r="C156" s="64"/>
      <c r="D156" s="64"/>
      <c r="E156" s="100">
        <f t="shared" ref="E156:I156" si="159">EDATE(F156,-12)</f>
        <v>42735</v>
      </c>
      <c r="F156" s="100">
        <f t="shared" si="159"/>
        <v>43100</v>
      </c>
      <c r="G156" s="100">
        <f t="shared" si="159"/>
        <v>43465</v>
      </c>
      <c r="H156" s="100">
        <f t="shared" si="159"/>
        <v>43830</v>
      </c>
      <c r="I156" s="100">
        <f t="shared" si="159"/>
        <v>44196</v>
      </c>
      <c r="J156" s="100">
        <f>EDATE(K156,-12)</f>
        <v>44561</v>
      </c>
      <c r="K156" s="100">
        <v>44926</v>
      </c>
      <c r="L156" s="100">
        <f>EDATE(K156,12)</f>
        <v>45291</v>
      </c>
      <c r="M156" s="100">
        <f>EDATE(L156,12)</f>
        <v>45657</v>
      </c>
      <c r="N156" s="100">
        <f>EDATE(M156,12)</f>
        <v>46022</v>
      </c>
      <c r="O156" s="100">
        <f>EDATE(N156,12)</f>
        <v>46387</v>
      </c>
      <c r="P156" s="100">
        <f>EDATE(O156,12)</f>
        <v>46752</v>
      </c>
      <c r="Q156" s="100">
        <f>EDATE(P156,12)</f>
        <v>47118</v>
      </c>
      <c r="R156" s="100">
        <f>EDATE(Q156,12)</f>
        <v>47483</v>
      </c>
      <c r="S156" s="100">
        <f>EDATE(R156,12)</f>
        <v>47848</v>
      </c>
      <c r="T156" s="100">
        <f>EDATE(S156,12)</f>
        <v>48213</v>
      </c>
      <c r="U156" s="100">
        <f>EDATE(T156,12)</f>
        <v>48579</v>
      </c>
    </row>
    <row r="157" spans="1:21" ht="16" customHeight="1" x14ac:dyDescent="0.2">
      <c r="B157" s="5" t="s">
        <v>9</v>
      </c>
      <c r="E157" s="11">
        <f>E71</f>
        <v>215114</v>
      </c>
      <c r="F157" s="11">
        <f>F71</f>
        <v>232911</v>
      </c>
      <c r="G157" s="11">
        <f>G71</f>
        <v>247837</v>
      </c>
      <c r="H157" s="11">
        <f>H71</f>
        <v>254616</v>
      </c>
      <c r="I157" s="11">
        <f>I71</f>
        <v>245510</v>
      </c>
      <c r="J157" s="75">
        <f>J71</f>
        <v>276094</v>
      </c>
      <c r="K157" s="11">
        <f ca="1">K71</f>
        <v>302768.30621877935</v>
      </c>
      <c r="L157" s="11">
        <f ca="1">L71</f>
        <v>322449.33659861231</v>
      </c>
      <c r="M157" s="11">
        <f ca="1">M71</f>
        <v>340574.01155306114</v>
      </c>
      <c r="N157" s="11">
        <f ca="1">N71</f>
        <v>358848.30646573292</v>
      </c>
      <c r="O157" s="11">
        <f ca="1">O71</f>
        <v>377009.79008592869</v>
      </c>
      <c r="P157" s="11">
        <f ca="1">P71</f>
        <v>395133.28982737451</v>
      </c>
      <c r="Q157" s="11">
        <f ca="1">Q71</f>
        <v>413117.18177279504</v>
      </c>
      <c r="R157" s="11">
        <f ca="1">R71</f>
        <v>430857.94537050911</v>
      </c>
      <c r="S157" s="11">
        <f ca="1">S71</f>
        <v>448252.66238662071</v>
      </c>
      <c r="T157" s="11">
        <f ca="1">T71</f>
        <v>465201.78397165635</v>
      </c>
      <c r="U157" s="11">
        <f ca="1">U71</f>
        <v>481612.053704436</v>
      </c>
    </row>
    <row r="158" spans="1:21" s="10" customFormat="1" ht="16" customHeight="1" x14ac:dyDescent="0.2">
      <c r="B158" s="10" t="s">
        <v>5</v>
      </c>
      <c r="F158" s="28">
        <f>F72</f>
        <v>8.2732876521286469E-2</v>
      </c>
      <c r="G158" s="28">
        <f>G72</f>
        <v>6.4084564490298979E-2</v>
      </c>
      <c r="H158" s="28">
        <f>H72</f>
        <v>2.735265517255292E-2</v>
      </c>
      <c r="I158" s="28">
        <f>I72</f>
        <v>-3.5763659785716495E-2</v>
      </c>
      <c r="J158" s="78">
        <f>J72</f>
        <v>0.12457333713494356</v>
      </c>
      <c r="K158" s="28">
        <f ca="1">K72</f>
        <v>9.6613132551882197E-2</v>
      </c>
      <c r="L158" s="28">
        <f ca="1">L72</f>
        <v>6.500360168349828E-2</v>
      </c>
      <c r="M158" s="28">
        <f ca="1">M72</f>
        <v>5.6209372751821141E-2</v>
      </c>
      <c r="N158" s="28">
        <f ca="1">N72</f>
        <v>5.3657338178384917E-2</v>
      </c>
      <c r="O158" s="28">
        <f ca="1">O72</f>
        <v>5.0610476050637399E-2</v>
      </c>
      <c r="P158" s="28">
        <f ca="1">P72</f>
        <v>4.8071695266361791E-2</v>
      </c>
      <c r="Q158" s="28">
        <f ca="1">Q72</f>
        <v>4.5513482180348008E-2</v>
      </c>
      <c r="R158" s="28">
        <f ca="1">R72</f>
        <v>4.2943659524359967E-2</v>
      </c>
      <c r="S158" s="28">
        <f ca="1">S72</f>
        <v>4.037227861993653E-2</v>
      </c>
      <c r="T158" s="28">
        <f ca="1">T72</f>
        <v>3.7811535786076211E-2</v>
      </c>
      <c r="U158" s="28">
        <f ca="1">U72</f>
        <v>3.5275595017450589E-2</v>
      </c>
    </row>
    <row r="159" spans="1:21" ht="16" customHeight="1" x14ac:dyDescent="0.2">
      <c r="B159" s="5" t="s">
        <v>11</v>
      </c>
      <c r="E159" s="11">
        <f>E86+E74</f>
        <v>35406</v>
      </c>
      <c r="F159" s="11">
        <f>F86+F74</f>
        <v>23779</v>
      </c>
      <c r="G159" s="11">
        <f>G86+G74</f>
        <v>41244</v>
      </c>
      <c r="H159" s="11">
        <f>H86+H74</f>
        <v>41717</v>
      </c>
      <c r="I159" s="11">
        <f>I86+I74</f>
        <v>38294</v>
      </c>
      <c r="J159" s="75">
        <f>J86+J74</f>
        <v>45787</v>
      </c>
      <c r="K159" s="11">
        <f ca="1">K86+K74</f>
        <v>53058.51502964674</v>
      </c>
      <c r="L159" s="11">
        <f ca="1">L86+L74</f>
        <v>52956.113108769074</v>
      </c>
      <c r="M159" s="11">
        <f ca="1">M86+M74</f>
        <v>55994.5791787333</v>
      </c>
      <c r="N159" s="11">
        <f ca="1">N86+N74</f>
        <v>59033.525410309885</v>
      </c>
      <c r="O159" s="11">
        <f ca="1">O86+O74</f>
        <v>62030.955031576057</v>
      </c>
      <c r="P159" s="11">
        <f ca="1">P86+P74</f>
        <v>64787.421779171003</v>
      </c>
      <c r="Q159" s="11">
        <f ca="1">Q86+Q74</f>
        <v>67713.954838815538</v>
      </c>
      <c r="R159" s="11">
        <f ca="1">R86+R74</f>
        <v>70772.640001923093</v>
      </c>
      <c r="S159" s="11">
        <f ca="1">S86+S74</f>
        <v>73632.059169945656</v>
      </c>
      <c r="T159" s="11">
        <f ca="1">T86+T74</f>
        <v>76404.746118119976</v>
      </c>
      <c r="U159" s="11">
        <f ca="1">U86+U74</f>
        <v>79078.433672808795</v>
      </c>
    </row>
    <row r="160" spans="1:21" s="10" customFormat="1" ht="16" customHeight="1" x14ac:dyDescent="0.2">
      <c r="B160" s="10" t="s">
        <v>13</v>
      </c>
      <c r="E160" s="12">
        <f>E159/E157</f>
        <v>0.16459179783742572</v>
      </c>
      <c r="F160" s="12">
        <f>F159/F157</f>
        <v>0.10209479157274667</v>
      </c>
      <c r="G160" s="12">
        <f t="shared" ref="G160:J160" si="160">G159/G157</f>
        <v>0.16641582975907551</v>
      </c>
      <c r="H160" s="12">
        <f t="shared" si="160"/>
        <v>0.16384280642222013</v>
      </c>
      <c r="I160" s="12">
        <f t="shared" si="160"/>
        <v>0.1559773532646328</v>
      </c>
      <c r="J160" s="76">
        <f t="shared" si="160"/>
        <v>0.16583844632625119</v>
      </c>
      <c r="K160" s="12">
        <f ca="1">K159/K157</f>
        <v>0.17524461424739363</v>
      </c>
      <c r="L160" s="12">
        <f ca="1">L159/L157</f>
        <v>0.16423080185985711</v>
      </c>
      <c r="M160" s="12">
        <f ca="1">M159/M157</f>
        <v>0.16441236641454479</v>
      </c>
      <c r="N160" s="12">
        <f ca="1">N159/N157</f>
        <v>0.16450830154871332</v>
      </c>
      <c r="O160" s="12">
        <f ca="1">O159/O157</f>
        <v>0.16453406957267042</v>
      </c>
      <c r="P160" s="12">
        <f ca="1">P159/P157</f>
        <v>0.16396346105759724</v>
      </c>
      <c r="Q160" s="12">
        <f ca="1">Q159/Q157</f>
        <v>0.16390980047897563</v>
      </c>
      <c r="R160" s="12">
        <f ca="1">R159/R157</f>
        <v>0.16425980015539307</v>
      </c>
      <c r="S160" s="12">
        <f ca="1">S159/S157</f>
        <v>0.1642646332046491</v>
      </c>
      <c r="T160" s="12">
        <f ca="1">T159/T157</f>
        <v>0.16424001100299981</v>
      </c>
      <c r="U160" s="12">
        <f ca="1">U159/U157</f>
        <v>0.16419529591204754</v>
      </c>
    </row>
    <row r="161" spans="2:21" ht="16" customHeight="1" x14ac:dyDescent="0.2">
      <c r="B161" s="5" t="s">
        <v>31</v>
      </c>
      <c r="E161" s="11">
        <f>E86</f>
        <v>7411</v>
      </c>
      <c r="F161" s="11">
        <f>F86</f>
        <v>7719</v>
      </c>
      <c r="G161" s="11">
        <f>G86</f>
        <v>8386</v>
      </c>
      <c r="H161" s="11">
        <f>H86</f>
        <v>8747</v>
      </c>
      <c r="I161" s="11">
        <f>I86</f>
        <v>9319</v>
      </c>
      <c r="J161" s="75">
        <f>J86</f>
        <v>9466</v>
      </c>
      <c r="K161" s="11">
        <f>K86</f>
        <v>9631</v>
      </c>
      <c r="L161" s="11">
        <f ca="1">L86</f>
        <v>11037.69935094947</v>
      </c>
      <c r="M161" s="11">
        <f ca="1">M86</f>
        <v>11719.957676835349</v>
      </c>
      <c r="N161" s="11">
        <f ca="1">N86</f>
        <v>12383.245569764596</v>
      </c>
      <c r="O161" s="11">
        <f ca="1">O86</f>
        <v>13019.682320405329</v>
      </c>
      <c r="P161" s="11">
        <f ca="1">P86</f>
        <v>13420.094101612318</v>
      </c>
      <c r="Q161" s="11">
        <f ca="1">Q86</f>
        <v>14008.721208352183</v>
      </c>
      <c r="R161" s="11">
        <f ca="1">R86</f>
        <v>14761.107103756909</v>
      </c>
      <c r="S161" s="11">
        <f ca="1">S86</f>
        <v>15359.213059684953</v>
      </c>
      <c r="T161" s="11">
        <f ca="1">T86</f>
        <v>15928.514201804644</v>
      </c>
      <c r="U161" s="11">
        <f ca="1">U86</f>
        <v>16468.866691232113</v>
      </c>
    </row>
    <row r="162" spans="2:21" s="10" customFormat="1" ht="16" customHeight="1" x14ac:dyDescent="0.2">
      <c r="B162" s="10" t="s">
        <v>34</v>
      </c>
      <c r="E162" s="28">
        <f>E88</f>
        <v>0.57210128145746486</v>
      </c>
      <c r="F162" s="28">
        <f>F88</f>
        <v>0.65929279125384355</v>
      </c>
      <c r="G162" s="28">
        <f>G88</f>
        <v>0.57687280731925428</v>
      </c>
      <c r="H162" s="28">
        <f>H88</f>
        <v>0.54740597033606608</v>
      </c>
      <c r="I162" s="28">
        <f>I88</f>
        <v>0.71618505994466641</v>
      </c>
      <c r="J162" s="78">
        <f>J88</f>
        <v>0.71301596866526062</v>
      </c>
      <c r="K162" s="28">
        <f>K88</f>
        <v>0.64468839949126444</v>
      </c>
      <c r="L162" s="28">
        <f ca="1">L88</f>
        <v>0.63762879730338617</v>
      </c>
      <c r="M162" s="28">
        <f ca="1">M88</f>
        <v>0.6342833916202949</v>
      </c>
      <c r="N162" s="28">
        <f ca="1">N88</f>
        <v>0.64476989081712055</v>
      </c>
      <c r="O162" s="28">
        <f ca="1">O88</f>
        <v>0.66436137434970133</v>
      </c>
      <c r="P162" s="28">
        <f ca="1">P88</f>
        <v>0.6555259008410762</v>
      </c>
      <c r="Q162" s="28">
        <f ca="1">Q88</f>
        <v>0.64673860203193745</v>
      </c>
      <c r="R162" s="28">
        <f ca="1">R88</f>
        <v>0.64705703231963929</v>
      </c>
      <c r="S162" s="28">
        <f ca="1">S88</f>
        <v>0.64865399699724546</v>
      </c>
      <c r="T162" s="28">
        <f ca="1">T88</f>
        <v>0.65112506975801865</v>
      </c>
      <c r="U162" s="28">
        <f ca="1">U88</f>
        <v>0.65220628954500559</v>
      </c>
    </row>
    <row r="163" spans="2:21" ht="16" customHeight="1" x14ac:dyDescent="0.2">
      <c r="B163" s="5" t="s">
        <v>65</v>
      </c>
      <c r="E163" s="11">
        <f>E74</f>
        <v>27995</v>
      </c>
      <c r="F163" s="11">
        <f>F74</f>
        <v>16060</v>
      </c>
      <c r="G163" s="11">
        <f>G74</f>
        <v>32858</v>
      </c>
      <c r="H163" s="11">
        <f>H74</f>
        <v>32970</v>
      </c>
      <c r="I163" s="11">
        <f>I74</f>
        <v>28975</v>
      </c>
      <c r="J163" s="75">
        <f>J74</f>
        <v>36321</v>
      </c>
      <c r="K163" s="11">
        <f ca="1">K74</f>
        <v>43427.51502964674</v>
      </c>
      <c r="L163" s="11">
        <f ca="1">L74</f>
        <v>41918.413757819602</v>
      </c>
      <c r="M163" s="11">
        <f ca="1">M74</f>
        <v>44274.621501897949</v>
      </c>
      <c r="N163" s="11">
        <f ca="1">N74</f>
        <v>46650.279840545285</v>
      </c>
      <c r="O163" s="11">
        <f ca="1">O74</f>
        <v>49011.272711170728</v>
      </c>
      <c r="P163" s="11">
        <f ca="1">P74</f>
        <v>51367.327677558686</v>
      </c>
      <c r="Q163" s="11">
        <f ca="1">Q74</f>
        <v>53705.233630463357</v>
      </c>
      <c r="R163" s="11">
        <f ca="1">R74</f>
        <v>56011.532898166188</v>
      </c>
      <c r="S163" s="11">
        <f ca="1">S74</f>
        <v>58272.846110260696</v>
      </c>
      <c r="T163" s="11">
        <f ca="1">T74</f>
        <v>60476.23191631533</v>
      </c>
      <c r="U163" s="11">
        <f ca="1">U74</f>
        <v>62609.566981576681</v>
      </c>
    </row>
    <row r="164" spans="2:21" s="10" customFormat="1" ht="16" customHeight="1" x14ac:dyDescent="0.2">
      <c r="B164" s="10" t="s">
        <v>13</v>
      </c>
      <c r="E164" s="12">
        <f>E75</f>
        <v>0.13014029770261351</v>
      </c>
      <c r="F164" s="12">
        <f>F75</f>
        <v>6.8953377041015673E-2</v>
      </c>
      <c r="G164" s="12">
        <f>G75</f>
        <v>0.13257907414954184</v>
      </c>
      <c r="H164" s="12">
        <f>H75</f>
        <v>0.1294891130172495</v>
      </c>
      <c r="I164" s="12">
        <f>I75</f>
        <v>0.11801963260152336</v>
      </c>
      <c r="J164" s="76">
        <f>J75</f>
        <v>0.13155302179692424</v>
      </c>
      <c r="K164" s="12">
        <f ca="1">K75</f>
        <v>0.14343481182692275</v>
      </c>
      <c r="L164" s="12">
        <f ca="1">L75</f>
        <v>0.13</v>
      </c>
      <c r="M164" s="12">
        <f ca="1">M75</f>
        <v>0.13</v>
      </c>
      <c r="N164" s="12">
        <f ca="1">N75</f>
        <v>0.13</v>
      </c>
      <c r="O164" s="12">
        <f ca="1">O75</f>
        <v>0.13</v>
      </c>
      <c r="P164" s="12">
        <f ca="1">P75</f>
        <v>0.13</v>
      </c>
      <c r="Q164" s="12">
        <f ca="1">Q75</f>
        <v>0.13</v>
      </c>
      <c r="R164" s="12">
        <f ca="1">R75</f>
        <v>0.13</v>
      </c>
      <c r="S164" s="12">
        <f ca="1">S75</f>
        <v>0.13</v>
      </c>
      <c r="T164" s="12">
        <f ca="1">T75</f>
        <v>0.13</v>
      </c>
      <c r="U164" s="12">
        <f ca="1">U75</f>
        <v>0.13</v>
      </c>
    </row>
    <row r="165" spans="2:21" ht="16" customHeight="1" x14ac:dyDescent="0.2">
      <c r="B165" s="5" t="s">
        <v>3</v>
      </c>
      <c r="E165" s="11">
        <f>E81</f>
        <v>-321</v>
      </c>
      <c r="F165" s="11">
        <f>F81</f>
        <v>-21515</v>
      </c>
      <c r="G165" s="11">
        <f>G81</f>
        <v>-321</v>
      </c>
      <c r="H165" s="11">
        <f>H81</f>
        <v>20904</v>
      </c>
      <c r="I165" s="11">
        <f>I81</f>
        <v>12440</v>
      </c>
      <c r="J165" s="75">
        <f>J81</f>
        <v>20879</v>
      </c>
      <c r="K165" s="11">
        <f ca="1">K81</f>
        <v>9119.7781562258151</v>
      </c>
      <c r="L165" s="11">
        <f ca="1">L81</f>
        <v>8802.8668891421166</v>
      </c>
      <c r="M165" s="11">
        <f ca="1">M81</f>
        <v>9297.6705153985695</v>
      </c>
      <c r="N165" s="11">
        <f ca="1">N81</f>
        <v>9796.5587665145104</v>
      </c>
      <c r="O165" s="11">
        <f ca="1">O81</f>
        <v>10292.367269345852</v>
      </c>
      <c r="P165" s="11">
        <f ca="1">P81</f>
        <v>10787.138812287323</v>
      </c>
      <c r="Q165" s="11">
        <f ca="1">Q81</f>
        <v>11278.099062397305</v>
      </c>
      <c r="R165" s="11">
        <f ca="1">R81</f>
        <v>11762.421908614899</v>
      </c>
      <c r="S165" s="11">
        <f ca="1">S81</f>
        <v>12237.297683154746</v>
      </c>
      <c r="T165" s="11">
        <f ca="1">T81</f>
        <v>12700.008702426219</v>
      </c>
      <c r="U165" s="11">
        <f ca="1">U81</f>
        <v>13148.009066131102</v>
      </c>
    </row>
    <row r="166" spans="2:21" s="10" customFormat="1" ht="16" customHeight="1" x14ac:dyDescent="0.2">
      <c r="B166" s="10" t="s">
        <v>27</v>
      </c>
      <c r="E166" s="12">
        <f>E82</f>
        <v>-1.1466333273798892E-2</v>
      </c>
      <c r="F166" s="12">
        <f>F82</f>
        <v>-1.3396637608966375</v>
      </c>
      <c r="G166" s="12">
        <f>G82</f>
        <v>-9.7693103658165435E-3</v>
      </c>
      <c r="H166" s="12">
        <f>H82</f>
        <v>0.63403093721565063</v>
      </c>
      <c r="I166" s="12">
        <f>I82</f>
        <v>0.42933563416738568</v>
      </c>
      <c r="J166" s="76">
        <f>J82</f>
        <v>0.57484650753007904</v>
      </c>
      <c r="K166" s="12">
        <f>K82</f>
        <v>0.21</v>
      </c>
      <c r="L166" s="12">
        <f>L82</f>
        <v>0.21</v>
      </c>
      <c r="M166" s="12">
        <f>M82</f>
        <v>0.21</v>
      </c>
      <c r="N166" s="12">
        <f>N82</f>
        <v>0.21</v>
      </c>
      <c r="O166" s="12">
        <f>O82</f>
        <v>0.21</v>
      </c>
      <c r="P166" s="12">
        <f>P82</f>
        <v>0.21</v>
      </c>
      <c r="Q166" s="12">
        <f>Q82</f>
        <v>0.21</v>
      </c>
      <c r="R166" s="12">
        <f>R82</f>
        <v>0.21</v>
      </c>
      <c r="S166" s="12">
        <f>S82</f>
        <v>0.21</v>
      </c>
      <c r="T166" s="12">
        <f>T82</f>
        <v>0.21</v>
      </c>
      <c r="U166" s="12">
        <f>U82</f>
        <v>0.21</v>
      </c>
    </row>
    <row r="167" spans="2:21" ht="16" customHeight="1" x14ac:dyDescent="0.2">
      <c r="B167" s="5" t="s">
        <v>30</v>
      </c>
      <c r="E167" s="11">
        <f>E84</f>
        <v>28316</v>
      </c>
      <c r="F167" s="11">
        <f>F84</f>
        <v>37575</v>
      </c>
      <c r="G167" s="11">
        <f>G84</f>
        <v>33179</v>
      </c>
      <c r="H167" s="11">
        <f>H84</f>
        <v>12066</v>
      </c>
      <c r="I167" s="11">
        <f>I84</f>
        <v>16535</v>
      </c>
      <c r="J167" s="75">
        <f>J84</f>
        <v>15442</v>
      </c>
      <c r="K167" s="11">
        <f ca="1">K84</f>
        <v>34307.736873420923</v>
      </c>
      <c r="L167" s="11">
        <f ca="1">L84</f>
        <v>33115.546868677484</v>
      </c>
      <c r="M167" s="11">
        <f ca="1">M84</f>
        <v>34976.950986499382</v>
      </c>
      <c r="N167" s="11">
        <f ca="1">N84</f>
        <v>36853.721074030778</v>
      </c>
      <c r="O167" s="11">
        <f ca="1">O84</f>
        <v>38718.905441824878</v>
      </c>
      <c r="P167" s="11">
        <f ca="1">P84</f>
        <v>40580.188865271361</v>
      </c>
      <c r="Q167" s="11">
        <f ca="1">Q84</f>
        <v>42427.134568066052</v>
      </c>
      <c r="R167" s="11">
        <f ca="1">R84</f>
        <v>44249.110989551293</v>
      </c>
      <c r="S167" s="11">
        <f ca="1">S84</f>
        <v>46035.548427105954</v>
      </c>
      <c r="T167" s="11">
        <f ca="1">T84</f>
        <v>47776.223213889112</v>
      </c>
      <c r="U167" s="11">
        <f ca="1">U84</f>
        <v>49461.557915445577</v>
      </c>
    </row>
    <row r="168" spans="2:21" ht="16" customHeight="1" x14ac:dyDescent="0.2">
      <c r="B168" s="5" t="s">
        <v>66</v>
      </c>
      <c r="E168" s="11">
        <f>E161</f>
        <v>7411</v>
      </c>
      <c r="F168" s="11">
        <f t="shared" ref="F168:J168" si="161">F161</f>
        <v>7719</v>
      </c>
      <c r="G168" s="11">
        <f t="shared" si="161"/>
        <v>8386</v>
      </c>
      <c r="H168" s="11">
        <f t="shared" si="161"/>
        <v>8747</v>
      </c>
      <c r="I168" s="11">
        <f t="shared" si="161"/>
        <v>9319</v>
      </c>
      <c r="J168" s="75">
        <f t="shared" si="161"/>
        <v>9466</v>
      </c>
      <c r="K168" s="11">
        <f>K161</f>
        <v>9631</v>
      </c>
      <c r="L168" s="11">
        <f ca="1">L161</f>
        <v>11037.69935094947</v>
      </c>
      <c r="M168" s="11">
        <f ca="1">M161</f>
        <v>11719.957676835349</v>
      </c>
      <c r="N168" s="11">
        <f ca="1">N161</f>
        <v>12383.245569764596</v>
      </c>
      <c r="O168" s="11">
        <f ca="1">O161</f>
        <v>13019.682320405329</v>
      </c>
      <c r="P168" s="11">
        <f ca="1">P161</f>
        <v>13420.094101612318</v>
      </c>
      <c r="Q168" s="11">
        <f ca="1">Q161</f>
        <v>14008.721208352183</v>
      </c>
      <c r="R168" s="11">
        <f ca="1">R161</f>
        <v>14761.107103756909</v>
      </c>
      <c r="S168" s="11">
        <f ca="1">S161</f>
        <v>15359.213059684953</v>
      </c>
      <c r="T168" s="11">
        <f ca="1">T161</f>
        <v>15928.514201804644</v>
      </c>
      <c r="U168" s="11">
        <f ca="1">U161</f>
        <v>16468.866691232113</v>
      </c>
    </row>
    <row r="169" spans="2:21" ht="16" customHeight="1" x14ac:dyDescent="0.2">
      <c r="B169" s="5" t="s">
        <v>160</v>
      </c>
      <c r="E169" s="11">
        <f>E97+E100</f>
        <v>1462</v>
      </c>
      <c r="F169" s="11">
        <f>F97+F100</f>
        <v>3427</v>
      </c>
      <c r="G169" s="11">
        <f>G97+G100</f>
        <v>-1866</v>
      </c>
      <c r="H169" s="11">
        <f>H97+H100</f>
        <v>1551</v>
      </c>
      <c r="I169" s="11">
        <f>I97+I100</f>
        <v>1458</v>
      </c>
      <c r="J169" s="75">
        <f>J97+J100</f>
        <v>2767</v>
      </c>
      <c r="K169" s="11">
        <f>K97+K100</f>
        <v>2149.2785723410011</v>
      </c>
      <c r="L169" s="11">
        <f>L97+L100</f>
        <v>2188.2360355363912</v>
      </c>
      <c r="M169" s="11">
        <f>M97+M100</f>
        <v>2098.4822315581473</v>
      </c>
      <c r="N169" s="11">
        <f>N97+N100</f>
        <v>2314.5393558172295</v>
      </c>
      <c r="O169" s="11">
        <f>O97+O100</f>
        <v>2410.8467051514726</v>
      </c>
      <c r="P169" s="11">
        <f>P97+P100</f>
        <v>2444.9370869947697</v>
      </c>
      <c r="Q169" s="11">
        <f>Q97+Q100</f>
        <v>2461.8367810928512</v>
      </c>
      <c r="R169" s="11">
        <f>R97+R100</f>
        <v>2653.3583500086252</v>
      </c>
      <c r="S169" s="11">
        <f>S97+S100</f>
        <v>2985.3111657959698</v>
      </c>
      <c r="T169" s="11">
        <f>T97+T100</f>
        <v>3195.4899809357912</v>
      </c>
      <c r="U169" s="11">
        <f>U97+U100</f>
        <v>3056.3968319776777</v>
      </c>
    </row>
    <row r="170" spans="2:21" ht="16" customHeight="1" x14ac:dyDescent="0.2">
      <c r="B170" s="5" t="s">
        <v>67</v>
      </c>
      <c r="E170" s="11">
        <f>E90</f>
        <v>12954</v>
      </c>
      <c r="F170" s="11">
        <f>F90</f>
        <v>11708</v>
      </c>
      <c r="G170" s="11">
        <f>G90</f>
        <v>14537</v>
      </c>
      <c r="H170" s="11">
        <f>H90</f>
        <v>15979</v>
      </c>
      <c r="I170" s="11">
        <f>I90</f>
        <v>13012</v>
      </c>
      <c r="J170" s="75">
        <f>J90</f>
        <v>13276</v>
      </c>
      <c r="K170" s="11">
        <f>K90</f>
        <v>14939</v>
      </c>
      <c r="L170" s="11">
        <f ca="1">L90</f>
        <v>17310.540862692076</v>
      </c>
      <c r="M170" s="11">
        <f ca="1">M90</f>
        <v>18477.478413704615</v>
      </c>
      <c r="N170" s="11">
        <f ca="1">N90</f>
        <v>19205.682129590819</v>
      </c>
      <c r="O170" s="11">
        <f ca="1">O90</f>
        <v>19597.289702685412</v>
      </c>
      <c r="P170" s="11">
        <f ca="1">P90</f>
        <v>20472.256068591021</v>
      </c>
      <c r="Q170" s="11">
        <f ca="1">Q90</f>
        <v>21660.561414363201</v>
      </c>
      <c r="R170" s="11">
        <f ca="1">R90</f>
        <v>22812.683220271501</v>
      </c>
      <c r="S170" s="11">
        <f ca="1">S90</f>
        <v>23678.591561581292</v>
      </c>
      <c r="T170" s="11">
        <f ca="1">T90</f>
        <v>24463.063920613975</v>
      </c>
      <c r="U170" s="11">
        <f ca="1">U90</f>
        <v>25251.008699595921</v>
      </c>
    </row>
    <row r="171" spans="2:21" ht="16" customHeight="1" x14ac:dyDescent="0.2">
      <c r="B171" s="5" t="s">
        <v>68</v>
      </c>
      <c r="E171" s="11">
        <f>E93</f>
        <v>8689</v>
      </c>
      <c r="F171" s="11">
        <f>F93</f>
        <v>-16301</v>
      </c>
      <c r="G171" s="11">
        <f>G93</f>
        <v>1851</v>
      </c>
      <c r="H171" s="11">
        <f>H93</f>
        <v>3497</v>
      </c>
      <c r="I171" s="11">
        <f>I93</f>
        <v>-3108</v>
      </c>
      <c r="J171" s="75">
        <f>J93</f>
        <v>4925</v>
      </c>
      <c r="K171" s="11">
        <f>K93</f>
        <v>16487</v>
      </c>
      <c r="L171" s="11">
        <f ca="1">L93</f>
        <v>5914.3136445779928</v>
      </c>
      <c r="M171" s="11">
        <f ca="1">M93</f>
        <v>6639.0462829184326</v>
      </c>
      <c r="N171" s="11">
        <f ca="1">N93</f>
        <v>9879.7974597160792</v>
      </c>
      <c r="O171" s="11">
        <f ca="1">O93</f>
        <v>11293.486205589024</v>
      </c>
      <c r="P171" s="11">
        <f ca="1">P93</f>
        <v>9416.3141686075469</v>
      </c>
      <c r="Q171" s="11">
        <f ca="1">Q93</f>
        <v>10411.772116005508</v>
      </c>
      <c r="R171" s="11">
        <f ca="1">R93</f>
        <v>11473.861177991357</v>
      </c>
      <c r="S171" s="11">
        <f ca="1">S93</f>
        <v>11836.040205255038</v>
      </c>
      <c r="T171" s="11">
        <f ca="1">T93</f>
        <v>11870.645246457958</v>
      </c>
      <c r="U171" s="11">
        <f ca="1">U93</f>
        <v>12492.445122112329</v>
      </c>
    </row>
    <row r="172" spans="2:21" ht="16" customHeight="1" x14ac:dyDescent="0.2">
      <c r="B172" s="153" t="s">
        <v>162</v>
      </c>
      <c r="C172" s="153"/>
      <c r="D172" s="153"/>
      <c r="E172" s="152">
        <f>E167+E168-E170-E171+E169</f>
        <v>15546</v>
      </c>
      <c r="F172" s="152">
        <f>F167+F168-F170-F171+F169</f>
        <v>53314</v>
      </c>
      <c r="G172" s="152">
        <f>G167+G168-G170-G171+G169</f>
        <v>23311</v>
      </c>
      <c r="H172" s="152">
        <f>H167+H168-H170-H171+H169</f>
        <v>2888</v>
      </c>
      <c r="I172" s="152">
        <f>I167+I168-I170-I171+I169</f>
        <v>17408</v>
      </c>
      <c r="J172" s="75">
        <f>J167+J168-J170-J171+J169</f>
        <v>9474</v>
      </c>
      <c r="K172" s="152">
        <f ca="1">K167+K168-K170-K171+K169</f>
        <v>14662.015445761925</v>
      </c>
      <c r="L172" s="152">
        <f ca="1">L167+L168-L170-L171+L169</f>
        <v>23116.627747893279</v>
      </c>
      <c r="M172" s="152">
        <f ca="1">M167+M168-M170-M171+M169</f>
        <v>23678.866198269832</v>
      </c>
      <c r="N172" s="152">
        <f ca="1">N167+N168-N170-N171+N169</f>
        <v>22466.026410305702</v>
      </c>
      <c r="O172" s="152">
        <f ca="1">O167+O168-O170-O171+O169</f>
        <v>23258.658559107243</v>
      </c>
      <c r="P172" s="152">
        <f ca="1">P167+P168-P170-P171+P169</f>
        <v>26556.649816679881</v>
      </c>
      <c r="Q172" s="152">
        <f ca="1">Q167+Q168-Q170-Q171+Q169</f>
        <v>26825.359027142378</v>
      </c>
      <c r="R172" s="152">
        <f ca="1">R167+R168-R170-R171+R169</f>
        <v>27377.032045053966</v>
      </c>
      <c r="S172" s="152">
        <f ca="1">S167+S168-S170-S171+S169</f>
        <v>28865.440885750548</v>
      </c>
      <c r="T172" s="152">
        <f ca="1">T167+T168-T170-T171+T169</f>
        <v>30566.51822955762</v>
      </c>
      <c r="U172" s="152">
        <f ca="1">U167+U168-U170-U171+U169</f>
        <v>31243.367616947122</v>
      </c>
    </row>
    <row r="173" spans="2:21" ht="16" customHeight="1" x14ac:dyDescent="0.2">
      <c r="B173" s="5" t="s">
        <v>149</v>
      </c>
      <c r="J173" s="77"/>
      <c r="K173" s="11">
        <f ca="1">K110</f>
        <v>-42176.959999999963</v>
      </c>
      <c r="L173" s="11">
        <f ca="1">L110</f>
        <v>2396.8936061919667</v>
      </c>
      <c r="M173" s="11">
        <f ca="1">M110</f>
        <v>39088.154688495444</v>
      </c>
      <c r="N173" s="11">
        <f ca="1">N110</f>
        <v>42215.207063575042</v>
      </c>
      <c r="O173" s="11">
        <f ca="1">O110</f>
        <v>45592.423628661083</v>
      </c>
      <c r="P173" s="11">
        <f ca="1">P110</f>
        <v>49239.817518953932</v>
      </c>
      <c r="Q173" s="11">
        <f ca="1">Q110</f>
        <v>53179.0029204702</v>
      </c>
      <c r="R173" s="11">
        <f ca="1">R110</f>
        <v>57433.3231541079</v>
      </c>
      <c r="S173" s="11">
        <f ca="1">S110</f>
        <v>62027.989006436546</v>
      </c>
      <c r="T173" s="11">
        <f ca="1">T110</f>
        <v>66990.228126951377</v>
      </c>
      <c r="U173" s="11">
        <f ca="1">U110</f>
        <v>72349.446377107524</v>
      </c>
    </row>
    <row r="174" spans="2:21" ht="16" customHeight="1" x14ac:dyDescent="0.2">
      <c r="B174" s="5" t="s">
        <v>152</v>
      </c>
      <c r="J174" s="77"/>
      <c r="K174" s="11">
        <f>K112</f>
        <v>0</v>
      </c>
      <c r="L174" s="11">
        <f ca="1">L112</f>
        <v>239.68936061919669</v>
      </c>
      <c r="M174" s="11">
        <f ca="1">M112</f>
        <v>3908.8154688495447</v>
      </c>
      <c r="N174" s="11">
        <f ca="1">N112</f>
        <v>4221.5207063575044</v>
      </c>
      <c r="O174" s="11">
        <f ca="1">O112</f>
        <v>4559.2423628661081</v>
      </c>
      <c r="P174" s="11">
        <f ca="1">P112</f>
        <v>4923.9817518953932</v>
      </c>
      <c r="Q174" s="11">
        <f ca="1">Q112</f>
        <v>5317.9002920470202</v>
      </c>
      <c r="R174" s="11">
        <f ca="1">R112</f>
        <v>5743.3323154107902</v>
      </c>
      <c r="S174" s="11">
        <f ca="1">S112</f>
        <v>6202.7989006436546</v>
      </c>
      <c r="T174" s="11">
        <f ca="1">T112</f>
        <v>6699.0228126951379</v>
      </c>
      <c r="U174" s="11">
        <f ca="1">U112</f>
        <v>7234.9446377107524</v>
      </c>
    </row>
    <row r="175" spans="2:21" ht="16" customHeight="1" x14ac:dyDescent="0.2">
      <c r="B175" s="10" t="s">
        <v>166</v>
      </c>
      <c r="J175" s="77"/>
      <c r="K175" s="13">
        <f ca="1">K174/K173</f>
        <v>0</v>
      </c>
      <c r="L175" s="13">
        <f t="shared" ref="L175:U175" ca="1" si="162">L174/L173</f>
        <v>0.1</v>
      </c>
      <c r="M175" s="13">
        <f t="shared" ca="1" si="162"/>
        <v>0.1</v>
      </c>
      <c r="N175" s="13">
        <f t="shared" ca="1" si="162"/>
        <v>0.1</v>
      </c>
      <c r="O175" s="13">
        <f t="shared" ca="1" si="162"/>
        <v>9.9999999999999992E-2</v>
      </c>
      <c r="P175" s="13">
        <f t="shared" ca="1" si="162"/>
        <v>0.1</v>
      </c>
      <c r="Q175" s="13">
        <f t="shared" ca="1" si="162"/>
        <v>0.1</v>
      </c>
      <c r="R175" s="13">
        <f t="shared" ca="1" si="162"/>
        <v>0.1</v>
      </c>
      <c r="S175" s="13">
        <f t="shared" ca="1" si="162"/>
        <v>0.1</v>
      </c>
      <c r="T175" s="13">
        <f t="shared" ca="1" si="162"/>
        <v>0.1</v>
      </c>
      <c r="U175" s="13">
        <f t="shared" ca="1" si="162"/>
        <v>0.1</v>
      </c>
    </row>
    <row r="176" spans="2:21" ht="16" customHeight="1" x14ac:dyDescent="0.2">
      <c r="J176" s="77"/>
    </row>
    <row r="177" spans="2:21" ht="16" customHeight="1" x14ac:dyDescent="0.2">
      <c r="B177" s="35" t="s">
        <v>156</v>
      </c>
      <c r="C177" s="35"/>
      <c r="D177" s="35"/>
      <c r="E177" s="35"/>
      <c r="F177" s="35"/>
      <c r="G177" s="35"/>
      <c r="H177" s="35"/>
      <c r="I177" s="35"/>
      <c r="J177" s="81"/>
      <c r="K177" s="36">
        <f ca="1">K172+K173-K174</f>
        <v>-27514.944554238038</v>
      </c>
      <c r="L177" s="36">
        <f ca="1">L172+L173-L174</f>
        <v>25273.83199346605</v>
      </c>
      <c r="M177" s="36">
        <f ca="1">M172+M173-M174</f>
        <v>58858.205417915735</v>
      </c>
      <c r="N177" s="36">
        <f ca="1">N172+N173-N174</f>
        <v>60459.712767523233</v>
      </c>
      <c r="O177" s="36">
        <f ca="1">O172+O173-O174</f>
        <v>64291.839824902228</v>
      </c>
      <c r="P177" s="36">
        <f ca="1">P172+P173-P174</f>
        <v>70872.485583738424</v>
      </c>
      <c r="Q177" s="36">
        <f ca="1">Q172+Q173-Q174</f>
        <v>74686.461655565552</v>
      </c>
      <c r="R177" s="36">
        <f ca="1">R172+R173-R174</f>
        <v>79067.022883751066</v>
      </c>
      <c r="S177" s="36">
        <f ca="1">S172+S173-S174</f>
        <v>84690.630991543439</v>
      </c>
      <c r="T177" s="36">
        <f ca="1">T172+T173-T174</f>
        <v>90857.72354381386</v>
      </c>
      <c r="U177" s="36">
        <f ca="1">U172+U173-U174</f>
        <v>96357.869356343901</v>
      </c>
    </row>
    <row r="178" spans="2:21" ht="16" customHeight="1" x14ac:dyDescent="0.2">
      <c r="B178" s="10"/>
      <c r="K178" s="13"/>
      <c r="L178" s="13"/>
      <c r="M178" s="13"/>
      <c r="N178" s="13"/>
      <c r="O178" s="13"/>
      <c r="P178" s="13"/>
      <c r="Q178" s="13"/>
      <c r="R178" s="13"/>
      <c r="S178" s="13"/>
      <c r="T178" s="13"/>
      <c r="U178" s="13"/>
    </row>
  </sheetData>
  <sheetProtection algorithmName="SHA-512" hashValue="OSQcd+9MOIe+Jz2r80ZoZlLhDETUZIqU+/OVn9LG5mbjveZJxS7z2uIrtyUUdKsAPp1LjVbfUes0g6aUlLX/kQ==" saltValue="NqGGD09Gaiyo7WVFN/RMfA==" spinCount="100000" sheet="1" objects="1" scenarios="1" selectLockedCells="1"/>
  <mergeCells count="4">
    <mergeCell ref="D146:H147"/>
    <mergeCell ref="B149:B153"/>
    <mergeCell ref="L146:P147"/>
    <mergeCell ref="J149:J153"/>
  </mergeCells>
  <pageMargins left="0.7" right="0.7" top="0.75" bottom="0.75" header="0.3" footer="0.3"/>
  <ignoredErrors>
    <ignoredError sqref="N42" formula="1"/>
    <ignoredError sqref="T16 T11:T12" unlockedFormula="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4E405-F264-8D4D-B704-5E271FCED6A7}">
  <dimension ref="B1:AL126"/>
  <sheetViews>
    <sheetView zoomScale="90" zoomScaleNormal="90" workbookViewId="0">
      <pane xSplit="2" ySplit="2" topLeftCell="C3" activePane="bottomRight" state="frozen"/>
      <selection pane="topRight" activeCell="C1" sqref="C1"/>
      <selection pane="bottomLeft" activeCell="A3" sqref="A3"/>
      <selection pane="bottomRight" activeCell="D47" sqref="D47"/>
    </sheetView>
  </sheetViews>
  <sheetFormatPr baseColWidth="10" defaultRowHeight="16" x14ac:dyDescent="0.2"/>
  <cols>
    <col min="1" max="1" width="10.83203125" style="122"/>
    <col min="2" max="2" width="48.6640625" style="122" customWidth="1"/>
    <col min="3" max="9" width="10.83203125" style="122"/>
    <col min="10" max="11" width="11" style="122" bestFit="1" customWidth="1"/>
    <col min="12" max="16" width="10.83203125" style="122"/>
    <col min="17" max="19" width="12.6640625" style="122" bestFit="1" customWidth="1"/>
    <col min="20" max="20" width="10.83203125" style="122" customWidth="1"/>
    <col min="21" max="22" width="12.6640625" style="122" bestFit="1" customWidth="1"/>
    <col min="23" max="23" width="10.83203125" style="122"/>
    <col min="24" max="24" width="11" style="122" bestFit="1" customWidth="1"/>
    <col min="25" max="34" width="10.83203125" style="122"/>
    <col min="35" max="36" width="10.83203125" style="122" customWidth="1"/>
    <col min="37" max="16384" width="10.83203125" style="122"/>
  </cols>
  <sheetData>
    <row r="1" spans="2:33" x14ac:dyDescent="0.2">
      <c r="B1" s="122" t="e" vm="1">
        <v>#VALUE!</v>
      </c>
      <c r="C1" s="123">
        <f t="shared" ref="C1:D1" si="0">EDATE(G1,-12)</f>
        <v>44286</v>
      </c>
      <c r="D1" s="123">
        <f t="shared" si="0"/>
        <v>44377</v>
      </c>
      <c r="E1" s="123">
        <f>EDATE(I1,-12)</f>
        <v>44469</v>
      </c>
      <c r="F1" s="123">
        <f t="shared" ref="F1" si="1">EDATE(G1,-3)</f>
        <v>44561</v>
      </c>
      <c r="G1" s="123">
        <v>44651</v>
      </c>
      <c r="H1" s="123">
        <f>EDATE(I1,-3)</f>
        <v>44742</v>
      </c>
      <c r="I1" s="123">
        <v>44834</v>
      </c>
      <c r="J1" s="123">
        <f>EDATE(F1,12)</f>
        <v>44926</v>
      </c>
      <c r="K1" s="123">
        <f t="shared" ref="K1:N1" si="2">EDATE(G1,12)</f>
        <v>45016</v>
      </c>
      <c r="L1" s="123">
        <f t="shared" si="2"/>
        <v>45107</v>
      </c>
      <c r="M1" s="123">
        <f t="shared" si="2"/>
        <v>45199</v>
      </c>
      <c r="N1" s="123">
        <f t="shared" si="2"/>
        <v>45291</v>
      </c>
    </row>
    <row r="2" spans="2:33" x14ac:dyDescent="0.2">
      <c r="B2" s="122" t="s">
        <v>0</v>
      </c>
      <c r="C2" s="124" t="s">
        <v>69</v>
      </c>
      <c r="D2" s="124" t="s">
        <v>70</v>
      </c>
      <c r="E2" s="124" t="s">
        <v>71</v>
      </c>
      <c r="F2" s="124" t="s">
        <v>72</v>
      </c>
      <c r="G2" s="124" t="s">
        <v>73</v>
      </c>
      <c r="H2" s="124" t="s">
        <v>74</v>
      </c>
      <c r="I2" s="124" t="s">
        <v>75</v>
      </c>
      <c r="J2" s="124" t="s">
        <v>76</v>
      </c>
      <c r="K2" s="124" t="s">
        <v>77</v>
      </c>
      <c r="L2" s="124" t="s">
        <v>78</v>
      </c>
      <c r="M2" s="124" t="s">
        <v>79</v>
      </c>
      <c r="N2" s="124" t="s">
        <v>80</v>
      </c>
      <c r="Q2" s="125">
        <v>2016</v>
      </c>
      <c r="R2" s="125">
        <f>Q2+1</f>
        <v>2017</v>
      </c>
      <c r="S2" s="125">
        <f t="shared" ref="S2:V2" si="3">R2+1</f>
        <v>2018</v>
      </c>
      <c r="T2" s="125">
        <f t="shared" si="3"/>
        <v>2019</v>
      </c>
      <c r="U2" s="125">
        <f t="shared" si="3"/>
        <v>2020</v>
      </c>
      <c r="V2" s="125">
        <f t="shared" si="3"/>
        <v>2021</v>
      </c>
      <c r="W2" s="126">
        <v>2022</v>
      </c>
      <c r="X2" s="126">
        <f>W2+1</f>
        <v>2023</v>
      </c>
      <c r="Y2" s="126">
        <f t="shared" ref="Y2:AG2" si="4">X2+1</f>
        <v>2024</v>
      </c>
      <c r="Z2" s="126">
        <f t="shared" si="4"/>
        <v>2025</v>
      </c>
      <c r="AA2" s="126">
        <f t="shared" si="4"/>
        <v>2026</v>
      </c>
      <c r="AB2" s="126">
        <f t="shared" si="4"/>
        <v>2027</v>
      </c>
      <c r="AC2" s="126">
        <f t="shared" si="4"/>
        <v>2028</v>
      </c>
      <c r="AD2" s="126">
        <f t="shared" si="4"/>
        <v>2029</v>
      </c>
      <c r="AE2" s="126">
        <f t="shared" si="4"/>
        <v>2030</v>
      </c>
      <c r="AF2" s="126">
        <f t="shared" si="4"/>
        <v>2031</v>
      </c>
      <c r="AG2" s="126">
        <f t="shared" si="4"/>
        <v>2032</v>
      </c>
    </row>
    <row r="3" spans="2:33" s="127" customFormat="1" x14ac:dyDescent="0.2">
      <c r="B3" s="127" t="s">
        <v>97</v>
      </c>
      <c r="C3" s="127">
        <v>16424</v>
      </c>
      <c r="D3" s="127">
        <v>17163</v>
      </c>
      <c r="E3" s="127">
        <v>17727</v>
      </c>
      <c r="F3" s="127">
        <f>69478-E3-D3-C3</f>
        <v>18164</v>
      </c>
      <c r="G3" s="127">
        <v>17492</v>
      </c>
      <c r="H3" s="114">
        <v>18087</v>
      </c>
      <c r="I3" s="127">
        <v>18810</v>
      </c>
      <c r="J3" s="127">
        <f>F3*(1+J50)</f>
        <v>19072.2</v>
      </c>
      <c r="K3" s="127">
        <f>G3*(1+K50)</f>
        <v>18366.600000000002</v>
      </c>
      <c r="L3" s="127">
        <f>H3*(1+L50)</f>
        <v>18991.350000000002</v>
      </c>
      <c r="M3" s="127">
        <f>I3*(1+M50)</f>
        <v>19750.5</v>
      </c>
      <c r="N3" s="127">
        <f>J3*(1+N50)</f>
        <v>20025.810000000001</v>
      </c>
      <c r="Q3" s="127">
        <v>45881</v>
      </c>
      <c r="R3" s="127">
        <v>60597</v>
      </c>
      <c r="S3" s="127">
        <v>57418</v>
      </c>
      <c r="T3" s="127">
        <v>61078</v>
      </c>
      <c r="U3" s="127">
        <v>63401</v>
      </c>
      <c r="V3" s="127">
        <f>SUM(C3:F3)</f>
        <v>69478</v>
      </c>
      <c r="W3" s="127">
        <f>SUM(G3:J3)</f>
        <v>73461.2</v>
      </c>
      <c r="X3" s="127">
        <f>SUM(K3:N3)</f>
        <v>77134.260000000009</v>
      </c>
      <c r="Y3" s="127">
        <f>X3*(1+Y50)</f>
        <v>80990.973000000027</v>
      </c>
      <c r="Z3" s="127">
        <f>Y3*(1+Z50)</f>
        <v>84838.04421750005</v>
      </c>
      <c r="AA3" s="127">
        <f>Z3*(1+AA50)</f>
        <v>88655.756207287559</v>
      </c>
      <c r="AB3" s="127">
        <f>AA3*(1+AB50)</f>
        <v>92423.625846097304</v>
      </c>
      <c r="AC3" s="127">
        <f>AB3*(1+AC50)</f>
        <v>96120.570879941195</v>
      </c>
      <c r="AD3" s="127">
        <f>AC3*(1+AD50)</f>
        <v>99725.092287938998</v>
      </c>
      <c r="AE3" s="127">
        <f>AD3*(1+AE50)</f>
        <v>103215.47051801688</v>
      </c>
      <c r="AF3" s="127">
        <f>AE3*(1+AF50)</f>
        <v>106569.97330985243</v>
      </c>
      <c r="AG3" s="127">
        <f>AF3*(1+AG50)</f>
        <v>109767.07250914801</v>
      </c>
    </row>
    <row r="4" spans="2:33" s="127" customFormat="1" x14ac:dyDescent="0.2">
      <c r="B4" s="127" t="s">
        <v>98</v>
      </c>
      <c r="C4" s="127">
        <v>33698</v>
      </c>
      <c r="D4" s="127">
        <v>36743</v>
      </c>
      <c r="E4" s="127">
        <v>36722</v>
      </c>
      <c r="F4" s="127">
        <f>145043-E4-D4-C4</f>
        <v>37880</v>
      </c>
      <c r="G4" s="127">
        <v>37862</v>
      </c>
      <c r="H4" s="114">
        <v>40220</v>
      </c>
      <c r="I4" s="127">
        <v>39597</v>
      </c>
      <c r="J4" s="127">
        <f>F4*(1+J51)</f>
        <v>40531.600000000006</v>
      </c>
      <c r="K4" s="127">
        <f>G4*(1+K51)</f>
        <v>40512.340000000004</v>
      </c>
      <c r="L4" s="127">
        <f>H4*(1+L51)</f>
        <v>42633.200000000004</v>
      </c>
      <c r="M4" s="127">
        <f>I4*(1+M51)</f>
        <v>41576.85</v>
      </c>
      <c r="N4" s="127">
        <f>J4*(1+N51)</f>
        <v>42558.180000000008</v>
      </c>
      <c r="Q4" s="127">
        <v>123053</v>
      </c>
      <c r="R4" s="127">
        <v>125963</v>
      </c>
      <c r="S4" s="127">
        <v>133336</v>
      </c>
      <c r="T4" s="127">
        <v>134989</v>
      </c>
      <c r="U4" s="127">
        <v>127044</v>
      </c>
      <c r="V4" s="127">
        <f>SUM(C4:F4)</f>
        <v>145043</v>
      </c>
      <c r="W4" s="127">
        <f>SUM(G4:J4)</f>
        <v>158210.6</v>
      </c>
      <c r="X4" s="127">
        <f>SUM(K4:N4)</f>
        <v>167280.57</v>
      </c>
      <c r="Y4" s="127">
        <f>X4*(1+Y51)</f>
        <v>175644.59850000002</v>
      </c>
      <c r="Z4" s="127">
        <f>Y4*(1+Z51)</f>
        <v>183987.71692875004</v>
      </c>
      <c r="AA4" s="127">
        <f>Z4*(1+AA51)</f>
        <v>192267.16419054379</v>
      </c>
      <c r="AB4" s="127">
        <f>AA4*(1+AB51)</f>
        <v>200438.51866864189</v>
      </c>
      <c r="AC4" s="127">
        <f>AB4*(1+AC51)</f>
        <v>208456.05941538757</v>
      </c>
      <c r="AD4" s="127">
        <f>AC4*(1+AD51)</f>
        <v>216273.16164346461</v>
      </c>
      <c r="AE4" s="127">
        <f>AD4*(1+AE51)</f>
        <v>223842.72230098586</v>
      </c>
      <c r="AF4" s="127">
        <f>AE4*(1+AF51)</f>
        <v>231117.61077576788</v>
      </c>
      <c r="AG4" s="127">
        <f>AF4*(1+AG51)</f>
        <v>238051.13909904091</v>
      </c>
    </row>
    <row r="5" spans="2:33" s="127" customFormat="1" x14ac:dyDescent="0.2">
      <c r="B5" s="127" t="s">
        <v>99</v>
      </c>
      <c r="C5" s="127">
        <v>1324</v>
      </c>
      <c r="D5" s="127">
        <v>1447</v>
      </c>
      <c r="E5" s="127">
        <v>1562</v>
      </c>
      <c r="F5" s="127">
        <f>5988-E5-D5-C5</f>
        <v>1655</v>
      </c>
      <c r="G5" s="127">
        <v>1672</v>
      </c>
      <c r="H5" s="114">
        <v>1887</v>
      </c>
      <c r="I5" s="127">
        <v>1959</v>
      </c>
      <c r="J5" s="127">
        <f>F5*(1+J52)</f>
        <v>1986</v>
      </c>
      <c r="K5" s="127">
        <f>G5*(1+K52)</f>
        <v>1964.6000000000001</v>
      </c>
      <c r="L5" s="127">
        <f>H5*(1+L52)</f>
        <v>2170.0499999999997</v>
      </c>
      <c r="M5" s="127">
        <f>I5*(1+M52)</f>
        <v>2213.6699999999996</v>
      </c>
      <c r="N5" s="127">
        <f>J5*(1+N52)</f>
        <v>2184.6000000000004</v>
      </c>
      <c r="Q5" s="127">
        <v>2553</v>
      </c>
      <c r="R5" s="127">
        <v>5144</v>
      </c>
      <c r="S5" s="127">
        <v>5732</v>
      </c>
      <c r="T5" s="127">
        <v>5856</v>
      </c>
      <c r="U5" s="127">
        <v>5209</v>
      </c>
      <c r="V5" s="127">
        <f>SUM(C5:F5)</f>
        <v>5988</v>
      </c>
      <c r="W5" s="127">
        <f>SUM(G5:J5)</f>
        <v>7504</v>
      </c>
      <c r="X5" s="127">
        <f>SUM(K5:N5)</f>
        <v>8532.92</v>
      </c>
      <c r="Y5" s="127">
        <f>X5*(1+Y52)</f>
        <v>9727.5288000000019</v>
      </c>
      <c r="Z5" s="127">
        <f>Y5*(1+Z52)</f>
        <v>10967.788722000001</v>
      </c>
      <c r="AA5" s="127">
        <f>Z5*(1+AA52)</f>
        <v>12229.084425030002</v>
      </c>
      <c r="AB5" s="127">
        <f>AA5*(1+AB52)</f>
        <v>13482.565578595577</v>
      </c>
      <c r="AC5" s="127">
        <f>AB5*(1+AC52)</f>
        <v>14695.996480669181</v>
      </c>
      <c r="AD5" s="127">
        <f>AC5*(1+AD52)</f>
        <v>15834.936207921044</v>
      </c>
      <c r="AE5" s="127">
        <f>AD5*(1+AE52)</f>
        <v>16864.207061435911</v>
      </c>
      <c r="AF5" s="127">
        <f>AE5*(1+AF52)</f>
        <v>17749.577932161297</v>
      </c>
      <c r="AG5" s="127">
        <f>AF5*(1+AG52)</f>
        <v>18459.561049447751</v>
      </c>
    </row>
    <row r="6" spans="2:33" s="127" customFormat="1" x14ac:dyDescent="0.2">
      <c r="B6" s="127" t="s">
        <v>100</v>
      </c>
      <c r="C6" s="127">
        <v>1851</v>
      </c>
      <c r="D6" s="127">
        <v>1898</v>
      </c>
      <c r="E6" s="127">
        <v>1795</v>
      </c>
      <c r="F6" s="127">
        <f>8092-E6-D6-C6</f>
        <v>2548</v>
      </c>
      <c r="G6" s="127">
        <v>1862</v>
      </c>
      <c r="H6" s="114">
        <v>2861</v>
      </c>
      <c r="I6" s="127">
        <v>2378</v>
      </c>
      <c r="J6" s="127">
        <f>F6*(1+J53)</f>
        <v>2930.2</v>
      </c>
      <c r="K6" s="127">
        <f>G6*(1+K53)</f>
        <v>2234.4</v>
      </c>
      <c r="L6" s="127">
        <f>H6*(1+L53)</f>
        <v>3290.1499999999996</v>
      </c>
      <c r="M6" s="127">
        <f>I6*(1+M53)</f>
        <v>2663.36</v>
      </c>
      <c r="N6" s="127">
        <f>J6*(1+N53)</f>
        <v>3223.2200000000003</v>
      </c>
      <c r="Q6" s="127">
        <v>6180</v>
      </c>
      <c r="R6" s="127">
        <v>1202</v>
      </c>
      <c r="S6" s="127">
        <v>7678</v>
      </c>
      <c r="T6" s="127">
        <v>9240</v>
      </c>
      <c r="U6" s="127">
        <v>8092</v>
      </c>
      <c r="V6" s="127">
        <v>7465</v>
      </c>
      <c r="W6" s="127">
        <f>SUM(G6:J6)</f>
        <v>10031.200000000001</v>
      </c>
      <c r="X6" s="127">
        <f>SUM(K6:N6)</f>
        <v>11411.130000000001</v>
      </c>
      <c r="Y6" s="127">
        <f>X6*(1+Y53)</f>
        <v>12438.131700000002</v>
      </c>
      <c r="Z6" s="127">
        <f>Y6*(1+Z53)</f>
        <v>13557.563553000004</v>
      </c>
      <c r="AA6" s="127">
        <f>Z6*(1+AA53)</f>
        <v>14777.744272770005</v>
      </c>
      <c r="AB6" s="127">
        <f>AA6*(1+AB53)</f>
        <v>16107.741257319307</v>
      </c>
      <c r="AC6" s="127">
        <f>AB6*(1+AC53)</f>
        <v>17557.437970478044</v>
      </c>
      <c r="AD6" s="127">
        <f>AC6*(1+AD53)</f>
        <v>19137.60738782107</v>
      </c>
      <c r="AE6" s="127">
        <f>AD6*(1+AE53)</f>
        <v>20859.992052724967</v>
      </c>
      <c r="AF6" s="127">
        <f>AE6*(1+AF53)</f>
        <v>22737.391337470217</v>
      </c>
      <c r="AG6" s="127">
        <f>AF6*(1+AG53)</f>
        <v>24783.756557842538</v>
      </c>
    </row>
    <row r="7" spans="2:33" s="127" customFormat="1" x14ac:dyDescent="0.2">
      <c r="H7" s="114"/>
    </row>
    <row r="8" spans="2:33" s="127" customFormat="1" x14ac:dyDescent="0.2">
      <c r="B8" s="127" t="s">
        <v>101</v>
      </c>
      <c r="C8" s="127">
        <v>5378</v>
      </c>
      <c r="D8" s="127">
        <v>5778</v>
      </c>
      <c r="E8" s="127">
        <v>5761</v>
      </c>
      <c r="F8" s="127">
        <f>23177-E8-D8-C8</f>
        <v>6260</v>
      </c>
      <c r="G8" s="127">
        <v>5944</v>
      </c>
      <c r="H8" s="114">
        <v>6612</v>
      </c>
      <c r="I8" s="127">
        <v>6663</v>
      </c>
      <c r="J8" s="127">
        <f>F8*(1+J54)</f>
        <v>7198.9999999999991</v>
      </c>
      <c r="K8" s="127">
        <f>G8*(1+K54)</f>
        <v>6776.1600000000008</v>
      </c>
      <c r="L8" s="127">
        <f>H8*(1+L54)</f>
        <v>7405.4400000000005</v>
      </c>
      <c r="M8" s="127">
        <f>I8*(1+M54)</f>
        <v>7329.3</v>
      </c>
      <c r="N8" s="127">
        <f>J8*(1+N54)</f>
        <v>7990.8899999999994</v>
      </c>
      <c r="Q8" s="127">
        <v>19683</v>
      </c>
      <c r="R8" s="127">
        <v>21080</v>
      </c>
      <c r="S8" s="127">
        <v>23703</v>
      </c>
      <c r="T8" s="127">
        <v>23357</v>
      </c>
      <c r="U8" s="127">
        <v>20750</v>
      </c>
      <c r="V8" s="127">
        <f>SUM(C8:F8)</f>
        <v>23177</v>
      </c>
      <c r="W8" s="127">
        <f>SUM(G8:J8)</f>
        <v>26418</v>
      </c>
      <c r="X8" s="127">
        <f>SUM(K8:N8)</f>
        <v>29501.79</v>
      </c>
      <c r="Y8" s="127">
        <f>X8*(1+Y54)</f>
        <v>31271.897400000002</v>
      </c>
      <c r="Z8" s="127">
        <f>Y8*(1+Z54)</f>
        <v>33070.031500500008</v>
      </c>
      <c r="AA8" s="127">
        <f>Z8*(1+AA54)</f>
        <v>34888.883233027504</v>
      </c>
      <c r="AB8" s="127">
        <f>AA8*(1+AB54)</f>
        <v>36720.54960276145</v>
      </c>
      <c r="AC8" s="127">
        <f>AB8*(1+AC54)</f>
        <v>38556.577082899523</v>
      </c>
      <c r="AD8" s="127">
        <f>AC8*(1+AD54)</f>
        <v>40388.014494337243</v>
      </c>
      <c r="AE8" s="127">
        <f>AD8*(1+AE54)</f>
        <v>42205.475146582416</v>
      </c>
      <c r="AF8" s="127">
        <f>AE8*(1+AF54)</f>
        <v>43999.20784031217</v>
      </c>
      <c r="AG8" s="127">
        <f>AF8*(1+AG54)</f>
        <v>45759.176153924658</v>
      </c>
    </row>
    <row r="9" spans="2:33" s="127" customFormat="1" x14ac:dyDescent="0.2">
      <c r="B9" s="127" t="s">
        <v>102</v>
      </c>
      <c r="C9" s="127">
        <v>5858</v>
      </c>
      <c r="D9" s="127">
        <v>4302</v>
      </c>
      <c r="E9" s="127">
        <v>5225</v>
      </c>
      <c r="F9" s="127">
        <f>18891-E9-D9-C9</f>
        <v>3506</v>
      </c>
      <c r="G9" s="127">
        <v>4818</v>
      </c>
      <c r="H9" s="114">
        <v>4935</v>
      </c>
      <c r="I9" s="127">
        <v>6090</v>
      </c>
      <c r="J9" s="127">
        <f>F9*(1+J55)</f>
        <v>3961.7799999999997</v>
      </c>
      <c r="K9" s="127">
        <f>G9*(1+K55)</f>
        <v>5155.26</v>
      </c>
      <c r="L9" s="127">
        <f>H9*(1+L55)</f>
        <v>5181.75</v>
      </c>
      <c r="M9" s="127">
        <f>I9*(1+M55)</f>
        <v>6333.6</v>
      </c>
      <c r="N9" s="127">
        <f>J9*(1+N55)</f>
        <v>4041.0155999999997</v>
      </c>
      <c r="Q9" s="127">
        <v>14621</v>
      </c>
      <c r="R9" s="127">
        <v>15155</v>
      </c>
      <c r="S9" s="127">
        <v>15555</v>
      </c>
      <c r="T9" s="127">
        <v>15353</v>
      </c>
      <c r="U9" s="127">
        <v>15540</v>
      </c>
      <c r="V9" s="127">
        <f>SUM(C9:F9)</f>
        <v>18891</v>
      </c>
      <c r="W9" s="127">
        <f>SUM(G9:J9)</f>
        <v>19804.78</v>
      </c>
      <c r="X9" s="127">
        <f>SUM(K9:N9)</f>
        <v>20711.625599999999</v>
      </c>
      <c r="Y9" s="127">
        <f>X9*(1+Y55)</f>
        <v>21954.323135999999</v>
      </c>
      <c r="Z9" s="127">
        <f>Y9*(1+Z55)</f>
        <v>23189.253812399998</v>
      </c>
      <c r="AA9" s="127">
        <f>Z9*(1+AA55)</f>
        <v>24406.689637550997</v>
      </c>
      <c r="AB9" s="127">
        <f>AA9*(1+AB55)</f>
        <v>25596.51575738161</v>
      </c>
      <c r="AC9" s="127">
        <f>AB9*(1+AC55)</f>
        <v>26748.35896646378</v>
      </c>
      <c r="AD9" s="127">
        <f>AC9*(1+AD55)</f>
        <v>27851.728773830411</v>
      </c>
      <c r="AE9" s="127">
        <f>AD9*(1+AE55)</f>
        <v>28896.168602849055</v>
      </c>
      <c r="AF9" s="127">
        <f>AE9*(1+AF55)</f>
        <v>29871.414293195208</v>
      </c>
      <c r="AG9" s="127">
        <f>AF9*(1+AG55)</f>
        <v>30767.556721991066</v>
      </c>
    </row>
    <row r="10" spans="2:33" s="127" customFormat="1" x14ac:dyDescent="0.2">
      <c r="B10" s="127" t="s">
        <v>103</v>
      </c>
      <c r="C10" s="127">
        <v>1076</v>
      </c>
      <c r="D10" s="127">
        <v>1783</v>
      </c>
      <c r="E10" s="127">
        <v>1788</v>
      </c>
      <c r="F10" s="127">
        <f>6052-E10-D10-C10</f>
        <v>1405</v>
      </c>
      <c r="G10" s="127">
        <v>1160</v>
      </c>
      <c r="H10" s="114">
        <v>1578</v>
      </c>
      <c r="I10" s="127">
        <v>1437</v>
      </c>
      <c r="J10" s="127">
        <f>F10*(1+J56)</f>
        <v>1292.6000000000001</v>
      </c>
      <c r="K10" s="127">
        <f>G10*(1+K56)</f>
        <v>1102</v>
      </c>
      <c r="L10" s="127">
        <f>H10*(1+L56)</f>
        <v>1499.1</v>
      </c>
      <c r="M10" s="127">
        <f>I10*(1+M56)</f>
        <v>1365.1499999999999</v>
      </c>
      <c r="N10" s="127">
        <f>J10*(1+N56)</f>
        <v>1227.97</v>
      </c>
      <c r="Q10" s="127">
        <v>3143</v>
      </c>
      <c r="R10" s="127">
        <v>3770</v>
      </c>
      <c r="S10" s="127">
        <v>4415</v>
      </c>
      <c r="T10" s="127">
        <v>4743</v>
      </c>
      <c r="U10" s="127">
        <v>5474</v>
      </c>
      <c r="V10" s="127">
        <f>SUM(C10:F10)</f>
        <v>6052</v>
      </c>
      <c r="W10" s="127">
        <f>SUM(G10:J10)</f>
        <v>5467.6</v>
      </c>
      <c r="X10" s="127">
        <f>SUM(K10:N10)</f>
        <v>5194.22</v>
      </c>
      <c r="Y10" s="127">
        <f>X10*(1+Y56)</f>
        <v>4986.4512000000004</v>
      </c>
      <c r="Z10" s="127">
        <f>Y10*(1+Z56)</f>
        <v>4786.993152</v>
      </c>
      <c r="AA10" s="127">
        <f>Z10*(1+AA56)</f>
        <v>4595.5134259199995</v>
      </c>
      <c r="AB10" s="127">
        <f>AA10*(1+AB56)</f>
        <v>4411.692888883199</v>
      </c>
      <c r="AC10" s="127">
        <f>AB10*(1+AC56)</f>
        <v>4235.2251733278708</v>
      </c>
      <c r="AD10" s="127">
        <f>AC10*(1+AD56)</f>
        <v>4065.8161663947558</v>
      </c>
      <c r="AE10" s="127">
        <f>AD10*(1+AE56)</f>
        <v>3903.1835197389655</v>
      </c>
      <c r="AF10" s="127">
        <f>AE10*(1+AF56)</f>
        <v>3747.0561789494068</v>
      </c>
      <c r="AG10" s="127">
        <f>AF10*(1+AG56)</f>
        <v>3597.1739317914303</v>
      </c>
    </row>
    <row r="11" spans="2:33" s="127" customFormat="1" x14ac:dyDescent="0.2">
      <c r="H11" s="114"/>
    </row>
    <row r="12" spans="2:33" s="127" customFormat="1" x14ac:dyDescent="0.2">
      <c r="B12" s="127" t="s">
        <v>104</v>
      </c>
      <c r="C12" s="127">
        <f t="shared" ref="C12:AG12" si="5">SUM(C3:C6)</f>
        <v>53297</v>
      </c>
      <c r="D12" s="127">
        <f t="shared" si="5"/>
        <v>57251</v>
      </c>
      <c r="E12" s="127">
        <f t="shared" si="5"/>
        <v>57806</v>
      </c>
      <c r="F12" s="127">
        <f t="shared" si="5"/>
        <v>60247</v>
      </c>
      <c r="G12" s="127">
        <f t="shared" si="5"/>
        <v>58888</v>
      </c>
      <c r="H12" s="114">
        <v>63055</v>
      </c>
      <c r="I12" s="127">
        <f t="shared" si="5"/>
        <v>62744</v>
      </c>
      <c r="J12" s="127">
        <f t="shared" ref="J12" si="6">SUM(J3:J6)</f>
        <v>64520</v>
      </c>
      <c r="K12" s="127">
        <f t="shared" si="5"/>
        <v>63077.94</v>
      </c>
      <c r="L12" s="127">
        <f t="shared" si="5"/>
        <v>67084.75</v>
      </c>
      <c r="M12" s="127">
        <f t="shared" si="5"/>
        <v>66204.37999999999</v>
      </c>
      <c r="N12" s="127">
        <f t="shared" si="5"/>
        <v>67991.81</v>
      </c>
      <c r="Q12" s="127">
        <f>SUM(Q3:Q6)</f>
        <v>177667</v>
      </c>
      <c r="R12" s="127">
        <f t="shared" ref="R12" si="7">SUM(R3:R6)</f>
        <v>192906</v>
      </c>
      <c r="S12" s="127">
        <f t="shared" si="5"/>
        <v>204164</v>
      </c>
      <c r="T12" s="127">
        <f t="shared" si="5"/>
        <v>211163</v>
      </c>
      <c r="U12" s="127">
        <f t="shared" si="5"/>
        <v>203746</v>
      </c>
      <c r="V12" s="127">
        <f t="shared" si="5"/>
        <v>227974</v>
      </c>
      <c r="W12" s="127">
        <f t="shared" si="5"/>
        <v>249207</v>
      </c>
      <c r="X12" s="127">
        <f t="shared" si="5"/>
        <v>264358.88</v>
      </c>
      <c r="Y12" s="127">
        <f t="shared" si="5"/>
        <v>278801.23200000008</v>
      </c>
      <c r="Z12" s="127">
        <f t="shared" si="5"/>
        <v>293351.11342125008</v>
      </c>
      <c r="AA12" s="127">
        <f t="shared" si="5"/>
        <v>307929.74909563136</v>
      </c>
      <c r="AB12" s="127">
        <f t="shared" si="5"/>
        <v>322452.45135065401</v>
      </c>
      <c r="AC12" s="127">
        <f t="shared" si="5"/>
        <v>336830.06474647601</v>
      </c>
      <c r="AD12" s="127">
        <f t="shared" si="5"/>
        <v>350970.79752714577</v>
      </c>
      <c r="AE12" s="127">
        <f t="shared" si="5"/>
        <v>364782.39193316363</v>
      </c>
      <c r="AF12" s="127">
        <f t="shared" si="5"/>
        <v>378174.55335525179</v>
      </c>
      <c r="AG12" s="127">
        <f t="shared" si="5"/>
        <v>391061.52921547921</v>
      </c>
    </row>
    <row r="13" spans="2:33" s="127" customFormat="1" x14ac:dyDescent="0.2">
      <c r="B13" s="127" t="s">
        <v>105</v>
      </c>
      <c r="C13" s="127">
        <f t="shared" ref="C13:AG13" si="8">SUM(C8:C10)</f>
        <v>12312</v>
      </c>
      <c r="D13" s="127">
        <f t="shared" si="8"/>
        <v>11863</v>
      </c>
      <c r="E13" s="127">
        <f t="shared" si="8"/>
        <v>12774</v>
      </c>
      <c r="F13" s="127">
        <f t="shared" si="8"/>
        <v>11171</v>
      </c>
      <c r="G13" s="127">
        <f t="shared" si="8"/>
        <v>11922</v>
      </c>
      <c r="H13" s="114">
        <v>13125</v>
      </c>
      <c r="I13" s="127">
        <f t="shared" si="8"/>
        <v>14190</v>
      </c>
      <c r="J13" s="127">
        <f t="shared" si="8"/>
        <v>12453.38</v>
      </c>
      <c r="K13" s="127">
        <f t="shared" si="8"/>
        <v>13033.420000000002</v>
      </c>
      <c r="L13" s="127">
        <f t="shared" si="8"/>
        <v>14086.29</v>
      </c>
      <c r="M13" s="127">
        <f t="shared" si="8"/>
        <v>15028.050000000001</v>
      </c>
      <c r="N13" s="127">
        <f t="shared" si="8"/>
        <v>13259.875599999998</v>
      </c>
      <c r="Q13" s="127">
        <f>SUM(Q8:Q10)</f>
        <v>37447</v>
      </c>
      <c r="R13" s="127">
        <f t="shared" ref="Q13:R13" si="9">SUM(R8:R10)</f>
        <v>40005</v>
      </c>
      <c r="S13" s="127">
        <f t="shared" si="8"/>
        <v>43673</v>
      </c>
      <c r="T13" s="127">
        <f t="shared" si="8"/>
        <v>43453</v>
      </c>
      <c r="U13" s="127">
        <f t="shared" si="8"/>
        <v>41764</v>
      </c>
      <c r="V13" s="127">
        <f t="shared" si="8"/>
        <v>48120</v>
      </c>
      <c r="W13" s="127">
        <f t="shared" si="8"/>
        <v>51690.38</v>
      </c>
      <c r="X13" s="127">
        <f t="shared" si="8"/>
        <v>55407.635600000001</v>
      </c>
      <c r="Y13" s="127">
        <f t="shared" si="8"/>
        <v>58212.671736000004</v>
      </c>
      <c r="Z13" s="127">
        <f t="shared" si="8"/>
        <v>61046.27846490001</v>
      </c>
      <c r="AA13" s="127">
        <f t="shared" si="8"/>
        <v>63891.086296498499</v>
      </c>
      <c r="AB13" s="127">
        <f t="shared" si="8"/>
        <v>66728.758249026258</v>
      </c>
      <c r="AC13" s="127">
        <f t="shared" si="8"/>
        <v>69540.161222691167</v>
      </c>
      <c r="AD13" s="127">
        <f t="shared" si="8"/>
        <v>72305.559434562412</v>
      </c>
      <c r="AE13" s="127">
        <f t="shared" si="8"/>
        <v>75004.827269170433</v>
      </c>
      <c r="AF13" s="127">
        <f t="shared" si="8"/>
        <v>77617.678312456788</v>
      </c>
      <c r="AG13" s="127">
        <f t="shared" si="8"/>
        <v>80123.906807707157</v>
      </c>
    </row>
    <row r="14" spans="2:33" s="115" customFormat="1" x14ac:dyDescent="0.2">
      <c r="B14" s="115" t="s">
        <v>9</v>
      </c>
      <c r="C14" s="115">
        <f t="shared" ref="C14:AG14" si="10">SUM(C12:C13)</f>
        <v>65609</v>
      </c>
      <c r="D14" s="115">
        <f t="shared" si="10"/>
        <v>69114</v>
      </c>
      <c r="E14" s="115">
        <f t="shared" si="10"/>
        <v>70580</v>
      </c>
      <c r="F14" s="115">
        <f t="shared" si="10"/>
        <v>71418</v>
      </c>
      <c r="G14" s="115">
        <f t="shared" si="10"/>
        <v>70810</v>
      </c>
      <c r="H14" s="116">
        <v>76180</v>
      </c>
      <c r="I14" s="115">
        <f t="shared" si="10"/>
        <v>76934</v>
      </c>
      <c r="J14" s="115">
        <f t="shared" si="10"/>
        <v>76973.38</v>
      </c>
      <c r="K14" s="115">
        <f t="shared" si="10"/>
        <v>76111.360000000001</v>
      </c>
      <c r="L14" s="115">
        <f t="shared" si="10"/>
        <v>81171.040000000008</v>
      </c>
      <c r="M14" s="115">
        <f t="shared" si="10"/>
        <v>81232.429999999993</v>
      </c>
      <c r="N14" s="115">
        <f t="shared" si="10"/>
        <v>81251.685599999997</v>
      </c>
      <c r="Q14" s="115">
        <f t="shared" ref="Q14:R14" si="11">SUM(Q12:Q13)</f>
        <v>215114</v>
      </c>
      <c r="R14" s="115">
        <f t="shared" si="11"/>
        <v>232911</v>
      </c>
      <c r="S14" s="115">
        <f t="shared" si="10"/>
        <v>247837</v>
      </c>
      <c r="T14" s="115">
        <f t="shared" si="10"/>
        <v>254616</v>
      </c>
      <c r="U14" s="115">
        <f t="shared" si="10"/>
        <v>245510</v>
      </c>
      <c r="V14" s="115">
        <f t="shared" si="10"/>
        <v>276094</v>
      </c>
      <c r="W14" s="115">
        <f t="shared" si="10"/>
        <v>300897.38</v>
      </c>
      <c r="X14" s="115">
        <f t="shared" si="10"/>
        <v>319766.51559999998</v>
      </c>
      <c r="Y14" s="115">
        <f t="shared" si="10"/>
        <v>337013.90373600007</v>
      </c>
      <c r="Z14" s="115">
        <f t="shared" si="10"/>
        <v>354397.39188615012</v>
      </c>
      <c r="AA14" s="115">
        <f t="shared" si="10"/>
        <v>371820.83539212984</v>
      </c>
      <c r="AB14" s="115">
        <f t="shared" si="10"/>
        <v>389181.20959968027</v>
      </c>
      <c r="AC14" s="115">
        <f t="shared" si="10"/>
        <v>406370.22596916719</v>
      </c>
      <c r="AD14" s="115">
        <f t="shared" si="10"/>
        <v>423276.35696170817</v>
      </c>
      <c r="AE14" s="115">
        <f t="shared" si="10"/>
        <v>439787.21920233406</v>
      </c>
      <c r="AF14" s="115">
        <f t="shared" si="10"/>
        <v>455792.23166770861</v>
      </c>
      <c r="AG14" s="115">
        <f t="shared" si="10"/>
        <v>471185.43602318637</v>
      </c>
    </row>
    <row r="15" spans="2:33" s="115" customFormat="1" x14ac:dyDescent="0.2">
      <c r="H15" s="116"/>
    </row>
    <row r="16" spans="2:33" s="127" customFormat="1" x14ac:dyDescent="0.2">
      <c r="B16" s="127" t="s">
        <v>148</v>
      </c>
      <c r="F16" s="127">
        <f>V16</f>
        <v>528382</v>
      </c>
      <c r="G16" s="127">
        <f>35542+67145+21718+390538+17596</f>
        <v>532539</v>
      </c>
      <c r="H16" s="114">
        <f>26534+74803+21136+327662+17494</f>
        <v>467629</v>
      </c>
      <c r="I16" s="127">
        <f>28869+76332+18602+306167+28714</f>
        <v>458684</v>
      </c>
      <c r="J16" s="127">
        <f>I16*(1+J57)</f>
        <v>486205.04000000004</v>
      </c>
      <c r="K16" s="127">
        <f>J16*(1+K57)</f>
        <v>447308.63680000004</v>
      </c>
      <c r="L16" s="127">
        <f>K16*(1+L57)</f>
        <v>460727.89590400003</v>
      </c>
      <c r="M16" s="127">
        <f>L16*(1+M57)</f>
        <v>483764.29069920006</v>
      </c>
      <c r="N16" s="127">
        <f>M16*(1+N57)</f>
        <v>488601.93360619206</v>
      </c>
      <c r="Q16" s="127">
        <f>23581+47338+23432+134832+15345</f>
        <v>244528</v>
      </c>
      <c r="R16" s="127">
        <f>25560+78515+21353+164026+17635</f>
        <v>307089</v>
      </c>
      <c r="S16" s="127">
        <f>27749+81506+19898+172757+17325</f>
        <v>319235</v>
      </c>
      <c r="T16" s="127">
        <f>61151+63822+18685+248027+17505</f>
        <v>409190</v>
      </c>
      <c r="U16" s="127">
        <f>44714+90300+20410+281170+17303</f>
        <v>453897</v>
      </c>
      <c r="V16" s="127">
        <f>85319+58535+16434+350719+17375</f>
        <v>528382</v>
      </c>
      <c r="W16" s="127">
        <f>J16</f>
        <v>486205.04000000004</v>
      </c>
      <c r="X16" s="127">
        <f>N16</f>
        <v>488601.93360619206</v>
      </c>
      <c r="Y16" s="127">
        <f>X16*(1+Y57)</f>
        <v>527690.08829468745</v>
      </c>
      <c r="Z16" s="127">
        <f>Y16*(1+Z57)</f>
        <v>569905.29535826249</v>
      </c>
      <c r="AA16" s="127">
        <f>Z16*(1+AA57)</f>
        <v>615497.71898692357</v>
      </c>
      <c r="AB16" s="127">
        <f>AA16*(1+AB57)</f>
        <v>664737.53650587751</v>
      </c>
      <c r="AC16" s="127">
        <f>AB16*(1+AC57)</f>
        <v>717916.53942634771</v>
      </c>
      <c r="AD16" s="127">
        <f>AC16*(1+AD57)</f>
        <v>775349.86258045561</v>
      </c>
      <c r="AE16" s="127">
        <f>AD16*(1+AE57)</f>
        <v>837377.85158689215</v>
      </c>
      <c r="AF16" s="127">
        <f>AE16*(1+AF57)</f>
        <v>904368.07971384353</v>
      </c>
      <c r="AG16" s="127">
        <f>AF16*(1+AG57)</f>
        <v>976717.52609095105</v>
      </c>
    </row>
    <row r="17" spans="2:33" s="115" customFormat="1" x14ac:dyDescent="0.2">
      <c r="B17" s="115" t="s">
        <v>138</v>
      </c>
      <c r="G17" s="115">
        <f>G16-F16</f>
        <v>4157</v>
      </c>
      <c r="H17" s="115">
        <f t="shared" ref="H17" si="12">H16-G16</f>
        <v>-64910</v>
      </c>
      <c r="I17" s="115">
        <f t="shared" ref="I17" si="13">I16-H16</f>
        <v>-8945</v>
      </c>
      <c r="J17" s="115">
        <f t="shared" ref="J17" si="14">J16-I16</f>
        <v>27521.040000000037</v>
      </c>
      <c r="K17" s="115">
        <f t="shared" ref="K17" si="15">K16-J16</f>
        <v>-38896.403200000001</v>
      </c>
      <c r="L17" s="115">
        <f t="shared" ref="L17" si="16">L16-K16</f>
        <v>13419.259103999997</v>
      </c>
      <c r="M17" s="115">
        <f t="shared" ref="M17:N17" si="17">M16-L16</f>
        <v>23036.394795200031</v>
      </c>
      <c r="N17" s="115">
        <f t="shared" si="17"/>
        <v>4837.6429069919977</v>
      </c>
      <c r="R17" s="115">
        <f>R16-Q16</f>
        <v>62561</v>
      </c>
      <c r="S17" s="115">
        <f t="shared" ref="S17:U17" si="18">S16-R16</f>
        <v>12146</v>
      </c>
      <c r="T17" s="115">
        <f t="shared" si="18"/>
        <v>89955</v>
      </c>
      <c r="U17" s="115">
        <f t="shared" si="18"/>
        <v>44707</v>
      </c>
      <c r="V17" s="115">
        <f t="shared" ref="V17" si="19">V16-U16</f>
        <v>74485</v>
      </c>
      <c r="W17" s="115">
        <f t="shared" ref="W17" si="20">W16-V16</f>
        <v>-42176.959999999963</v>
      </c>
      <c r="X17" s="115">
        <f t="shared" ref="X17" si="21">X16-W16</f>
        <v>2396.8936061920249</v>
      </c>
      <c r="Y17" s="115">
        <f t="shared" ref="Y17" si="22">Y16-X16</f>
        <v>39088.154688495386</v>
      </c>
      <c r="Z17" s="115">
        <f t="shared" ref="Z17" si="23">Z16-Y16</f>
        <v>42215.207063575042</v>
      </c>
      <c r="AA17" s="115">
        <f t="shared" ref="AA17" si="24">AA16-Z16</f>
        <v>45592.423628661083</v>
      </c>
      <c r="AB17" s="115">
        <f t="shared" ref="AB17" si="25">AB16-AA16</f>
        <v>49239.817518953932</v>
      </c>
      <c r="AC17" s="115">
        <f t="shared" ref="AC17" si="26">AC16-AB16</f>
        <v>53179.0029204702</v>
      </c>
      <c r="AD17" s="115">
        <f t="shared" ref="AD17" si="27">AD16-AC16</f>
        <v>57433.3231541079</v>
      </c>
      <c r="AE17" s="115">
        <f t="shared" ref="AE17" si="28">AE16-AD16</f>
        <v>62027.989006436546</v>
      </c>
      <c r="AF17" s="115">
        <f t="shared" ref="AF17" si="29">AF16-AE16</f>
        <v>66990.228126951377</v>
      </c>
      <c r="AG17" s="115">
        <f t="shared" ref="AG17" si="30">AG16-AF16</f>
        <v>72349.446377107524</v>
      </c>
    </row>
    <row r="18" spans="2:33" s="115" customFormat="1" x14ac:dyDescent="0.2">
      <c r="H18" s="116"/>
    </row>
    <row r="19" spans="2:33" s="127" customFormat="1" x14ac:dyDescent="0.2">
      <c r="B19" s="127" t="s">
        <v>106</v>
      </c>
      <c r="C19" s="127">
        <v>10964</v>
      </c>
      <c r="D19" s="127">
        <v>12175</v>
      </c>
      <c r="E19" s="127">
        <v>13939</v>
      </c>
      <c r="F19" s="127">
        <f>49964-E19-D19-C19</f>
        <v>12886</v>
      </c>
      <c r="G19" s="127">
        <v>13332</v>
      </c>
      <c r="H19" s="114">
        <v>13620</v>
      </c>
      <c r="I19" s="127">
        <v>16005</v>
      </c>
      <c r="J19" s="127">
        <f>J$14*J59</f>
        <v>14538.957886459853</v>
      </c>
      <c r="K19" s="127">
        <f>K$14*K59</f>
        <v>14536.964712235062</v>
      </c>
      <c r="L19" s="127">
        <f>L$14*L59</f>
        <v>15558.488895832186</v>
      </c>
      <c r="M19" s="127">
        <f>M$14*M59</f>
        <v>15831.992502555398</v>
      </c>
      <c r="N19" s="127">
        <f>N$14*N59</f>
        <v>15568.873785716594</v>
      </c>
      <c r="Q19" s="127">
        <v>30906</v>
      </c>
      <c r="R19" s="127">
        <v>48891</v>
      </c>
      <c r="S19" s="127">
        <v>39906</v>
      </c>
      <c r="T19" s="127">
        <v>44456</v>
      </c>
      <c r="U19" s="127">
        <v>43951</v>
      </c>
      <c r="V19" s="127">
        <f t="shared" ref="V19:V25" si="31">SUM(C19:F19)</f>
        <v>49964</v>
      </c>
      <c r="W19" s="127">
        <f t="shared" ref="W19:W25" si="32">SUM(G19:J19)</f>
        <v>57495.957886459852</v>
      </c>
      <c r="X19" s="127">
        <f t="shared" ref="X19:X25" si="33">SUM(K19:N19)</f>
        <v>61496.319896339235</v>
      </c>
      <c r="Y19" s="127">
        <f>Y$14*Y59</f>
        <v>61140.079630375985</v>
      </c>
      <c r="Z19" s="127">
        <f>Z$14*Z59</f>
        <v>62847.802570222091</v>
      </c>
      <c r="AA19" s="127">
        <f>AA$14*AA59</f>
        <v>66925.247319877482</v>
      </c>
      <c r="AB19" s="127">
        <f>AB$14*AB59</f>
        <v>72397.233811669823</v>
      </c>
      <c r="AC19" s="127">
        <f>AC$14*AC59</f>
        <v>77900.753350560612</v>
      </c>
      <c r="AD19" s="127">
        <f>AD$14*AD59</f>
        <v>79096.25706304179</v>
      </c>
      <c r="AE19" s="127">
        <f>AE$14*AE59</f>
        <v>76962.763360408455</v>
      </c>
      <c r="AF19" s="127">
        <f>AF$14*AF59</f>
        <v>77940.471615178176</v>
      </c>
      <c r="AG19" s="127">
        <f>AG$14*AG59</f>
        <v>86231.117132696701</v>
      </c>
    </row>
    <row r="20" spans="2:33" s="127" customFormat="1" x14ac:dyDescent="0.2">
      <c r="B20" s="127" t="s">
        <v>107</v>
      </c>
      <c r="C20" s="127">
        <v>1480</v>
      </c>
      <c r="D20" s="127">
        <v>1459</v>
      </c>
      <c r="E20" s="127">
        <v>1568</v>
      </c>
      <c r="F20" s="127">
        <f>6007-E20-D20-C20</f>
        <v>1500</v>
      </c>
      <c r="G20" s="127">
        <v>1323</v>
      </c>
      <c r="H20" s="114">
        <v>1282</v>
      </c>
      <c r="I20" s="127">
        <v>1450</v>
      </c>
      <c r="J20" s="127">
        <f>J$14*J60</f>
        <v>1450.2323180487924</v>
      </c>
      <c r="K20" s="127">
        <f>K$14*K60</f>
        <v>1392.8452856081574</v>
      </c>
      <c r="L20" s="127">
        <f>L$14*L60</f>
        <v>1477.6514974759336</v>
      </c>
      <c r="M20" s="127">
        <f>M$14*M60</f>
        <v>1506.7050291107153</v>
      </c>
      <c r="N20" s="127">
        <f>N$14*N60</f>
        <v>1500.9835247148058</v>
      </c>
      <c r="Q20" s="127">
        <v>5131</v>
      </c>
      <c r="R20" s="127">
        <v>5618</v>
      </c>
      <c r="S20" s="127">
        <v>5699</v>
      </c>
      <c r="T20" s="127">
        <v>4986</v>
      </c>
      <c r="U20" s="127">
        <v>5812</v>
      </c>
      <c r="V20" s="127">
        <f t="shared" si="31"/>
        <v>6007</v>
      </c>
      <c r="W20" s="127">
        <f t="shared" si="32"/>
        <v>5505.2323180487929</v>
      </c>
      <c r="X20" s="127">
        <f t="shared" si="33"/>
        <v>5878.1853369096116</v>
      </c>
      <c r="Y20" s="127">
        <f>Y$14*Y60</f>
        <v>7003.5097035583976</v>
      </c>
      <c r="Z20" s="127">
        <f>Z$14*Z60</f>
        <v>7233.991541129677</v>
      </c>
      <c r="AA20" s="127">
        <f>AA$14*AA60</f>
        <v>7641.0546014507954</v>
      </c>
      <c r="AB20" s="127">
        <f>AB$14*AB60</f>
        <v>7795.2606070648708</v>
      </c>
      <c r="AC20" s="127">
        <f>AC$14*AC60</f>
        <v>8022.5755906533623</v>
      </c>
      <c r="AD20" s="127">
        <f>AD$14*AD60</f>
        <v>8458.3459224586768</v>
      </c>
      <c r="AE20" s="127">
        <f>AE$14*AE60</f>
        <v>8905.5810623152902</v>
      </c>
      <c r="AF20" s="127">
        <f>AF$14*AF60</f>
        <v>9189.3165641204359</v>
      </c>
      <c r="AG20" s="127">
        <f>AG$14*AG60</f>
        <v>9479.959032375471</v>
      </c>
    </row>
    <row r="21" spans="2:33" s="127" customFormat="1" x14ac:dyDescent="0.2">
      <c r="B21" s="127" t="s">
        <v>108</v>
      </c>
      <c r="C21" s="127">
        <v>3014</v>
      </c>
      <c r="D21" s="127">
        <v>3065</v>
      </c>
      <c r="E21" s="127">
        <v>3239</v>
      </c>
      <c r="F21" s="127">
        <f>12569-E21-D21-C21</f>
        <v>3251</v>
      </c>
      <c r="G21" s="127">
        <v>2767</v>
      </c>
      <c r="H21" s="114">
        <v>2461</v>
      </c>
      <c r="I21" s="127">
        <v>2506</v>
      </c>
      <c r="J21" s="127">
        <f>J$14*J61</f>
        <v>2876.4101595331995</v>
      </c>
      <c r="K21" s="127">
        <f>K$14*K61</f>
        <v>2689.0854791357351</v>
      </c>
      <c r="L21" s="127">
        <f>L$14*L61</f>
        <v>2791.842837505847</v>
      </c>
      <c r="M21" s="127">
        <f>M$14*M61</f>
        <v>2836.3881276793682</v>
      </c>
      <c r="N21" s="127">
        <f>N$14*N61</f>
        <v>2884.6651953658943</v>
      </c>
      <c r="Q21" s="127">
        <v>7713</v>
      </c>
      <c r="R21" s="127">
        <v>9321</v>
      </c>
      <c r="S21" s="127">
        <v>9793</v>
      </c>
      <c r="T21" s="127">
        <v>11200</v>
      </c>
      <c r="U21" s="127">
        <v>12798</v>
      </c>
      <c r="V21" s="127">
        <f t="shared" si="31"/>
        <v>12569</v>
      </c>
      <c r="W21" s="127">
        <f t="shared" si="32"/>
        <v>10610.410159533199</v>
      </c>
      <c r="X21" s="127">
        <f t="shared" si="33"/>
        <v>11201.981639686845</v>
      </c>
      <c r="Y21" s="127">
        <f>Y$14*Y61</f>
        <v>14123.610341759473</v>
      </c>
      <c r="Z21" s="127">
        <f>Z$14*Z61</f>
        <v>14993.536745408112</v>
      </c>
      <c r="AA21" s="127">
        <f>AA$14*AA61</f>
        <v>15626.520765685802</v>
      </c>
      <c r="AB21" s="127">
        <f>AB$14*AB61</f>
        <v>15700.925630252328</v>
      </c>
      <c r="AC21" s="127">
        <f>AC$14*AC61</f>
        <v>16043.49873593226</v>
      </c>
      <c r="AD21" s="127">
        <f>AD$14*AD61</f>
        <v>17008.477449101909</v>
      </c>
      <c r="AE21" s="127">
        <f>AE$14*AE61</f>
        <v>18049.501124137099</v>
      </c>
      <c r="AF21" s="127">
        <f>AF$14*AF61</f>
        <v>18640.534267059058</v>
      </c>
      <c r="AG21" s="127">
        <f>AG$14*AG61</f>
        <v>19159.331181288653</v>
      </c>
    </row>
    <row r="22" spans="2:33" s="127" customFormat="1" x14ac:dyDescent="0.2">
      <c r="B22" s="127" t="s">
        <v>109</v>
      </c>
      <c r="C22" s="127">
        <v>26530</v>
      </c>
      <c r="D22" s="127">
        <v>28761</v>
      </c>
      <c r="E22" s="127">
        <v>28984</v>
      </c>
      <c r="F22" s="127">
        <f>114138-E22-D22-C22</f>
        <v>29863</v>
      </c>
      <c r="G22" s="127">
        <v>29785</v>
      </c>
      <c r="H22" s="114">
        <v>31633</v>
      </c>
      <c r="I22" s="127">
        <v>31292</v>
      </c>
      <c r="J22" s="127">
        <f>J$14*J62</f>
        <v>31958.481964191629</v>
      </c>
      <c r="K22" s="127">
        <f>K$14*K62</f>
        <v>31544.351243482408</v>
      </c>
      <c r="L22" s="127">
        <f>L$14*L62</f>
        <v>33515.871362654667</v>
      </c>
      <c r="M22" s="127">
        <f>M$14*M62</f>
        <v>33493.781410102099</v>
      </c>
      <c r="N22" s="127">
        <f>N$14*N62</f>
        <v>33615.109142658235</v>
      </c>
      <c r="Q22" s="127">
        <v>97867</v>
      </c>
      <c r="R22" s="127">
        <v>104343</v>
      </c>
      <c r="S22" s="127">
        <v>106083</v>
      </c>
      <c r="T22" s="127">
        <v>107041</v>
      </c>
      <c r="U22" s="127">
        <v>101091</v>
      </c>
      <c r="V22" s="127">
        <f t="shared" si="31"/>
        <v>114138</v>
      </c>
      <c r="W22" s="127">
        <f t="shared" si="32"/>
        <v>124668.48196419163</v>
      </c>
      <c r="X22" s="127">
        <f t="shared" si="33"/>
        <v>132169.11315889741</v>
      </c>
      <c r="Y22" s="127">
        <f>Y$14*Y62</f>
        <v>140492.7419032878</v>
      </c>
      <c r="Z22" s="127">
        <f>Z$14*Z62</f>
        <v>147080.2990546615</v>
      </c>
      <c r="AA22" s="127">
        <f>AA$14*AA62</f>
        <v>153977.48939392637</v>
      </c>
      <c r="AB22" s="127">
        <f>AB$14*AB62</f>
        <v>161319.68653080805</v>
      </c>
      <c r="AC22" s="127">
        <f>AC$14*AC62</f>
        <v>168519.7425748604</v>
      </c>
      <c r="AD22" s="127">
        <f>AD$14*AD62</f>
        <v>175556.93501046111</v>
      </c>
      <c r="AE22" s="127">
        <f>AE$14*AE62</f>
        <v>182509.54420447492</v>
      </c>
      <c r="AF22" s="127">
        <f>AF$14*AF62</f>
        <v>189008.72336295829</v>
      </c>
      <c r="AG22" s="127">
        <f>AG$14*AG62</f>
        <v>195365.81999178126</v>
      </c>
    </row>
    <row r="23" spans="2:33" s="127" customFormat="1" x14ac:dyDescent="0.2">
      <c r="B23" s="127" t="s">
        <v>110</v>
      </c>
      <c r="C23" s="127">
        <v>882</v>
      </c>
      <c r="D23" s="127">
        <v>982</v>
      </c>
      <c r="E23" s="127">
        <v>1116</v>
      </c>
      <c r="F23" s="127">
        <f>4201-E23-D23-C23</f>
        <v>1221</v>
      </c>
      <c r="G23" s="127">
        <v>1232</v>
      </c>
      <c r="H23" s="114">
        <v>1498</v>
      </c>
      <c r="I23" s="127">
        <v>1418</v>
      </c>
      <c r="J23" s="127">
        <f>J$14*J63</f>
        <v>1396.8847920182884</v>
      </c>
      <c r="K23" s="127">
        <f>K$14*K63</f>
        <v>1401.241416954259</v>
      </c>
      <c r="L23" s="127">
        <f>L$14*L63</f>
        <v>1514.9231709628607</v>
      </c>
      <c r="M23" s="127">
        <f>M$14*M63</f>
        <v>1495.7484546689479</v>
      </c>
      <c r="N23" s="127">
        <f>N$14*N63</f>
        <v>1495.7335357328177</v>
      </c>
      <c r="Q23" s="127">
        <v>1335</v>
      </c>
      <c r="R23" s="127">
        <v>1455</v>
      </c>
      <c r="S23" s="127">
        <v>4061</v>
      </c>
      <c r="T23" s="127">
        <v>4003</v>
      </c>
      <c r="U23" s="127">
        <v>3520</v>
      </c>
      <c r="V23" s="127">
        <f t="shared" si="31"/>
        <v>4201</v>
      </c>
      <c r="W23" s="127">
        <f t="shared" si="32"/>
        <v>5544.8847920182889</v>
      </c>
      <c r="X23" s="127">
        <f t="shared" si="33"/>
        <v>5907.6465783188851</v>
      </c>
      <c r="Y23" s="127">
        <f>Y$14*Y63</f>
        <v>5536.212777379932</v>
      </c>
      <c r="Z23" s="127">
        <f>Z$14*Z63</f>
        <v>5824.2260250481077</v>
      </c>
      <c r="AA23" s="127">
        <f>AA$14*AA63</f>
        <v>6154.7166232996369</v>
      </c>
      <c r="AB23" s="127">
        <f>AB$14*AB63</f>
        <v>6585.780515510829</v>
      </c>
      <c r="AC23" s="127">
        <f>AC$14*AC63</f>
        <v>6992.221248054062</v>
      </c>
      <c r="AD23" s="127">
        <f>AD$14*AD63</f>
        <v>7196.9593732446801</v>
      </c>
      <c r="AE23" s="127">
        <f>AE$14*AE63</f>
        <v>7369.8064133405223</v>
      </c>
      <c r="AF23" s="127">
        <f>AF$14*AF63</f>
        <v>7663.1127950184691</v>
      </c>
      <c r="AG23" s="127">
        <f>AG$14*AG63</f>
        <v>7951.6436764128985</v>
      </c>
    </row>
    <row r="24" spans="2:33" s="127" customFormat="1" x14ac:dyDescent="0.2">
      <c r="B24" s="127" t="s">
        <v>111</v>
      </c>
      <c r="C24" s="127">
        <v>3910</v>
      </c>
      <c r="D24" s="127">
        <v>5045</v>
      </c>
      <c r="E24" s="127">
        <v>4889</v>
      </c>
      <c r="F24" s="127">
        <f>18843-E24-D24-C24</f>
        <v>4999</v>
      </c>
      <c r="G24" s="127">
        <v>4251</v>
      </c>
      <c r="H24" s="114">
        <v>3762</v>
      </c>
      <c r="I24" s="127">
        <v>4068</v>
      </c>
      <c r="J24" s="127">
        <f>J$14*J64</f>
        <v>4470.0324666747456</v>
      </c>
      <c r="K24" s="127">
        <f>K$14*K64</f>
        <v>4193.0865423724726</v>
      </c>
      <c r="L24" s="127">
        <f>L$14*L64</f>
        <v>4371.5362824988624</v>
      </c>
      <c r="M24" s="127">
        <f>M$14*M64</f>
        <v>4465.6770288811531</v>
      </c>
      <c r="N24" s="127">
        <f>N$14*N64</f>
        <v>4509.3434678777667</v>
      </c>
      <c r="Q24" s="127">
        <v>17973</v>
      </c>
      <c r="R24" s="127">
        <v>19189</v>
      </c>
      <c r="S24" s="127">
        <v>17856</v>
      </c>
      <c r="T24" s="127">
        <v>19226</v>
      </c>
      <c r="U24" s="127">
        <v>19809</v>
      </c>
      <c r="V24" s="127">
        <f t="shared" si="31"/>
        <v>18843</v>
      </c>
      <c r="W24" s="127">
        <f t="shared" si="32"/>
        <v>16551.032466674747</v>
      </c>
      <c r="X24" s="127">
        <f t="shared" si="33"/>
        <v>17539.643321630254</v>
      </c>
      <c r="Y24" s="127">
        <f>Y$14*Y64</f>
        <v>21804.00578053937</v>
      </c>
      <c r="Z24" s="127">
        <f>Z$14*Z64</f>
        <v>22928.676519372515</v>
      </c>
      <c r="AA24" s="127">
        <f>AA$14*AA64</f>
        <v>24055.932275618343</v>
      </c>
      <c r="AB24" s="127">
        <f>AB$14*AB64</f>
        <v>25179.107596807091</v>
      </c>
      <c r="AC24" s="127">
        <f>AC$14*AC64</f>
        <v>26291.196469483602</v>
      </c>
      <c r="AD24" s="127">
        <f>AD$14*AD64</f>
        <v>27384.983324570385</v>
      </c>
      <c r="AE24" s="127">
        <f>AE$14*AE64</f>
        <v>28453.197222410945</v>
      </c>
      <c r="AF24" s="127">
        <f>AF$14*AF64</f>
        <v>29488.683831254242</v>
      </c>
      <c r="AG24" s="127">
        <f>AG$14*AG64</f>
        <v>30484.587896419398</v>
      </c>
    </row>
    <row r="25" spans="2:33" s="127" customFormat="1" x14ac:dyDescent="0.2">
      <c r="B25" s="127" t="s">
        <v>7</v>
      </c>
      <c r="C25" s="127">
        <v>276</v>
      </c>
      <c r="D25" s="127">
        <v>298</v>
      </c>
      <c r="E25" s="127">
        <v>286</v>
      </c>
      <c r="F25" s="127">
        <f>1086-E25-D25-C25</f>
        <v>226</v>
      </c>
      <c r="G25" s="127">
        <v>264</v>
      </c>
      <c r="H25" s="114">
        <v>302</v>
      </c>
      <c r="I25" s="127">
        <v>297</v>
      </c>
      <c r="J25" s="127">
        <f>J$14*J65</f>
        <v>283.21397262012715</v>
      </c>
      <c r="K25" s="127">
        <f>K$14*K65</f>
        <v>289.83984934858574</v>
      </c>
      <c r="L25" s="127">
        <f>L$14*L65</f>
        <v>310.72730325340524</v>
      </c>
      <c r="M25" s="127">
        <f>M$14*M65</f>
        <v>308.19555366858901</v>
      </c>
      <c r="N25" s="127">
        <f>N$14*N65</f>
        <v>306.91870738037812</v>
      </c>
      <c r="Q25" s="127">
        <v>1099</v>
      </c>
      <c r="R25" s="127">
        <v>1132</v>
      </c>
      <c r="S25" s="127">
        <v>382</v>
      </c>
      <c r="T25" s="127">
        <v>96</v>
      </c>
      <c r="U25" s="127">
        <v>10671</v>
      </c>
      <c r="V25" s="127">
        <f t="shared" si="31"/>
        <v>1086</v>
      </c>
      <c r="W25" s="127">
        <f t="shared" si="32"/>
        <v>1146.2139726201272</v>
      </c>
      <c r="X25" s="127">
        <f t="shared" si="33"/>
        <v>1215.6814136509581</v>
      </c>
      <c r="Y25" s="127">
        <f>Y$14*Y65</f>
        <v>1296.8901477608633</v>
      </c>
      <c r="Z25" s="127">
        <f>Z$14*Z65</f>
        <v>1353.7126093354079</v>
      </c>
      <c r="AA25" s="127">
        <f>AA$14*AA65</f>
        <v>1421.5599490674826</v>
      </c>
      <c r="AB25" s="127">
        <f>AB$14*AB65</f>
        <v>1490.7168489531512</v>
      </c>
      <c r="AC25" s="127">
        <f>AC$14*AC65</f>
        <v>1554.1481226358651</v>
      </c>
      <c r="AD25" s="127">
        <f>AD$14*AD65</f>
        <v>1619.4687886241441</v>
      </c>
      <c r="AE25" s="127">
        <f>AE$14*AE65</f>
        <v>1683.0492681588919</v>
      </c>
      <c r="AF25" s="127">
        <f>AF$14*AF65</f>
        <v>1743.7787314065224</v>
      </c>
      <c r="AG25" s="127">
        <f>AG$14*AG65</f>
        <v>1802.8832896640793</v>
      </c>
    </row>
    <row r="26" spans="2:33" s="127" customFormat="1" x14ac:dyDescent="0.2">
      <c r="B26" s="127" t="s">
        <v>112</v>
      </c>
      <c r="C26" s="127">
        <f t="shared" ref="C26:AG26" si="34">SUM(C19:C25)</f>
        <v>47056</v>
      </c>
      <c r="D26" s="127">
        <f t="shared" si="34"/>
        <v>51785</v>
      </c>
      <c r="E26" s="127">
        <f t="shared" si="34"/>
        <v>54021</v>
      </c>
      <c r="F26" s="127">
        <f t="shared" si="34"/>
        <v>53946</v>
      </c>
      <c r="G26" s="127">
        <f>SUM(G19:G25)</f>
        <v>52954</v>
      </c>
      <c r="H26" s="114">
        <v>54558</v>
      </c>
      <c r="I26" s="127">
        <f t="shared" si="34"/>
        <v>57036</v>
      </c>
      <c r="J26" s="127">
        <f t="shared" ref="J26" si="35">SUM(J19:J25)</f>
        <v>56974.213559546639</v>
      </c>
      <c r="K26" s="127">
        <f t="shared" si="34"/>
        <v>56047.414529136688</v>
      </c>
      <c r="L26" s="127">
        <f t="shared" si="34"/>
        <v>59541.041350183761</v>
      </c>
      <c r="M26" s="127">
        <f t="shared" si="34"/>
        <v>59938.488106666264</v>
      </c>
      <c r="N26" s="127">
        <f t="shared" si="34"/>
        <v>59881.627359446487</v>
      </c>
      <c r="Q26" s="127">
        <f t="shared" si="34"/>
        <v>162024</v>
      </c>
      <c r="R26" s="127">
        <f t="shared" si="34"/>
        <v>189949</v>
      </c>
      <c r="S26" s="127">
        <f t="shared" si="34"/>
        <v>183780</v>
      </c>
      <c r="T26" s="127">
        <f t="shared" si="34"/>
        <v>191008</v>
      </c>
      <c r="U26" s="127">
        <f t="shared" si="34"/>
        <v>197652</v>
      </c>
      <c r="V26" s="127">
        <f t="shared" si="34"/>
        <v>206808</v>
      </c>
      <c r="W26" s="127">
        <f t="shared" si="34"/>
        <v>221522.2135595466</v>
      </c>
      <c r="X26" s="127">
        <f t="shared" si="34"/>
        <v>235408.57134543319</v>
      </c>
      <c r="Y26" s="127">
        <f t="shared" si="34"/>
        <v>251397.05028466179</v>
      </c>
      <c r="Z26" s="127">
        <f t="shared" si="34"/>
        <v>262262.24506517744</v>
      </c>
      <c r="AA26" s="127">
        <f t="shared" si="34"/>
        <v>275802.52092892595</v>
      </c>
      <c r="AB26" s="127">
        <f t="shared" si="34"/>
        <v>290468.71154106612</v>
      </c>
      <c r="AC26" s="127">
        <f t="shared" si="34"/>
        <v>305324.13609218015</v>
      </c>
      <c r="AD26" s="127">
        <f t="shared" si="34"/>
        <v>316321.4269315027</v>
      </c>
      <c r="AE26" s="127">
        <f t="shared" si="34"/>
        <v>323933.44265524612</v>
      </c>
      <c r="AF26" s="127">
        <f t="shared" si="34"/>
        <v>333674.62116699526</v>
      </c>
      <c r="AG26" s="127">
        <f t="shared" si="34"/>
        <v>350475.34220063844</v>
      </c>
    </row>
    <row r="27" spans="2:33" s="127" customFormat="1" x14ac:dyDescent="0.2">
      <c r="H27" s="114"/>
    </row>
    <row r="28" spans="2:33" s="127" customFormat="1" x14ac:dyDescent="0.2">
      <c r="B28" s="127" t="s">
        <v>113</v>
      </c>
      <c r="C28" s="127">
        <v>3510</v>
      </c>
      <c r="D28" s="127">
        <v>3588</v>
      </c>
      <c r="E28" s="127">
        <v>3527</v>
      </c>
      <c r="F28" s="127">
        <f>14477-E28-D28-C28</f>
        <v>3852</v>
      </c>
      <c r="G28" s="127">
        <v>3925</v>
      </c>
      <c r="H28" s="114">
        <v>4260</v>
      </c>
      <c r="I28" s="127">
        <v>4581</v>
      </c>
      <c r="J28" s="127">
        <f>J$8*J68</f>
        <v>4692.8057761861592</v>
      </c>
      <c r="K28" s="127">
        <f>K$8*K68</f>
        <v>4479.0589100502866</v>
      </c>
      <c r="L28" s="127">
        <f>L$8*L68</f>
        <v>4896.2601530296652</v>
      </c>
      <c r="M28" s="127">
        <f>M$8*M68</f>
        <v>4876.862196506946</v>
      </c>
      <c r="N28" s="127">
        <f>N$8*N68</f>
        <v>5272.8586968819309</v>
      </c>
      <c r="Q28" s="127">
        <v>13134</v>
      </c>
      <c r="R28" s="127">
        <v>14031</v>
      </c>
      <c r="S28" s="127">
        <v>16045</v>
      </c>
      <c r="T28" s="127">
        <v>15436</v>
      </c>
      <c r="U28" s="127">
        <v>13120</v>
      </c>
      <c r="V28" s="127">
        <f>SUM(C28:F28)</f>
        <v>14477</v>
      </c>
      <c r="W28" s="127">
        <f>SUM(G28:J28)</f>
        <v>17458.80577618616</v>
      </c>
      <c r="X28" s="127">
        <f>SUM(K28:N28)</f>
        <v>19525.039956468827</v>
      </c>
      <c r="Y28" s="127">
        <f>Y$8*Y68</f>
        <v>20417.429679786015</v>
      </c>
      <c r="Z28" s="127">
        <f>Z$8*Z68</f>
        <v>21459.050996311933</v>
      </c>
      <c r="AA28" s="127">
        <f>AA$8*AA68</f>
        <v>22569.664433913618</v>
      </c>
      <c r="AB28" s="127">
        <f>AB$8*AB68</f>
        <v>23843.99956294446</v>
      </c>
      <c r="AC28" s="127">
        <f>AC$8*AC68</f>
        <v>25194.980734622233</v>
      </c>
      <c r="AD28" s="127">
        <f>AD$8*AD68</f>
        <v>26341.842931817548</v>
      </c>
      <c r="AE28" s="127">
        <f>AE$8*AE68</f>
        <v>27459.6528345429</v>
      </c>
      <c r="AF28" s="127">
        <f>AF$8*AF68</f>
        <v>28609.953781982971</v>
      </c>
      <c r="AG28" s="127">
        <f>AG$8*AG68</f>
        <v>29764.577007050655</v>
      </c>
    </row>
    <row r="29" spans="2:33" s="127" customFormat="1" x14ac:dyDescent="0.2">
      <c r="B29" s="127" t="s">
        <v>114</v>
      </c>
      <c r="C29" s="127">
        <v>3589</v>
      </c>
      <c r="D29" s="127">
        <v>3220</v>
      </c>
      <c r="E29" s="127">
        <v>3497</v>
      </c>
      <c r="F29" s="127">
        <f>13959-E29-D29-C29</f>
        <v>3653</v>
      </c>
      <c r="G29" s="127">
        <v>3591</v>
      </c>
      <c r="H29" s="114">
        <v>3844</v>
      </c>
      <c r="I29" s="127">
        <v>4295</v>
      </c>
      <c r="J29" s="127">
        <f>J$9*J69</f>
        <v>2944.2767907863126</v>
      </c>
      <c r="K29" s="127">
        <f>K$9*K69</f>
        <v>3827.5240637016855</v>
      </c>
      <c r="L29" s="127">
        <f>L$9*L69</f>
        <v>3784.1887610159229</v>
      </c>
      <c r="M29" s="127">
        <f>M$9*M69</f>
        <v>4678.2335984999791</v>
      </c>
      <c r="N29" s="127">
        <f>N$9*N69</f>
        <v>2978.7393634038308</v>
      </c>
      <c r="Q29" s="127">
        <v>10471</v>
      </c>
      <c r="R29" s="127">
        <v>10772</v>
      </c>
      <c r="S29" s="127">
        <v>11641</v>
      </c>
      <c r="T29" s="127">
        <v>11296</v>
      </c>
      <c r="U29" s="127">
        <v>11638</v>
      </c>
      <c r="V29" s="127">
        <f>SUM(C29:F29)</f>
        <v>13959</v>
      </c>
      <c r="W29" s="127">
        <f>SUM(G29:J29)</f>
        <v>14674.276790786313</v>
      </c>
      <c r="X29" s="127">
        <f>SUM(K29:N29)</f>
        <v>15268.685786621418</v>
      </c>
      <c r="Y29" s="127">
        <f>Y$9*Y69</f>
        <v>16253.800461461216</v>
      </c>
      <c r="Z29" s="127">
        <f>Z$9*Z69</f>
        <v>17189.384248454877</v>
      </c>
      <c r="AA29" s="127">
        <f>AA$9*AA69</f>
        <v>18054.528805131602</v>
      </c>
      <c r="AB29" s="127">
        <f>AB$9*AB69</f>
        <v>18938.852139209637</v>
      </c>
      <c r="AC29" s="127">
        <f>AC$9*AC69</f>
        <v>19785.501512897819</v>
      </c>
      <c r="AD29" s="127">
        <f>AD$9*AD69</f>
        <v>20615.504972822171</v>
      </c>
      <c r="AE29" s="127">
        <f>AE$9*AE69</f>
        <v>21387.6697687058</v>
      </c>
      <c r="AF29" s="127">
        <f>AF$9*AF69</f>
        <v>22102.877044144039</v>
      </c>
      <c r="AG29" s="127">
        <f>AG$9*AG69</f>
        <v>22767.17665246411</v>
      </c>
    </row>
    <row r="30" spans="2:33" s="127" customFormat="1" x14ac:dyDescent="0.2">
      <c r="B30" s="127" t="s">
        <v>1</v>
      </c>
      <c r="C30" s="127">
        <v>1093</v>
      </c>
      <c r="D30" s="127">
        <v>1563</v>
      </c>
      <c r="E30" s="127">
        <v>1582</v>
      </c>
      <c r="F30" s="127">
        <f>5615-E30-D30-C30</f>
        <v>1377</v>
      </c>
      <c r="G30" s="127">
        <v>1156</v>
      </c>
      <c r="H30" s="114">
        <v>1527</v>
      </c>
      <c r="I30" s="127">
        <v>1320</v>
      </c>
      <c r="J30" s="127">
        <f>J$10*J70</f>
        <v>1226.1387665870031</v>
      </c>
      <c r="K30" s="127">
        <f>K$10*K70</f>
        <v>1034.7570777765834</v>
      </c>
      <c r="L30" s="127">
        <f>L$10*L70</f>
        <v>1420.9831119014959</v>
      </c>
      <c r="M30" s="127">
        <f>M$10*M70</f>
        <v>1306.3196409636091</v>
      </c>
      <c r="N30" s="127">
        <f>N$10*N70</f>
        <v>1170.9875253282128</v>
      </c>
      <c r="Q30" s="127">
        <v>2589</v>
      </c>
      <c r="R30" s="127">
        <v>3231</v>
      </c>
      <c r="S30" s="127">
        <v>3895</v>
      </c>
      <c r="T30" s="127">
        <v>4002</v>
      </c>
      <c r="U30" s="127">
        <v>4796</v>
      </c>
      <c r="V30" s="127">
        <f>SUM(C30:F30)</f>
        <v>5615</v>
      </c>
      <c r="W30" s="127">
        <f>SUM(G30:J30)</f>
        <v>5229.1387665870034</v>
      </c>
      <c r="X30" s="127">
        <f>SUM(K30:N30)</f>
        <v>4933.0473559699012</v>
      </c>
      <c r="Y30" s="127">
        <f>Y$10*Y70</f>
        <v>4474.1533628590641</v>
      </c>
      <c r="Z30" s="127">
        <f>Z$10*Z70</f>
        <v>4359.8105791923163</v>
      </c>
      <c r="AA30" s="127">
        <f>AA$10*AA70</f>
        <v>4234.5830462858721</v>
      </c>
      <c r="AB30" s="127">
        <f>AB$10*AB70</f>
        <v>4095.7463350136036</v>
      </c>
      <c r="AC30" s="127">
        <f>AC$10*AC70</f>
        <v>3926.5528277713579</v>
      </c>
      <c r="AD30" s="127">
        <f>AD$10*AD70</f>
        <v>3746.7203495702224</v>
      </c>
      <c r="AE30" s="127">
        <f>AE$10*AE70</f>
        <v>3579.2085537958892</v>
      </c>
      <c r="AF30" s="127">
        <f>AF$10*AF70</f>
        <v>3454.2174542389193</v>
      </c>
      <c r="AG30" s="127">
        <f>AG$10*AG70</f>
        <v>3320.5347437523524</v>
      </c>
    </row>
    <row r="31" spans="2:33" s="127" customFormat="1" x14ac:dyDescent="0.2">
      <c r="B31" s="127" t="s">
        <v>7</v>
      </c>
      <c r="C31" s="127">
        <v>774</v>
      </c>
      <c r="D31" s="127">
        <v>778</v>
      </c>
      <c r="E31" s="127">
        <v>770</v>
      </c>
      <c r="F31" s="127">
        <f>3086-E31-D31-C31</f>
        <v>764</v>
      </c>
      <c r="G31" s="127">
        <v>770</v>
      </c>
      <c r="H31" s="114">
        <v>785</v>
      </c>
      <c r="I31" s="127">
        <v>795</v>
      </c>
      <c r="J31" s="127">
        <f>J$14*J71</f>
        <v>837.61728746745257</v>
      </c>
      <c r="K31" s="127">
        <f>K$14*K71</f>
        <v>818.28526782024551</v>
      </c>
      <c r="L31" s="127">
        <f>L$14*L71</f>
        <v>866.8197493066009</v>
      </c>
      <c r="M31" s="127">
        <f>M$14*M71</f>
        <v>864.79840205590779</v>
      </c>
      <c r="N31" s="127">
        <f>N$14*N71</f>
        <v>864.40435760286641</v>
      </c>
      <c r="Q31" s="127">
        <v>2642</v>
      </c>
      <c r="R31" s="127">
        <v>3254</v>
      </c>
      <c r="S31" s="127">
        <v>2818</v>
      </c>
      <c r="T31" s="127">
        <v>2905</v>
      </c>
      <c r="U31" s="127">
        <v>2978</v>
      </c>
      <c r="V31" s="127">
        <f>SUM(C31:F31)</f>
        <v>3086</v>
      </c>
      <c r="W31" s="127">
        <f>SUM(G31:J31)</f>
        <v>3187.6172874674526</v>
      </c>
      <c r="X31" s="127">
        <f>SUM(K31:N31)</f>
        <v>3414.3077767856203</v>
      </c>
      <c r="Y31" s="127">
        <f>Y$14*Y71</f>
        <v>3783.4373951207153</v>
      </c>
      <c r="Z31" s="127">
        <f>Z$14*Z71</f>
        <v>3970.0837226133735</v>
      </c>
      <c r="AA31" s="127">
        <f>AA$14*AA71</f>
        <v>4152.4401831341402</v>
      </c>
      <c r="AB31" s="127">
        <f>AB$14*AB71</f>
        <v>4283.9195701599347</v>
      </c>
      <c r="AC31" s="127">
        <f>AC$14*AC71</f>
        <v>4461.6254410197989</v>
      </c>
      <c r="AD31" s="127">
        <f>AD$14*AD71</f>
        <v>4674.4377473541144</v>
      </c>
      <c r="AE31" s="127">
        <f>AE$14*AE71</f>
        <v>4883.5991708844022</v>
      </c>
      <c r="AF31" s="127">
        <f>AF$14*AF71</f>
        <v>5052.0663801383698</v>
      </c>
      <c r="AG31" s="127">
        <f>AG$14*AG71</f>
        <v>5213.4039554147885</v>
      </c>
    </row>
    <row r="32" spans="2:33" s="127" customFormat="1" x14ac:dyDescent="0.2">
      <c r="B32" s="127" t="s">
        <v>115</v>
      </c>
      <c r="C32" s="127">
        <f t="shared" ref="C32:AG32" si="36">SUM(C28:C31)</f>
        <v>8966</v>
      </c>
      <c r="D32" s="127">
        <f t="shared" si="36"/>
        <v>9149</v>
      </c>
      <c r="E32" s="127">
        <f>SUM(E28:E31)</f>
        <v>9376</v>
      </c>
      <c r="F32" s="127">
        <f t="shared" si="36"/>
        <v>9646</v>
      </c>
      <c r="G32" s="127">
        <f t="shared" si="36"/>
        <v>9442</v>
      </c>
      <c r="H32" s="114">
        <v>10416</v>
      </c>
      <c r="I32" s="127">
        <f t="shared" si="36"/>
        <v>10991</v>
      </c>
      <c r="J32" s="127">
        <f t="shared" si="36"/>
        <v>9700.8386210269273</v>
      </c>
      <c r="K32" s="127">
        <f t="shared" si="36"/>
        <v>10159.625319348801</v>
      </c>
      <c r="L32" s="127">
        <f t="shared" si="36"/>
        <v>10968.251775253684</v>
      </c>
      <c r="M32" s="127">
        <f t="shared" si="36"/>
        <v>11726.21383802644</v>
      </c>
      <c r="N32" s="127">
        <f t="shared" si="36"/>
        <v>10286.989943216842</v>
      </c>
      <c r="Q32" s="127">
        <f t="shared" si="36"/>
        <v>28836</v>
      </c>
      <c r="R32" s="127">
        <f t="shared" si="36"/>
        <v>31288</v>
      </c>
      <c r="S32" s="127">
        <f t="shared" si="36"/>
        <v>34399</v>
      </c>
      <c r="T32" s="127">
        <f t="shared" si="36"/>
        <v>33639</v>
      </c>
      <c r="U32" s="127">
        <f t="shared" si="36"/>
        <v>32532</v>
      </c>
      <c r="V32" s="127">
        <f t="shared" si="36"/>
        <v>37137</v>
      </c>
      <c r="W32" s="127">
        <f t="shared" si="36"/>
        <v>40549.838621026931</v>
      </c>
      <c r="X32" s="127">
        <f t="shared" si="36"/>
        <v>43141.080875845772</v>
      </c>
      <c r="Y32" s="127">
        <f t="shared" si="36"/>
        <v>44928.820899227008</v>
      </c>
      <c r="Z32" s="127">
        <f t="shared" si="36"/>
        <v>46978.329546572495</v>
      </c>
      <c r="AA32" s="127">
        <f t="shared" si="36"/>
        <v>49011.216468465231</v>
      </c>
      <c r="AB32" s="127">
        <f t="shared" si="36"/>
        <v>51162.517607327638</v>
      </c>
      <c r="AC32" s="127">
        <f t="shared" si="36"/>
        <v>53368.660516311211</v>
      </c>
      <c r="AD32" s="127">
        <f t="shared" si="36"/>
        <v>55378.506001564056</v>
      </c>
      <c r="AE32" s="127">
        <f t="shared" si="36"/>
        <v>57310.130327928993</v>
      </c>
      <c r="AF32" s="127">
        <f t="shared" si="36"/>
        <v>59219.114660504303</v>
      </c>
      <c r="AG32" s="127">
        <f t="shared" si="36"/>
        <v>61065.69235868191</v>
      </c>
    </row>
    <row r="33" spans="2:36" s="127" customFormat="1" x14ac:dyDescent="0.2">
      <c r="H33" s="114"/>
    </row>
    <row r="34" spans="2:36" s="127" customFormat="1" x14ac:dyDescent="0.2">
      <c r="B34" s="127" t="s">
        <v>135</v>
      </c>
      <c r="C34" s="127">
        <f t="shared" ref="C34:AG34" si="37">C26+C32</f>
        <v>56022</v>
      </c>
      <c r="D34" s="127">
        <f t="shared" si="37"/>
        <v>60934</v>
      </c>
      <c r="E34" s="127">
        <f t="shared" si="37"/>
        <v>63397</v>
      </c>
      <c r="F34" s="127">
        <f t="shared" si="37"/>
        <v>63592</v>
      </c>
      <c r="G34" s="127">
        <f t="shared" si="37"/>
        <v>62396</v>
      </c>
      <c r="H34" s="114">
        <v>64974</v>
      </c>
      <c r="I34" s="127">
        <f t="shared" si="37"/>
        <v>68027</v>
      </c>
      <c r="J34" s="127">
        <f t="shared" si="37"/>
        <v>66675.052180573563</v>
      </c>
      <c r="K34" s="127">
        <f t="shared" si="37"/>
        <v>66207.039848485496</v>
      </c>
      <c r="L34" s="127">
        <f t="shared" si="37"/>
        <v>70509.293125437442</v>
      </c>
      <c r="M34" s="127">
        <f t="shared" si="37"/>
        <v>71664.701944692701</v>
      </c>
      <c r="N34" s="127">
        <f t="shared" si="37"/>
        <v>70168.617302663333</v>
      </c>
      <c r="Q34" s="127">
        <f t="shared" ref="Q34:R34" si="38">Q26+Q32</f>
        <v>190860</v>
      </c>
      <c r="R34" s="127">
        <f t="shared" si="38"/>
        <v>221237</v>
      </c>
      <c r="S34" s="127">
        <f>S26+S32</f>
        <v>218179</v>
      </c>
      <c r="T34" s="127">
        <f t="shared" si="37"/>
        <v>224647</v>
      </c>
      <c r="U34" s="127">
        <f t="shared" si="37"/>
        <v>230184</v>
      </c>
      <c r="V34" s="127">
        <f t="shared" si="37"/>
        <v>243945</v>
      </c>
      <c r="W34" s="127">
        <f t="shared" si="37"/>
        <v>262072.05218057352</v>
      </c>
      <c r="X34" s="127">
        <f>X26+X32</f>
        <v>278549.65222127899</v>
      </c>
      <c r="Y34" s="127">
        <f t="shared" si="37"/>
        <v>296325.87118388881</v>
      </c>
      <c r="Z34" s="127">
        <f t="shared" si="37"/>
        <v>309240.57461174997</v>
      </c>
      <c r="AA34" s="127">
        <f t="shared" si="37"/>
        <v>324813.73739739117</v>
      </c>
      <c r="AB34" s="127">
        <f t="shared" si="37"/>
        <v>341631.22914839373</v>
      </c>
      <c r="AC34" s="127">
        <f t="shared" si="37"/>
        <v>358692.79660849134</v>
      </c>
      <c r="AD34" s="127">
        <f t="shared" si="37"/>
        <v>371699.93293306674</v>
      </c>
      <c r="AE34" s="127">
        <f t="shared" si="37"/>
        <v>381243.57298317511</v>
      </c>
      <c r="AF34" s="127">
        <f t="shared" si="37"/>
        <v>392893.73582749953</v>
      </c>
      <c r="AG34" s="127">
        <f t="shared" si="37"/>
        <v>411541.03455932037</v>
      </c>
    </row>
    <row r="35" spans="2:36" s="127" customFormat="1" x14ac:dyDescent="0.2">
      <c r="B35" s="127" t="s">
        <v>136</v>
      </c>
      <c r="C35" s="127">
        <f>C31+C25</f>
        <v>1050</v>
      </c>
      <c r="D35" s="127">
        <f t="shared" ref="D35:N35" si="39">D31+D25</f>
        <v>1076</v>
      </c>
      <c r="E35" s="127">
        <f t="shared" si="39"/>
        <v>1056</v>
      </c>
      <c r="F35" s="127">
        <f t="shared" si="39"/>
        <v>990</v>
      </c>
      <c r="G35" s="127">
        <f t="shared" si="39"/>
        <v>1034</v>
      </c>
      <c r="H35" s="127">
        <f t="shared" si="39"/>
        <v>1087</v>
      </c>
      <c r="I35" s="127">
        <f t="shared" si="39"/>
        <v>1092</v>
      </c>
      <c r="J35" s="127">
        <f t="shared" si="39"/>
        <v>1120.8312600875797</v>
      </c>
      <c r="K35" s="127">
        <f t="shared" si="39"/>
        <v>1108.1251171688314</v>
      </c>
      <c r="L35" s="127">
        <f t="shared" si="39"/>
        <v>1177.5470525600063</v>
      </c>
      <c r="M35" s="127">
        <f t="shared" si="39"/>
        <v>1172.9939557244968</v>
      </c>
      <c r="N35" s="127">
        <f t="shared" si="39"/>
        <v>1171.3230649832444</v>
      </c>
      <c r="Q35" s="127">
        <f t="shared" ref="Q35:AG35" si="40">Q31+Q25</f>
        <v>3741</v>
      </c>
      <c r="R35" s="127">
        <f t="shared" si="40"/>
        <v>4386</v>
      </c>
      <c r="S35" s="127">
        <f t="shared" si="40"/>
        <v>3200</v>
      </c>
      <c r="T35" s="127">
        <f t="shared" si="40"/>
        <v>3001</v>
      </c>
      <c r="U35" s="127">
        <f t="shared" si="40"/>
        <v>13649</v>
      </c>
      <c r="V35" s="127">
        <f t="shared" si="40"/>
        <v>4172</v>
      </c>
      <c r="W35" s="127">
        <f t="shared" si="40"/>
        <v>4333.8312600875797</v>
      </c>
      <c r="X35" s="127">
        <f t="shared" si="40"/>
        <v>4629.9891904365786</v>
      </c>
      <c r="Y35" s="127">
        <f t="shared" si="40"/>
        <v>5080.3275428815787</v>
      </c>
      <c r="Z35" s="127">
        <f t="shared" si="40"/>
        <v>5323.7963319487817</v>
      </c>
      <c r="AA35" s="127">
        <f t="shared" si="40"/>
        <v>5574.0001322016233</v>
      </c>
      <c r="AB35" s="127">
        <f t="shared" si="40"/>
        <v>5774.636419113086</v>
      </c>
      <c r="AC35" s="127">
        <f t="shared" si="40"/>
        <v>6015.7735636556645</v>
      </c>
      <c r="AD35" s="127">
        <f t="shared" si="40"/>
        <v>6293.906535978258</v>
      </c>
      <c r="AE35" s="127">
        <f t="shared" si="40"/>
        <v>6566.6484390432943</v>
      </c>
      <c r="AF35" s="127">
        <f t="shared" si="40"/>
        <v>6795.8451115448925</v>
      </c>
      <c r="AG35" s="127">
        <f t="shared" si="40"/>
        <v>7016.2872450788673</v>
      </c>
    </row>
    <row r="36" spans="2:36" s="127" customFormat="1" x14ac:dyDescent="0.2">
      <c r="B36" s="127" t="s">
        <v>116</v>
      </c>
      <c r="C36" s="127">
        <f>C14-C34+C35</f>
        <v>10637</v>
      </c>
      <c r="D36" s="127">
        <f t="shared" ref="D36:N36" si="41">D14-D34+D35</f>
        <v>9256</v>
      </c>
      <c r="E36" s="127">
        <f t="shared" si="41"/>
        <v>8239</v>
      </c>
      <c r="F36" s="127">
        <f t="shared" si="41"/>
        <v>8816</v>
      </c>
      <c r="G36" s="127">
        <f t="shared" si="41"/>
        <v>9448</v>
      </c>
      <c r="H36" s="127">
        <f t="shared" si="41"/>
        <v>12293</v>
      </c>
      <c r="I36" s="127">
        <f t="shared" si="41"/>
        <v>9999</v>
      </c>
      <c r="J36" s="127">
        <f t="shared" si="41"/>
        <v>11419.159079514022</v>
      </c>
      <c r="K36" s="127">
        <f t="shared" si="41"/>
        <v>11012.445268683336</v>
      </c>
      <c r="L36" s="127">
        <f t="shared" si="41"/>
        <v>11839.293927122573</v>
      </c>
      <c r="M36" s="127">
        <f t="shared" si="41"/>
        <v>10740.722011031788</v>
      </c>
      <c r="N36" s="127">
        <f t="shared" si="41"/>
        <v>12254.391362319908</v>
      </c>
      <c r="Q36" s="127">
        <f>Q14-Q34+Q35</f>
        <v>27995</v>
      </c>
      <c r="R36" s="127">
        <f>R14-R34+R35</f>
        <v>16060</v>
      </c>
      <c r="S36" s="127">
        <f t="shared" ref="S36:AG36" si="42">S14-S34+S35</f>
        <v>32858</v>
      </c>
      <c r="T36" s="127">
        <f t="shared" si="42"/>
        <v>32970</v>
      </c>
      <c r="U36" s="127">
        <f t="shared" si="42"/>
        <v>28975</v>
      </c>
      <c r="V36" s="127">
        <f t="shared" si="42"/>
        <v>36321</v>
      </c>
      <c r="W36" s="127">
        <f t="shared" si="42"/>
        <v>43159.159079514066</v>
      </c>
      <c r="X36" s="127">
        <f t="shared" si="42"/>
        <v>45846.852569157578</v>
      </c>
      <c r="Y36" s="127">
        <f t="shared" si="42"/>
        <v>45768.36009499283</v>
      </c>
      <c r="Z36" s="127">
        <f t="shared" si="42"/>
        <v>50480.613606348932</v>
      </c>
      <c r="AA36" s="127">
        <f t="shared" si="42"/>
        <v>52581.098126940291</v>
      </c>
      <c r="AB36" s="127">
        <f t="shared" si="42"/>
        <v>53324.616870399623</v>
      </c>
      <c r="AC36" s="127">
        <f t="shared" si="42"/>
        <v>53693.202924331519</v>
      </c>
      <c r="AD36" s="127">
        <f t="shared" si="42"/>
        <v>57870.330564619682</v>
      </c>
      <c r="AE36" s="127">
        <f t="shared" si="42"/>
        <v>65110.294658202249</v>
      </c>
      <c r="AF36" s="127">
        <f t="shared" si="42"/>
        <v>69694.340951753969</v>
      </c>
      <c r="AG36" s="127">
        <f t="shared" si="42"/>
        <v>66660.688708944872</v>
      </c>
    </row>
    <row r="37" spans="2:36" s="127" customFormat="1" x14ac:dyDescent="0.2">
      <c r="B37" s="127" t="s">
        <v>117</v>
      </c>
      <c r="C37" s="127">
        <v>251</v>
      </c>
      <c r="D37" s="127">
        <v>147</v>
      </c>
      <c r="E37" s="127">
        <v>377</v>
      </c>
      <c r="F37" s="127">
        <f>995-E37-D37-C37</f>
        <v>220</v>
      </c>
      <c r="G37" s="127">
        <v>376</v>
      </c>
      <c r="H37" s="114">
        <v>231</v>
      </c>
      <c r="I37" s="127">
        <v>441</v>
      </c>
      <c r="J37" s="127">
        <f>J$36*J75</f>
        <v>347.27857234100111</v>
      </c>
      <c r="K37" s="127">
        <f>K$36*K75</f>
        <v>345.6310933589823</v>
      </c>
      <c r="L37" s="127">
        <f>L$36*L75</f>
        <v>397.80434214620175</v>
      </c>
      <c r="M37" s="127">
        <f>M$36*M75</f>
        <v>342.2374058722304</v>
      </c>
      <c r="N37" s="127">
        <f>N$36*N75</f>
        <v>402.56319415897678</v>
      </c>
      <c r="Q37" s="127">
        <v>1109</v>
      </c>
      <c r="R37" s="127">
        <v>3014</v>
      </c>
      <c r="S37" s="127">
        <v>-2167</v>
      </c>
      <c r="T37" s="127">
        <v>1176</v>
      </c>
      <c r="U37" s="127">
        <v>726</v>
      </c>
      <c r="V37" s="127">
        <f>SUM(C37:F37)</f>
        <v>995</v>
      </c>
      <c r="W37" s="127">
        <f>SUM(G37:J37)</f>
        <v>1395.2785723410011</v>
      </c>
      <c r="X37" s="127">
        <f>SUM(K37:N37)</f>
        <v>1488.2360355363912</v>
      </c>
      <c r="Y37" s="127">
        <f>Y36*Y75</f>
        <v>1399.6806722108061</v>
      </c>
      <c r="Z37" s="127">
        <f>Z36*Z75</f>
        <v>1543.7900558267645</v>
      </c>
      <c r="AA37" s="127">
        <f>AA36*AA75</f>
        <v>1608.0267376665263</v>
      </c>
      <c r="AB37" s="127">
        <f>AB36*AB75</f>
        <v>1630.7649090252232</v>
      </c>
      <c r="AC37" s="127">
        <f>AC36*AC75</f>
        <v>1642.0369488069448</v>
      </c>
      <c r="AD37" s="127">
        <f>AD36*AD75</f>
        <v>1769.7811985754331</v>
      </c>
      <c r="AE37" s="127">
        <f>AE36*AE75</f>
        <v>1991.1926231546674</v>
      </c>
      <c r="AF37" s="127">
        <f>AF36*AF75</f>
        <v>2131.3811941300537</v>
      </c>
      <c r="AG37" s="127">
        <f>AG36*AG75</f>
        <v>2038.6065261791825</v>
      </c>
    </row>
    <row r="38" spans="2:36" s="127" customFormat="1" x14ac:dyDescent="0.2">
      <c r="B38" s="127" t="s">
        <v>29</v>
      </c>
      <c r="C38" s="127">
        <f>C36+C37+C35</f>
        <v>11938</v>
      </c>
      <c r="D38" s="127">
        <f t="shared" ref="D38:N38" si="43">D36+D37+D35</f>
        <v>10479</v>
      </c>
      <c r="E38" s="127">
        <f t="shared" si="43"/>
        <v>9672</v>
      </c>
      <c r="F38" s="127">
        <f t="shared" si="43"/>
        <v>10026</v>
      </c>
      <c r="G38" s="127">
        <f t="shared" si="43"/>
        <v>10858</v>
      </c>
      <c r="H38" s="127">
        <f t="shared" si="43"/>
        <v>13611</v>
      </c>
      <c r="I38" s="127">
        <f t="shared" si="43"/>
        <v>11532</v>
      </c>
      <c r="J38" s="127">
        <f t="shared" si="43"/>
        <v>12887.268911942603</v>
      </c>
      <c r="K38" s="127">
        <f t="shared" si="43"/>
        <v>12466.201479211149</v>
      </c>
      <c r="L38" s="127">
        <f t="shared" si="43"/>
        <v>13414.645321828782</v>
      </c>
      <c r="M38" s="127">
        <f t="shared" si="43"/>
        <v>12255.953372628515</v>
      </c>
      <c r="N38" s="127">
        <f t="shared" si="43"/>
        <v>13828.277621462128</v>
      </c>
      <c r="Q38" s="127">
        <f t="shared" ref="Q38" si="44">Q36+Q37+Q35</f>
        <v>32845</v>
      </c>
      <c r="R38" s="127">
        <f t="shared" ref="R38" si="45">R36+R37+R35</f>
        <v>23460</v>
      </c>
      <c r="S38" s="127">
        <f t="shared" ref="S38" si="46">S36+S37+S35</f>
        <v>33891</v>
      </c>
      <c r="T38" s="127">
        <f t="shared" ref="T38" si="47">T36+T37+T35</f>
        <v>37147</v>
      </c>
      <c r="U38" s="127">
        <f t="shared" ref="U38" si="48">U36+U37+U35</f>
        <v>43350</v>
      </c>
      <c r="V38" s="127">
        <f t="shared" ref="V38" si="49">V36+V37+V35</f>
        <v>41488</v>
      </c>
      <c r="W38" s="127">
        <f t="shared" ref="W38" si="50">W36+W37+W35</f>
        <v>48888.268911942643</v>
      </c>
      <c r="X38" s="127">
        <f t="shared" ref="X38" si="51">X36+X37+X35</f>
        <v>51965.07779513055</v>
      </c>
      <c r="Y38" s="127">
        <f t="shared" ref="Y38" si="52">Y36+Y37+Y35</f>
        <v>52248.368310085214</v>
      </c>
      <c r="Z38" s="127">
        <f t="shared" ref="Z38" si="53">Z36+Z37+Z35</f>
        <v>57348.199994124479</v>
      </c>
      <c r="AA38" s="127">
        <f t="shared" ref="AA38" si="54">AA36+AA37+AA35</f>
        <v>59763.124996808445</v>
      </c>
      <c r="AB38" s="127">
        <f t="shared" ref="AB38" si="55">AB36+AB37+AB35</f>
        <v>60730.018198537931</v>
      </c>
      <c r="AC38" s="127">
        <f t="shared" ref="AC38" si="56">AC36+AC37+AC35</f>
        <v>61351.013436794135</v>
      </c>
      <c r="AD38" s="127">
        <f t="shared" ref="AD38" si="57">AD36+AD37+AD35</f>
        <v>65934.018299173375</v>
      </c>
      <c r="AE38" s="127">
        <f t="shared" ref="AE38" si="58">AE36+AE37+AE35</f>
        <v>73668.135720400198</v>
      </c>
      <c r="AF38" s="127">
        <f t="shared" ref="AF38" si="59">AF36+AF37+AF35</f>
        <v>78621.56725742892</v>
      </c>
      <c r="AG38" s="127">
        <f t="shared" ref="AG38" si="60">AG36+AG37+AG35</f>
        <v>75715.582480202924</v>
      </c>
    </row>
    <row r="39" spans="2:36" s="127" customFormat="1" x14ac:dyDescent="0.2">
      <c r="B39" s="127" t="s">
        <v>3</v>
      </c>
      <c r="C39" s="127">
        <v>2688</v>
      </c>
      <c r="D39" s="127">
        <v>7296</v>
      </c>
      <c r="E39" s="127">
        <v>1840</v>
      </c>
      <c r="F39" s="127">
        <f>20879-E39-D39-C39</f>
        <v>9055</v>
      </c>
      <c r="G39" s="127">
        <v>1227</v>
      </c>
      <c r="H39" s="114">
        <v>-12106</v>
      </c>
      <c r="I39" s="127">
        <v>-1529</v>
      </c>
      <c r="J39" s="127">
        <f>J38*J76</f>
        <v>2061.9630259108167</v>
      </c>
      <c r="K39" s="127">
        <f>K38*K76</f>
        <v>1994.5922366737839</v>
      </c>
      <c r="L39" s="127">
        <f>L38*L76</f>
        <v>2146.3432514926053</v>
      </c>
      <c r="M39" s="127">
        <f>M38*M76</f>
        <v>1960.9525396205624</v>
      </c>
      <c r="N39" s="127">
        <f>N38*N76</f>
        <v>2212.5244194339407</v>
      </c>
      <c r="Q39" s="127">
        <v>-321</v>
      </c>
      <c r="R39" s="127">
        <v>-21515</v>
      </c>
      <c r="S39" s="127">
        <v>-321</v>
      </c>
      <c r="T39" s="127">
        <v>20904</v>
      </c>
      <c r="U39" s="127">
        <v>12440</v>
      </c>
      <c r="V39" s="127">
        <f>SUM(C39:F39)</f>
        <v>20879</v>
      </c>
      <c r="W39" s="127">
        <f>SUM(G39:J39)</f>
        <v>-10346.036974089184</v>
      </c>
      <c r="X39" s="127">
        <f>SUM(K39:N39)</f>
        <v>8314.4124472208932</v>
      </c>
      <c r="Y39" s="127">
        <f>Y38*Y76</f>
        <v>10972.157345117894</v>
      </c>
      <c r="Z39" s="127">
        <f>Z38*Z76</f>
        <v>12043.121998766141</v>
      </c>
      <c r="AA39" s="127">
        <f>AA38*AA76</f>
        <v>12550.256249329774</v>
      </c>
      <c r="AB39" s="127">
        <f>AB38*AB76</f>
        <v>12753.303821692965</v>
      </c>
      <c r="AC39" s="127">
        <f>AC38*AC76</f>
        <v>12883.712821726767</v>
      </c>
      <c r="AD39" s="127">
        <f>AD38*AD76</f>
        <v>13846.143842826408</v>
      </c>
      <c r="AE39" s="127">
        <f>AE38*AE76</f>
        <v>15470.30850128404</v>
      </c>
      <c r="AF39" s="127">
        <f>AF38*AF76</f>
        <v>16510.529124060071</v>
      </c>
      <c r="AG39" s="127">
        <f>AG38*AG76</f>
        <v>15900.272320842614</v>
      </c>
    </row>
    <row r="40" spans="2:36" s="127" customFormat="1" x14ac:dyDescent="0.2">
      <c r="B40" s="127" t="s">
        <v>124</v>
      </c>
      <c r="H40" s="114"/>
      <c r="J40" s="127">
        <f>J17</f>
        <v>27521.040000000037</v>
      </c>
      <c r="K40" s="127">
        <f t="shared" ref="K40:AG40" si="61">K17</f>
        <v>-38896.403200000001</v>
      </c>
      <c r="L40" s="127">
        <f t="shared" si="61"/>
        <v>13419.259103999997</v>
      </c>
      <c r="M40" s="127">
        <f t="shared" si="61"/>
        <v>23036.394795200031</v>
      </c>
      <c r="N40" s="127">
        <f t="shared" si="61"/>
        <v>4837.6429069919977</v>
      </c>
      <c r="Q40" s="127">
        <f t="shared" si="61"/>
        <v>0</v>
      </c>
      <c r="R40" s="127">
        <f t="shared" si="61"/>
        <v>62561</v>
      </c>
      <c r="S40" s="127">
        <f t="shared" si="61"/>
        <v>12146</v>
      </c>
      <c r="T40" s="127">
        <f t="shared" si="61"/>
        <v>89955</v>
      </c>
      <c r="U40" s="127">
        <f t="shared" si="61"/>
        <v>44707</v>
      </c>
      <c r="V40" s="127">
        <f t="shared" si="61"/>
        <v>74485</v>
      </c>
      <c r="W40" s="127">
        <f t="shared" si="61"/>
        <v>-42176.959999999963</v>
      </c>
      <c r="X40" s="127">
        <f t="shared" si="61"/>
        <v>2396.8936061920249</v>
      </c>
      <c r="Y40" s="127">
        <f t="shared" si="61"/>
        <v>39088.154688495386</v>
      </c>
      <c r="Z40" s="127">
        <f t="shared" si="61"/>
        <v>42215.207063575042</v>
      </c>
      <c r="AA40" s="127">
        <f t="shared" si="61"/>
        <v>45592.423628661083</v>
      </c>
      <c r="AB40" s="127">
        <f t="shared" si="61"/>
        <v>49239.817518953932</v>
      </c>
      <c r="AC40" s="127">
        <f t="shared" si="61"/>
        <v>53179.0029204702</v>
      </c>
      <c r="AD40" s="127">
        <f t="shared" si="61"/>
        <v>57433.3231541079</v>
      </c>
      <c r="AE40" s="127">
        <f t="shared" si="61"/>
        <v>62027.989006436546</v>
      </c>
      <c r="AF40" s="127">
        <f t="shared" si="61"/>
        <v>66990.228126951377</v>
      </c>
      <c r="AG40" s="127">
        <f t="shared" si="61"/>
        <v>72349.446377107524</v>
      </c>
    </row>
    <row r="41" spans="2:36" s="127" customFormat="1" x14ac:dyDescent="0.2">
      <c r="B41" s="127" t="s">
        <v>4</v>
      </c>
      <c r="C41" s="127">
        <f>C38-C39</f>
        <v>9250</v>
      </c>
      <c r="D41" s="127">
        <f>D38-D39</f>
        <v>3183</v>
      </c>
      <c r="E41" s="127">
        <f>E38-E39</f>
        <v>7832</v>
      </c>
      <c r="F41" s="127">
        <f>F38-F39</f>
        <v>971</v>
      </c>
      <c r="G41" s="127">
        <f>G38-G39</f>
        <v>9631</v>
      </c>
      <c r="H41" s="114">
        <v>23081</v>
      </c>
      <c r="I41" s="127">
        <f t="shared" ref="I41" si="62">I38-I39</f>
        <v>13061</v>
      </c>
      <c r="J41" s="127">
        <f>J38-J39+J40</f>
        <v>38346.345886031821</v>
      </c>
      <c r="K41" s="127">
        <f t="shared" ref="K41:M41" si="63">K38-K39+K40</f>
        <v>-28424.793957462636</v>
      </c>
      <c r="L41" s="127">
        <f t="shared" si="63"/>
        <v>24687.561174336173</v>
      </c>
      <c r="M41" s="127">
        <f t="shared" si="63"/>
        <v>33331.395628207982</v>
      </c>
      <c r="N41" s="127">
        <f>N38-N39+N40</f>
        <v>16453.396109020185</v>
      </c>
      <c r="Q41" s="127">
        <f>Q38-Q39</f>
        <v>33166</v>
      </c>
      <c r="R41" s="127">
        <f>R38-R39</f>
        <v>44975</v>
      </c>
      <c r="S41" s="127">
        <f>S38-S39</f>
        <v>34212</v>
      </c>
      <c r="T41" s="127">
        <f>T38-T39</f>
        <v>16243</v>
      </c>
      <c r="U41" s="127">
        <f>U38-U39</f>
        <v>30910</v>
      </c>
      <c r="V41" s="127">
        <f>V38-V39</f>
        <v>20609</v>
      </c>
      <c r="W41" s="127">
        <f>W38-W39+W40</f>
        <v>17057.345886031864</v>
      </c>
      <c r="X41" s="127">
        <f t="shared" ref="X41:AG41" si="64">X38-X39+X40</f>
        <v>46047.558954101682</v>
      </c>
      <c r="Y41" s="127">
        <f t="shared" si="64"/>
        <v>80364.365653462708</v>
      </c>
      <c r="Z41" s="127">
        <f t="shared" si="64"/>
        <v>87520.285058933383</v>
      </c>
      <c r="AA41" s="127">
        <f t="shared" si="64"/>
        <v>92805.292376139754</v>
      </c>
      <c r="AB41" s="127">
        <f t="shared" si="64"/>
        <v>97216.531895798893</v>
      </c>
      <c r="AC41" s="127">
        <f t="shared" si="64"/>
        <v>101646.30353553756</v>
      </c>
      <c r="AD41" s="127">
        <f t="shared" si="64"/>
        <v>109521.19761045487</v>
      </c>
      <c r="AE41" s="127">
        <f t="shared" si="64"/>
        <v>120225.8162255527</v>
      </c>
      <c r="AF41" s="127">
        <f t="shared" si="64"/>
        <v>129101.26626032023</v>
      </c>
      <c r="AG41" s="127">
        <f t="shared" si="64"/>
        <v>132164.75653646782</v>
      </c>
    </row>
    <row r="42" spans="2:36" s="127" customFormat="1" x14ac:dyDescent="0.2">
      <c r="B42" s="127" t="s">
        <v>118</v>
      </c>
      <c r="C42" s="127">
        <v>129</v>
      </c>
      <c r="D42" s="127">
        <v>331</v>
      </c>
      <c r="E42" s="127">
        <v>300</v>
      </c>
      <c r="F42" s="127">
        <f>1012</f>
        <v>1012</v>
      </c>
      <c r="G42" s="127">
        <v>125</v>
      </c>
      <c r="H42" s="114">
        <v>379</v>
      </c>
      <c r="I42" s="127">
        <v>100</v>
      </c>
      <c r="J42" s="127">
        <v>150</v>
      </c>
      <c r="K42" s="127">
        <v>200</v>
      </c>
      <c r="L42" s="127">
        <v>250</v>
      </c>
      <c r="M42" s="127">
        <v>150</v>
      </c>
      <c r="N42" s="127">
        <v>100</v>
      </c>
      <c r="Q42" s="127">
        <v>353</v>
      </c>
      <c r="R42" s="127">
        <v>413</v>
      </c>
      <c r="S42" s="127">
        <v>301</v>
      </c>
      <c r="T42" s="127">
        <v>375</v>
      </c>
      <c r="U42" s="127">
        <v>732</v>
      </c>
      <c r="V42" s="127">
        <f>SUM(C42:F42)</f>
        <v>1772</v>
      </c>
      <c r="W42" s="127">
        <f>SUM(G42:J42)</f>
        <v>754</v>
      </c>
      <c r="X42" s="127">
        <f>SUM(K42:N42)</f>
        <v>700</v>
      </c>
      <c r="Y42" s="127">
        <f>Y36*Y77</f>
        <v>698.80155934734137</v>
      </c>
      <c r="Z42" s="127">
        <f>Z36*Z77</f>
        <v>770.74929999046492</v>
      </c>
      <c r="AA42" s="127">
        <f>AA36*AA77</f>
        <v>802.81996748494612</v>
      </c>
      <c r="AB42" s="127">
        <f>AB36*AB77</f>
        <v>814.17217796954674</v>
      </c>
      <c r="AC42" s="127">
        <f>AC36*AC77</f>
        <v>819.79983228590652</v>
      </c>
      <c r="AD42" s="127">
        <f>AD36*AD77</f>
        <v>883.57715143319206</v>
      </c>
      <c r="AE42" s="127">
        <f>AE36*AE77</f>
        <v>994.11854264130227</v>
      </c>
      <c r="AF42" s="127">
        <f>AF36*AF77</f>
        <v>1064.1087868057375</v>
      </c>
      <c r="AG42" s="127">
        <f>AG36*AG77</f>
        <v>1017.7903057984951</v>
      </c>
    </row>
    <row r="43" spans="2:36" s="127" customFormat="1" x14ac:dyDescent="0.2">
      <c r="B43" s="127" t="s">
        <v>119</v>
      </c>
      <c r="C43" s="127">
        <f t="shared" ref="C43:AG43" si="65">C41+C42</f>
        <v>9379</v>
      </c>
      <c r="D43" s="127">
        <f t="shared" si="65"/>
        <v>3514</v>
      </c>
      <c r="E43" s="127">
        <f t="shared" si="65"/>
        <v>8132</v>
      </c>
      <c r="F43" s="127">
        <f t="shared" si="65"/>
        <v>1983</v>
      </c>
      <c r="G43" s="127">
        <f t="shared" si="65"/>
        <v>9756</v>
      </c>
      <c r="H43" s="114">
        <v>23460</v>
      </c>
      <c r="I43" s="127">
        <f t="shared" si="65"/>
        <v>13161</v>
      </c>
      <c r="J43" s="127">
        <f t="shared" si="65"/>
        <v>38496.345886031821</v>
      </c>
      <c r="K43" s="127">
        <f t="shared" si="65"/>
        <v>-28224.793957462636</v>
      </c>
      <c r="L43" s="127">
        <f t="shared" si="65"/>
        <v>24937.561174336173</v>
      </c>
      <c r="M43" s="127">
        <f t="shared" si="65"/>
        <v>33481.395628207982</v>
      </c>
      <c r="N43" s="127">
        <f>N41+N42</f>
        <v>16553.396109020185</v>
      </c>
      <c r="Q43" s="127">
        <f t="shared" si="65"/>
        <v>33519</v>
      </c>
      <c r="R43" s="127">
        <f t="shared" si="65"/>
        <v>45388</v>
      </c>
      <c r="S43" s="127">
        <f t="shared" si="65"/>
        <v>34513</v>
      </c>
      <c r="T43" s="127">
        <f t="shared" si="65"/>
        <v>16618</v>
      </c>
      <c r="U43" s="127">
        <f t="shared" si="65"/>
        <v>31642</v>
      </c>
      <c r="V43" s="127">
        <f t="shared" si="65"/>
        <v>22381</v>
      </c>
      <c r="W43" s="127">
        <f t="shared" si="65"/>
        <v>17811.345886031864</v>
      </c>
      <c r="X43" s="127">
        <f t="shared" si="65"/>
        <v>46747.558954101682</v>
      </c>
      <c r="Y43" s="127">
        <f t="shared" si="65"/>
        <v>81063.167212810047</v>
      </c>
      <c r="Z43" s="127">
        <f t="shared" si="65"/>
        <v>88291.034358923847</v>
      </c>
      <c r="AA43" s="127">
        <f t="shared" si="65"/>
        <v>93608.1123436247</v>
      </c>
      <c r="AB43" s="127">
        <f t="shared" si="65"/>
        <v>98030.704073768444</v>
      </c>
      <c r="AC43" s="127">
        <f t="shared" si="65"/>
        <v>102466.10336782347</v>
      </c>
      <c r="AD43" s="127">
        <f t="shared" si="65"/>
        <v>110404.77476188805</v>
      </c>
      <c r="AE43" s="127">
        <f t="shared" si="65"/>
        <v>121219.934768194</v>
      </c>
      <c r="AF43" s="127">
        <f t="shared" si="65"/>
        <v>130165.37504712597</v>
      </c>
      <c r="AG43" s="127">
        <f t="shared" si="65"/>
        <v>133182.54684226631</v>
      </c>
    </row>
    <row r="44" spans="2:36" x14ac:dyDescent="0.2">
      <c r="X44" s="128"/>
      <c r="Y44" s="128"/>
      <c r="Z44" s="128"/>
      <c r="AA44" s="128"/>
      <c r="AB44" s="128"/>
      <c r="AC44" s="128"/>
      <c r="AD44" s="128"/>
      <c r="AE44" s="128"/>
      <c r="AF44" s="128"/>
      <c r="AG44" s="128"/>
      <c r="AJ44" s="129"/>
    </row>
    <row r="45" spans="2:36" s="117" customFormat="1" x14ac:dyDescent="0.2">
      <c r="B45" s="117" t="s">
        <v>125</v>
      </c>
      <c r="C45" s="118"/>
      <c r="D45" s="118"/>
      <c r="E45" s="118"/>
      <c r="F45" s="118"/>
      <c r="G45" s="118">
        <f>G14/C14-1</f>
        <v>7.9272660763004987E-2</v>
      </c>
      <c r="H45" s="118">
        <f>H14/D14-1</f>
        <v>0.10223688398877218</v>
      </c>
      <c r="I45" s="118">
        <f>I14/E14-1</f>
        <v>9.0025502975347171E-2</v>
      </c>
      <c r="J45" s="118">
        <f>J14/F14-1</f>
        <v>7.778683245120277E-2</v>
      </c>
      <c r="K45" s="118">
        <f>K14/G14-1</f>
        <v>7.486739161135425E-2</v>
      </c>
      <c r="L45" s="118">
        <f>L14/H14-1</f>
        <v>6.5516408506169688E-2</v>
      </c>
      <c r="M45" s="118">
        <f>M14/I14-1</f>
        <v>5.5871656224816046E-2</v>
      </c>
      <c r="N45" s="118">
        <f>N14/J14-1</f>
        <v>5.5581625751655928E-2</v>
      </c>
      <c r="Q45" s="118"/>
      <c r="R45" s="118">
        <f>R14/Q14-1</f>
        <v>8.2732876521286469E-2</v>
      </c>
      <c r="S45" s="118">
        <f>S14/R14-1</f>
        <v>6.4084564490298979E-2</v>
      </c>
      <c r="T45" s="118">
        <f>T14/S14-1</f>
        <v>2.735265517255292E-2</v>
      </c>
      <c r="U45" s="118">
        <f>U14/T14-1</f>
        <v>-3.5763659785716495E-2</v>
      </c>
      <c r="V45" s="118">
        <f>V14/U14-1</f>
        <v>0.12457333713494356</v>
      </c>
      <c r="W45" s="118">
        <f>W14/V14-1</f>
        <v>8.9836722275746572E-2</v>
      </c>
      <c r="X45" s="118">
        <f>X14/W14-1</f>
        <v>6.2709537716812314E-2</v>
      </c>
      <c r="Y45" s="118">
        <f>Y14/X14-1</f>
        <v>5.3937442773323685E-2</v>
      </c>
      <c r="Z45" s="118">
        <f>Z14/Y14-1</f>
        <v>5.1580922797082707E-2</v>
      </c>
      <c r="AA45" s="118">
        <f>AA14/Z14-1</f>
        <v>4.916357711677799E-2</v>
      </c>
      <c r="AB45" s="118">
        <f>AB14/AA14-1</f>
        <v>4.6690159762676542E-2</v>
      </c>
      <c r="AC45" s="118">
        <f>AC14/AB14-1</f>
        <v>4.4167128179615656E-2</v>
      </c>
      <c r="AD45" s="118">
        <f>AD14/AC14-1</f>
        <v>4.1602779712073934E-2</v>
      </c>
      <c r="AE45" s="118">
        <f>AE14/AD14-1</f>
        <v>3.9007286773921068E-2</v>
      </c>
      <c r="AF45" s="118">
        <f>AF14/AE14-1</f>
        <v>3.6392627540208444E-2</v>
      </c>
      <c r="AG45" s="118">
        <f>AG14/AF14-1</f>
        <v>3.3772414898681324E-2</v>
      </c>
      <c r="AI45" s="122"/>
      <c r="AJ45" s="130"/>
    </row>
    <row r="46" spans="2:36" x14ac:dyDescent="0.2">
      <c r="B46" s="122" t="s">
        <v>126</v>
      </c>
      <c r="C46" s="134"/>
      <c r="D46" s="134"/>
      <c r="E46" s="134"/>
      <c r="F46" s="134"/>
      <c r="G46" s="134">
        <f>G12/C12-1</f>
        <v>0.10490271497457648</v>
      </c>
      <c r="H46" s="134">
        <f>H12/D12-1</f>
        <v>0.10137814186651761</v>
      </c>
      <c r="I46" s="134">
        <f>I12/E12-1</f>
        <v>8.5423658443760209E-2</v>
      </c>
      <c r="J46" s="134">
        <f>J12/F12-1</f>
        <v>7.0924693345726819E-2</v>
      </c>
      <c r="K46" s="134">
        <f>K12/G12-1</f>
        <v>7.1150998505637775E-2</v>
      </c>
      <c r="L46" s="134">
        <f>L12/H12-1</f>
        <v>6.3908492585837751E-2</v>
      </c>
      <c r="M46" s="134">
        <f>M12/I12-1</f>
        <v>5.5150771388499109E-2</v>
      </c>
      <c r="N46" s="134">
        <f>N12/J12-1</f>
        <v>5.3809826410415429E-2</v>
      </c>
      <c r="Q46" s="134"/>
      <c r="R46" s="134">
        <f>R12/Q12-1</f>
        <v>8.5772822189827069E-2</v>
      </c>
      <c r="S46" s="134">
        <f>S12/R12-1</f>
        <v>5.8360030273812091E-2</v>
      </c>
      <c r="T46" s="134">
        <f>T12/S12-1</f>
        <v>3.4281264081816643E-2</v>
      </c>
      <c r="U46" s="134">
        <f>U12/T12-1</f>
        <v>-3.5124524656308109E-2</v>
      </c>
      <c r="V46" s="134">
        <f>V12/U12-1</f>
        <v>0.11891276393156192</v>
      </c>
      <c r="W46" s="134">
        <f>W12/V12-1</f>
        <v>9.31378139612411E-2</v>
      </c>
      <c r="X46" s="134">
        <f>X12/W12-1</f>
        <v>6.080037880155853E-2</v>
      </c>
      <c r="Y46" s="134">
        <f>Y12/X12-1</f>
        <v>5.4631612904397553E-2</v>
      </c>
      <c r="Z46" s="134">
        <f>Z12/Y12-1</f>
        <v>5.2187292419317632E-2</v>
      </c>
      <c r="AA46" s="134">
        <f>AA12/Z12-1</f>
        <v>4.9696882020851429E-2</v>
      </c>
      <c r="AB46" s="134">
        <f>AB12/AA12-1</f>
        <v>4.7162387842275111E-2</v>
      </c>
      <c r="AC46" s="134">
        <f>AC12/AB12-1</f>
        <v>4.4588320962047678E-2</v>
      </c>
      <c r="AD46" s="134">
        <f>AD12/AC12-1</f>
        <v>4.1981801094012061E-2</v>
      </c>
      <c r="AE46" s="134">
        <f>AE12/AD12-1</f>
        <v>3.9352545862308075E-2</v>
      </c>
      <c r="AF46" s="134">
        <f>AF12/AE12-1</f>
        <v>3.6712740851104098E-2</v>
      </c>
      <c r="AG46" s="134">
        <f>AG12/AF12-1</f>
        <v>3.4076792702975922E-2</v>
      </c>
      <c r="AJ46" s="127"/>
    </row>
    <row r="47" spans="2:36" x14ac:dyDescent="0.2">
      <c r="B47" s="122" t="s">
        <v>127</v>
      </c>
      <c r="C47" s="134"/>
      <c r="D47" s="134"/>
      <c r="E47" s="134"/>
      <c r="F47" s="134"/>
      <c r="G47" s="134">
        <f>G13/C13-1</f>
        <v>-3.1676413255360636E-2</v>
      </c>
      <c r="H47" s="134">
        <f>H13/D13-1</f>
        <v>0.10638118519767348</v>
      </c>
      <c r="I47" s="134">
        <f>I13/E13-1</f>
        <v>0.11085016439643014</v>
      </c>
      <c r="J47" s="134">
        <f>J13/F13-1</f>
        <v>0.11479545251096579</v>
      </c>
      <c r="K47" s="134">
        <f>K13/G13-1</f>
        <v>9.3224291226304379E-2</v>
      </c>
      <c r="L47" s="134">
        <f>L13/H13-1</f>
        <v>7.3241142857142894E-2</v>
      </c>
      <c r="M47" s="134">
        <f>M13/I13-1</f>
        <v>5.9059196617336163E-2</v>
      </c>
      <c r="N47" s="134">
        <f>N13/J13-1</f>
        <v>6.4761181301782988E-2</v>
      </c>
      <c r="Q47" s="134"/>
      <c r="R47" s="134">
        <f>R13/Q13-1</f>
        <v>6.8309877960851306E-2</v>
      </c>
      <c r="S47" s="134">
        <f>S13/R13-1</f>
        <v>9.1688538932633401E-2</v>
      </c>
      <c r="T47" s="134">
        <f>T13/S13-1</f>
        <v>-5.0374373182515697E-3</v>
      </c>
      <c r="U47" s="134">
        <f>U13/T13-1</f>
        <v>-3.8869583227855387E-2</v>
      </c>
      <c r="V47" s="134">
        <f>V13/U13-1</f>
        <v>0.15218848769274973</v>
      </c>
      <c r="W47" s="134">
        <f>W13/V13-1</f>
        <v>7.4197423108894434E-2</v>
      </c>
      <c r="X47" s="134">
        <f>X13/W13-1</f>
        <v>7.1913876431165757E-2</v>
      </c>
      <c r="Y47" s="134">
        <f>Y13/X13-1</f>
        <v>5.0625443688847804E-2</v>
      </c>
      <c r="Z47" s="134">
        <f>Z13/Y13-1</f>
        <v>4.8676802565439381E-2</v>
      </c>
      <c r="AA47" s="134">
        <f>AA13/Z13-1</f>
        <v>4.6600839611118605E-2</v>
      </c>
      <c r="AB47" s="134">
        <f>AB13/AA13-1</f>
        <v>4.4414207317731602E-2</v>
      </c>
      <c r="AC47" s="134">
        <f>AC13/AB13-1</f>
        <v>4.2131804149164287E-2</v>
      </c>
      <c r="AD47" s="134">
        <f>AD13/AC13-1</f>
        <v>3.9766922642234137E-2</v>
      </c>
      <c r="AE47" s="134">
        <f>AE13/AD13-1</f>
        <v>3.7331401011438059E-2</v>
      </c>
      <c r="AF47" s="134">
        <f>AF13/AE13-1</f>
        <v>3.4835771755191036E-2</v>
      </c>
      <c r="AG47" s="134">
        <f>AG13/AF13-1</f>
        <v>3.2289403003801898E-2</v>
      </c>
      <c r="AJ47" s="134"/>
    </row>
    <row r="48" spans="2:36" x14ac:dyDescent="0.2">
      <c r="B48" s="122" t="s">
        <v>128</v>
      </c>
      <c r="C48" s="134"/>
      <c r="D48" s="134"/>
      <c r="E48" s="134"/>
      <c r="F48" s="134"/>
      <c r="G48" s="134"/>
      <c r="H48" s="134"/>
      <c r="I48" s="134"/>
      <c r="J48" s="134"/>
      <c r="K48" s="134"/>
      <c r="L48" s="134"/>
      <c r="M48" s="134"/>
      <c r="N48" s="134"/>
      <c r="S48" s="134"/>
      <c r="T48" s="134"/>
      <c r="U48" s="134"/>
      <c r="V48" s="134"/>
      <c r="W48" s="134"/>
      <c r="X48" s="134">
        <v>0.08</v>
      </c>
      <c r="Y48" s="134">
        <f>X48</f>
        <v>0.08</v>
      </c>
      <c r="Z48" s="134">
        <f t="shared" ref="Z48:AG48" si="66">Y48</f>
        <v>0.08</v>
      </c>
      <c r="AA48" s="134">
        <f t="shared" si="66"/>
        <v>0.08</v>
      </c>
      <c r="AB48" s="134">
        <f t="shared" si="66"/>
        <v>0.08</v>
      </c>
      <c r="AC48" s="134">
        <f t="shared" si="66"/>
        <v>0.08</v>
      </c>
      <c r="AD48" s="134">
        <f t="shared" si="66"/>
        <v>0.08</v>
      </c>
      <c r="AE48" s="134">
        <f t="shared" si="66"/>
        <v>0.08</v>
      </c>
      <c r="AF48" s="134">
        <f t="shared" si="66"/>
        <v>0.08</v>
      </c>
      <c r="AG48" s="134">
        <f t="shared" si="66"/>
        <v>0.08</v>
      </c>
      <c r="AJ48" s="134"/>
    </row>
    <row r="49" spans="2:33" x14ac:dyDescent="0.2">
      <c r="J49" s="134"/>
      <c r="K49" s="134"/>
      <c r="L49" s="134"/>
      <c r="M49" s="134"/>
      <c r="N49" s="134"/>
      <c r="S49" s="130"/>
      <c r="T49" s="130"/>
      <c r="U49" s="130"/>
      <c r="V49" s="130"/>
      <c r="W49" s="130"/>
      <c r="X49" s="130"/>
      <c r="Y49" s="134"/>
      <c r="Z49" s="134"/>
      <c r="AA49" s="134"/>
      <c r="AB49" s="134"/>
      <c r="AC49" s="134"/>
      <c r="AD49" s="134"/>
      <c r="AE49" s="134"/>
      <c r="AF49" s="134"/>
      <c r="AG49" s="134"/>
    </row>
    <row r="50" spans="2:33" x14ac:dyDescent="0.2">
      <c r="B50" s="122" t="str">
        <f>B3</f>
        <v>Insurance premiums earned</v>
      </c>
      <c r="C50" s="134"/>
      <c r="D50" s="134"/>
      <c r="E50" s="134"/>
      <c r="F50" s="134"/>
      <c r="G50" s="134">
        <f>G3/C3-1</f>
        <v>6.5026790063321904E-2</v>
      </c>
      <c r="H50" s="134">
        <f>H3/D3-1</f>
        <v>5.3836741828351631E-2</v>
      </c>
      <c r="I50" s="134">
        <f>I3/E3-1</f>
        <v>6.1093247588424493E-2</v>
      </c>
      <c r="J50" s="134">
        <v>0.05</v>
      </c>
      <c r="K50" s="134">
        <v>0.05</v>
      </c>
      <c r="L50" s="134">
        <v>0.05</v>
      </c>
      <c r="M50" s="134">
        <v>0.05</v>
      </c>
      <c r="N50" s="134">
        <v>0.05</v>
      </c>
      <c r="Q50" s="134"/>
      <c r="R50" s="134">
        <f t="shared" ref="R50:S50" si="67">R3/Q3-1</f>
        <v>0.32074279113358473</v>
      </c>
      <c r="S50" s="134">
        <f t="shared" si="67"/>
        <v>-5.2461342970774094E-2</v>
      </c>
      <c r="T50" s="134">
        <f>T3/S3-1</f>
        <v>6.3743077083841193E-2</v>
      </c>
      <c r="U50" s="134">
        <f>U3/T3-1</f>
        <v>3.8033334424833809E-2</v>
      </c>
      <c r="V50" s="134">
        <f>V3/U3-1</f>
        <v>9.5850223182599725E-2</v>
      </c>
      <c r="W50" s="134">
        <f>W3/V3-1</f>
        <v>5.7330377961368972E-2</v>
      </c>
      <c r="X50" s="134">
        <f>X3/W3-1</f>
        <v>5.0000000000000266E-2</v>
      </c>
      <c r="Y50" s="134">
        <f>X50</f>
        <v>5.0000000000000266E-2</v>
      </c>
      <c r="Z50" s="134">
        <f>Y50-($Y$50-$AG$50)/($AG$2-$Y$2)</f>
        <v>4.7500000000000236E-2</v>
      </c>
      <c r="AA50" s="134">
        <f>Z50-($Y$50-$AG$50)/($AG$2-$Y$2)</f>
        <v>4.5000000000000207E-2</v>
      </c>
      <c r="AB50" s="134">
        <f>AA50-($Y$50-$AG$50)/($AG$2-$Y$2)</f>
        <v>4.2500000000000177E-2</v>
      </c>
      <c r="AC50" s="134">
        <f>AB50-($Y$50-$AG$50)/($AG$2-$Y$2)</f>
        <v>4.0000000000000147E-2</v>
      </c>
      <c r="AD50" s="134">
        <f>AC50-($Y$50-$AG$50)/($AG$2-$Y$2)</f>
        <v>3.7500000000000117E-2</v>
      </c>
      <c r="AE50" s="134">
        <f>AD50-($Y$50-$AG$50)/($AG$2-$Y$2)</f>
        <v>3.5000000000000087E-2</v>
      </c>
      <c r="AF50" s="134">
        <f>AE50-($Y$50-$AG$50)/($AG$2-$Y$2)</f>
        <v>3.2500000000000057E-2</v>
      </c>
      <c r="AG50" s="134">
        <v>0.03</v>
      </c>
    </row>
    <row r="51" spans="2:33" x14ac:dyDescent="0.2">
      <c r="B51" s="122" t="str">
        <f>B4</f>
        <v>Sales and revenues</v>
      </c>
      <c r="C51" s="134"/>
      <c r="D51" s="134"/>
      <c r="E51" s="134"/>
      <c r="F51" s="134"/>
      <c r="G51" s="134">
        <f>G4/C4-1</f>
        <v>0.12356816428274664</v>
      </c>
      <c r="H51" s="134">
        <f>H4/D4-1</f>
        <v>9.4630269711237558E-2</v>
      </c>
      <c r="I51" s="134">
        <f>I4/E4-1</f>
        <v>7.8290942759108972E-2</v>
      </c>
      <c r="J51" s="134">
        <v>7.0000000000000007E-2</v>
      </c>
      <c r="K51" s="134">
        <v>7.0000000000000007E-2</v>
      </c>
      <c r="L51" s="134">
        <v>0.06</v>
      </c>
      <c r="M51" s="134">
        <v>0.05</v>
      </c>
      <c r="N51" s="134">
        <v>0.05</v>
      </c>
      <c r="Q51" s="134"/>
      <c r="R51" s="134">
        <f t="shared" ref="R51:S51" si="68">R4/Q4-1</f>
        <v>2.3648346647379581E-2</v>
      </c>
      <c r="S51" s="134">
        <f t="shared" si="68"/>
        <v>5.8533061295777289E-2</v>
      </c>
      <c r="T51" s="134">
        <f>T4/S4-1</f>
        <v>1.2397252054958896E-2</v>
      </c>
      <c r="U51" s="134">
        <f>U4/T4-1</f>
        <v>-5.8856647578691579E-2</v>
      </c>
      <c r="V51" s="134">
        <f>V4/U4-1</f>
        <v>0.14167532508422287</v>
      </c>
      <c r="W51" s="134">
        <f>W4/V4-1</f>
        <v>9.0784112297732422E-2</v>
      </c>
      <c r="X51" s="134">
        <f>X4/W4-1</f>
        <v>5.7328459660730635E-2</v>
      </c>
      <c r="Y51" s="134">
        <v>0.05</v>
      </c>
      <c r="Z51" s="134">
        <f>Y51-($Y$51-$AG$51)/($AG$2-$Y$2)</f>
        <v>4.7500000000000001E-2</v>
      </c>
      <c r="AA51" s="134">
        <f>Z51-($Y$51-$AG$51)/($AG$2-$Y$2)</f>
        <v>4.4999999999999998E-2</v>
      </c>
      <c r="AB51" s="134">
        <f>AA51-($Y$51-$AG$51)/($AG$2-$Y$2)</f>
        <v>4.2499999999999996E-2</v>
      </c>
      <c r="AC51" s="134">
        <f>AB51-($Y$51-$AG$51)/($AG$2-$Y$2)</f>
        <v>3.9999999999999994E-2</v>
      </c>
      <c r="AD51" s="134">
        <f>AC51-($Y$51-$AG$51)/($AG$2-$Y$2)</f>
        <v>3.7499999999999992E-2</v>
      </c>
      <c r="AE51" s="134">
        <f>AD51-($Y$51-$AG$51)/($AG$2-$Y$2)</f>
        <v>3.4999999999999989E-2</v>
      </c>
      <c r="AF51" s="134">
        <f>AE51-($Y$51-$AG$51)/($AG$2-$Y$2)</f>
        <v>3.2499999999999987E-2</v>
      </c>
      <c r="AG51" s="134">
        <v>0.03</v>
      </c>
    </row>
    <row r="52" spans="2:33" x14ac:dyDescent="0.2">
      <c r="B52" s="122" t="str">
        <f>B5</f>
        <v>Leasing revenues</v>
      </c>
      <c r="C52" s="134"/>
      <c r="D52" s="134"/>
      <c r="E52" s="134"/>
      <c r="F52" s="134"/>
      <c r="G52" s="134">
        <f>G5/C5-1</f>
        <v>0.26283987915407847</v>
      </c>
      <c r="H52" s="134">
        <f>H5/D5-1</f>
        <v>0.30407740152038709</v>
      </c>
      <c r="I52" s="134">
        <f>I5/E5-1</f>
        <v>0.25416133162612042</v>
      </c>
      <c r="J52" s="134">
        <v>0.2</v>
      </c>
      <c r="K52" s="134">
        <v>0.17499999999999999</v>
      </c>
      <c r="L52" s="134">
        <v>0.15</v>
      </c>
      <c r="M52" s="134">
        <v>0.13</v>
      </c>
      <c r="N52" s="134">
        <v>0.1</v>
      </c>
      <c r="Q52" s="134"/>
      <c r="R52" s="134">
        <f t="shared" ref="R52:S52" si="69">R5/Q5-1</f>
        <v>1.0148844496670582</v>
      </c>
      <c r="S52" s="134">
        <f t="shared" si="69"/>
        <v>0.11430793157076202</v>
      </c>
      <c r="T52" s="134">
        <f>T5/S5-1</f>
        <v>2.1632937892533066E-2</v>
      </c>
      <c r="U52" s="134">
        <f>U5/T5-1</f>
        <v>-0.11048497267759561</v>
      </c>
      <c r="V52" s="134">
        <f>V5/U5-1</f>
        <v>0.14954885774620852</v>
      </c>
      <c r="W52" s="134">
        <f>W5/V5-1</f>
        <v>0.25317301269205084</v>
      </c>
      <c r="X52" s="134">
        <f>X5/W5-1</f>
        <v>0.13711620469083163</v>
      </c>
      <c r="Y52" s="134">
        <v>0.14000000000000001</v>
      </c>
      <c r="Z52" s="134">
        <f>Y52-($Y$52-$AG$52)/($AG$2-$Y$2)</f>
        <v>0.1275</v>
      </c>
      <c r="AA52" s="134">
        <f>Z52-($Y$52-$AG$52)/($AG$2-$Y$2)</f>
        <v>0.115</v>
      </c>
      <c r="AB52" s="134">
        <f>AA52-($Y$52-$AG$52)/($AG$2-$Y$2)</f>
        <v>0.10250000000000001</v>
      </c>
      <c r="AC52" s="134">
        <f>AB52-($Y$52-$AG$52)/($AG$2-$Y$2)</f>
        <v>9.0000000000000011E-2</v>
      </c>
      <c r="AD52" s="134">
        <f>AC52-($Y$52-$AG$52)/($AG$2-$Y$2)</f>
        <v>7.7500000000000013E-2</v>
      </c>
      <c r="AE52" s="134">
        <f>AD52-($Y$52-$AG$52)/($AG$2-$Y$2)</f>
        <v>6.5000000000000016E-2</v>
      </c>
      <c r="AF52" s="134">
        <f>AE52-($Y$52-$AG$52)/($AG$2-$Y$2)</f>
        <v>5.2500000000000019E-2</v>
      </c>
      <c r="AG52" s="134">
        <v>0.04</v>
      </c>
    </row>
    <row r="53" spans="2:33" x14ac:dyDescent="0.2">
      <c r="B53" s="122" t="str">
        <f>B6</f>
        <v>Interest &amp; dividend</v>
      </c>
      <c r="C53" s="134"/>
      <c r="D53" s="134"/>
      <c r="E53" s="134"/>
      <c r="F53" s="134"/>
      <c r="G53" s="134">
        <f>G6/C6-1</f>
        <v>5.9427336574824352E-3</v>
      </c>
      <c r="H53" s="134">
        <f>H6/D6-1</f>
        <v>0.50737618545837715</v>
      </c>
      <c r="I53" s="134">
        <f>I6/E6-1</f>
        <v>0.32479108635097487</v>
      </c>
      <c r="J53" s="134">
        <v>0.15</v>
      </c>
      <c r="K53" s="134">
        <v>0.2</v>
      </c>
      <c r="L53" s="134">
        <v>0.15</v>
      </c>
      <c r="M53" s="134">
        <v>0.12</v>
      </c>
      <c r="N53" s="134">
        <v>0.1</v>
      </c>
      <c r="Q53" s="134"/>
      <c r="R53" s="134">
        <f t="shared" ref="R53:S53" si="70">R6/Q6-1</f>
        <v>-0.80550161812297738</v>
      </c>
      <c r="S53" s="134">
        <f t="shared" si="70"/>
        <v>5.3876871880199664</v>
      </c>
      <c r="T53" s="134">
        <f>T6/S6-1</f>
        <v>0.20343839541547282</v>
      </c>
      <c r="U53" s="134">
        <f>U6/T6-1</f>
        <v>-0.12424242424242427</v>
      </c>
      <c r="V53" s="134">
        <f>V6/U6-1</f>
        <v>-7.7483934750370742E-2</v>
      </c>
      <c r="W53" s="134">
        <f>W6/V6-1</f>
        <v>0.34376423308774284</v>
      </c>
      <c r="X53" s="134">
        <f>X6/W6-1</f>
        <v>0.1375638009410638</v>
      </c>
      <c r="Y53" s="134">
        <v>0.09</v>
      </c>
      <c r="Z53" s="134">
        <f>Y53</f>
        <v>0.09</v>
      </c>
      <c r="AA53" s="134">
        <f t="shared" ref="AA53:AG53" si="71">Z53</f>
        <v>0.09</v>
      </c>
      <c r="AB53" s="134">
        <f t="shared" si="71"/>
        <v>0.09</v>
      </c>
      <c r="AC53" s="134">
        <f t="shared" si="71"/>
        <v>0.09</v>
      </c>
      <c r="AD53" s="134">
        <f t="shared" si="71"/>
        <v>0.09</v>
      </c>
      <c r="AE53" s="134">
        <f t="shared" si="71"/>
        <v>0.09</v>
      </c>
      <c r="AF53" s="134">
        <f t="shared" si="71"/>
        <v>0.09</v>
      </c>
      <c r="AG53" s="134">
        <f t="shared" si="71"/>
        <v>0.09</v>
      </c>
    </row>
    <row r="54" spans="2:33" x14ac:dyDescent="0.2">
      <c r="B54" s="122" t="str">
        <f>B8</f>
        <v>Freight rail transportation revenues</v>
      </c>
      <c r="C54" s="134"/>
      <c r="D54" s="134"/>
      <c r="E54" s="134"/>
      <c r="F54" s="134"/>
      <c r="G54" s="134">
        <f>G8/C8-1</f>
        <v>0.10524358497582753</v>
      </c>
      <c r="H54" s="134">
        <f>H8/D8-1</f>
        <v>0.1443406022845275</v>
      </c>
      <c r="I54" s="134">
        <f>I8/E8-1</f>
        <v>0.15657003992362428</v>
      </c>
      <c r="J54" s="134">
        <v>0.15</v>
      </c>
      <c r="K54" s="134">
        <v>0.14000000000000001</v>
      </c>
      <c r="L54" s="134">
        <v>0.12</v>
      </c>
      <c r="M54" s="134">
        <v>0.1</v>
      </c>
      <c r="N54" s="134">
        <v>0.11</v>
      </c>
      <c r="Q54" s="134"/>
      <c r="R54" s="134">
        <f t="shared" ref="R54:S54" si="72">R8/Q8-1</f>
        <v>7.0974953005131347E-2</v>
      </c>
      <c r="S54" s="134">
        <f t="shared" si="72"/>
        <v>0.12443074003795074</v>
      </c>
      <c r="T54" s="134">
        <f>T8/S8-1</f>
        <v>-1.4597308357591876E-2</v>
      </c>
      <c r="U54" s="134">
        <f>U8/T8-1</f>
        <v>-0.11161536156184437</v>
      </c>
      <c r="V54" s="134">
        <f>V8/U8-1</f>
        <v>0.11696385542168675</v>
      </c>
      <c r="W54" s="134">
        <f>W8/V8-1</f>
        <v>0.13983690727876774</v>
      </c>
      <c r="X54" s="134">
        <f>X8/W8-1</f>
        <v>0.11673063820122653</v>
      </c>
      <c r="Y54" s="134">
        <v>0.06</v>
      </c>
      <c r="Z54" s="134">
        <f>Y54-($Y$54-$AG$54)/($AG$2-$Y$2)</f>
        <v>5.7499999999999996E-2</v>
      </c>
      <c r="AA54" s="134">
        <f>Z54-($Y$54-$AG$54)/($AG$2-$Y$2)</f>
        <v>5.4999999999999993E-2</v>
      </c>
      <c r="AB54" s="134">
        <f>AA54-($Y$54-$AG$54)/($AG$2-$Y$2)</f>
        <v>5.2499999999999991E-2</v>
      </c>
      <c r="AC54" s="134">
        <f>AB54-($Y$54-$AG$54)/($AG$2-$Y$2)</f>
        <v>4.9999999999999989E-2</v>
      </c>
      <c r="AD54" s="134">
        <f>AC54-($Y$54-$AG$54)/($AG$2-$Y$2)</f>
        <v>4.7499999999999987E-2</v>
      </c>
      <c r="AE54" s="134">
        <f>AD54-($Y$54-$AG$54)/($AG$2-$Y$2)</f>
        <v>4.4999999999999984E-2</v>
      </c>
      <c r="AF54" s="134">
        <f>AE54-($Y$54-$AG$54)/($AG$2-$Y$2)</f>
        <v>4.2499999999999982E-2</v>
      </c>
      <c r="AG54" s="134">
        <v>0.04</v>
      </c>
    </row>
    <row r="55" spans="2:33" x14ac:dyDescent="0.2">
      <c r="B55" s="122" t="str">
        <f>B9</f>
        <v>Energy operating revenues</v>
      </c>
      <c r="C55" s="134"/>
      <c r="D55" s="134"/>
      <c r="E55" s="134"/>
      <c r="F55" s="134"/>
      <c r="G55" s="134">
        <f>G9/C9-1</f>
        <v>-0.1775349948787982</v>
      </c>
      <c r="H55" s="134">
        <f>H9/D9-1</f>
        <v>0.14714086471408638</v>
      </c>
      <c r="I55" s="134">
        <f>I9/E9-1</f>
        <v>0.16555023923444967</v>
      </c>
      <c r="J55" s="134">
        <v>0.13</v>
      </c>
      <c r="K55" s="134">
        <v>7.0000000000000007E-2</v>
      </c>
      <c r="L55" s="134">
        <v>0.05</v>
      </c>
      <c r="M55" s="134">
        <v>0.04</v>
      </c>
      <c r="N55" s="134">
        <v>0.02</v>
      </c>
      <c r="Q55" s="134"/>
      <c r="R55" s="134">
        <f t="shared" ref="R55:S55" si="73">R9/Q9-1</f>
        <v>3.6522809657342226E-2</v>
      </c>
      <c r="S55" s="134">
        <f t="shared" si="73"/>
        <v>2.6393929396238969E-2</v>
      </c>
      <c r="T55" s="134">
        <f>T9/S9-1</f>
        <v>-1.2986178077788457E-2</v>
      </c>
      <c r="U55" s="134">
        <f>U9/T9-1</f>
        <v>1.2180029961571082E-2</v>
      </c>
      <c r="V55" s="134">
        <f>V9/U9-1</f>
        <v>0.21563706563706564</v>
      </c>
      <c r="W55" s="134">
        <f>W9/V9-1</f>
        <v>4.8371182044359751E-2</v>
      </c>
      <c r="X55" s="134">
        <f>X9/W9-1</f>
        <v>4.578922866095958E-2</v>
      </c>
      <c r="Y55" s="134">
        <v>0.06</v>
      </c>
      <c r="Z55" s="134">
        <f>Y55-($Y$55-$AG$55)/($AG$2-$Y$2)</f>
        <v>5.6249999999999994E-2</v>
      </c>
      <c r="AA55" s="134">
        <f>Z55-($Y$55-$AG$55)/($AG$2-$Y$2)</f>
        <v>5.2499999999999991E-2</v>
      </c>
      <c r="AB55" s="134">
        <f>AA55-($Y$55-$AG$55)/($AG$2-$Y$2)</f>
        <v>4.8749999999999988E-2</v>
      </c>
      <c r="AC55" s="134">
        <f>AB55-($Y$55-$AG$55)/($AG$2-$Y$2)</f>
        <v>4.4999999999999984E-2</v>
      </c>
      <c r="AD55" s="134">
        <f>AC55-($Y$55-$AG$55)/($AG$2-$Y$2)</f>
        <v>4.1249999999999981E-2</v>
      </c>
      <c r="AE55" s="134">
        <f>AD55-($Y$55-$AG$55)/($AG$2-$Y$2)</f>
        <v>3.7499999999999978E-2</v>
      </c>
      <c r="AF55" s="134">
        <f>AE55-($Y$55-$AG$55)/($AG$2-$Y$2)</f>
        <v>3.3749999999999974E-2</v>
      </c>
      <c r="AG55" s="134">
        <v>0.03</v>
      </c>
    </row>
    <row r="56" spans="2:33" x14ac:dyDescent="0.2">
      <c r="B56" s="122" t="str">
        <f>B10</f>
        <v>Service revenues &amp; other</v>
      </c>
      <c r="C56" s="134"/>
      <c r="D56" s="134"/>
      <c r="E56" s="134"/>
      <c r="F56" s="134"/>
      <c r="G56" s="134">
        <f>G10/C10-1</f>
        <v>7.8066914498141182E-2</v>
      </c>
      <c r="H56" s="134">
        <f>H10/D10-1</f>
        <v>-0.11497476163768927</v>
      </c>
      <c r="I56" s="134">
        <f>I10/E10-1</f>
        <v>-0.19630872483221473</v>
      </c>
      <c r="J56" s="134">
        <v>-0.08</v>
      </c>
      <c r="K56" s="134">
        <v>-0.05</v>
      </c>
      <c r="L56" s="134">
        <f>K56</f>
        <v>-0.05</v>
      </c>
      <c r="M56" s="134">
        <f t="shared" ref="M56:N56" si="74">L56</f>
        <v>-0.05</v>
      </c>
      <c r="N56" s="134">
        <f t="shared" si="74"/>
        <v>-0.05</v>
      </c>
      <c r="Q56" s="134"/>
      <c r="R56" s="134">
        <f t="shared" ref="R56:S56" si="75">R10/Q10-1</f>
        <v>0.19949093223035308</v>
      </c>
      <c r="S56" s="134">
        <f t="shared" si="75"/>
        <v>0.17108753315649872</v>
      </c>
      <c r="T56" s="134">
        <f>T10/S10-1</f>
        <v>7.4292185730464366E-2</v>
      </c>
      <c r="U56" s="134">
        <f>U10/T10-1</f>
        <v>0.15412186379928317</v>
      </c>
      <c r="V56" s="134">
        <f>V10/U10-1</f>
        <v>0.10559006211180133</v>
      </c>
      <c r="W56" s="134">
        <f>W10/V10-1</f>
        <v>-9.6563119629874405E-2</v>
      </c>
      <c r="X56" s="134">
        <f>X10/W10-1</f>
        <v>-5.0000000000000044E-2</v>
      </c>
      <c r="Y56" s="134">
        <v>-0.04</v>
      </c>
      <c r="Z56" s="134">
        <f>Y56</f>
        <v>-0.04</v>
      </c>
      <c r="AA56" s="134">
        <f t="shared" ref="AA56:AG56" si="76">Z56</f>
        <v>-0.04</v>
      </c>
      <c r="AB56" s="134">
        <f t="shared" si="76"/>
        <v>-0.04</v>
      </c>
      <c r="AC56" s="134">
        <f t="shared" si="76"/>
        <v>-0.04</v>
      </c>
      <c r="AD56" s="134">
        <f t="shared" si="76"/>
        <v>-0.04</v>
      </c>
      <c r="AE56" s="134">
        <f t="shared" si="76"/>
        <v>-0.04</v>
      </c>
      <c r="AF56" s="134">
        <f t="shared" si="76"/>
        <v>-0.04</v>
      </c>
      <c r="AG56" s="134">
        <f t="shared" si="76"/>
        <v>-0.04</v>
      </c>
    </row>
    <row r="57" spans="2:33" x14ac:dyDescent="0.2">
      <c r="B57" s="122" t="s">
        <v>137</v>
      </c>
      <c r="C57" s="134"/>
      <c r="D57" s="134"/>
      <c r="E57" s="134"/>
      <c r="F57" s="134"/>
      <c r="G57" s="134">
        <f>G16/F16-1</f>
        <v>7.8674141057037961E-3</v>
      </c>
      <c r="H57" s="134">
        <f>H16/G16-1</f>
        <v>-0.12188778662220046</v>
      </c>
      <c r="I57" s="134">
        <f>I16/H16-1</f>
        <v>-1.9128411625455199E-2</v>
      </c>
      <c r="J57" s="134">
        <v>0.06</v>
      </c>
      <c r="K57" s="134">
        <v>-0.08</v>
      </c>
      <c r="L57" s="134">
        <v>0.03</v>
      </c>
      <c r="M57" s="134">
        <v>0.05</v>
      </c>
      <c r="N57" s="134">
        <v>0.01</v>
      </c>
      <c r="Q57" s="134"/>
      <c r="R57" s="134">
        <f>R16/Q16-1</f>
        <v>0.25584391153569319</v>
      </c>
      <c r="S57" s="134">
        <f>S16/R16-1</f>
        <v>3.9552051685342038E-2</v>
      </c>
      <c r="T57" s="134">
        <f>T16/S16-1</f>
        <v>0.28178301251429194</v>
      </c>
      <c r="U57" s="134">
        <f>U16/T16-1</f>
        <v>0.10925731322857346</v>
      </c>
      <c r="V57" s="134">
        <f>V16/U16-1</f>
        <v>0.16410110663873079</v>
      </c>
      <c r="W57" s="134">
        <f>W16/V16-1</f>
        <v>-7.9822855434136586E-2</v>
      </c>
      <c r="X57" s="134">
        <f>X16/W16-1</f>
        <v>4.9297999999999842E-3</v>
      </c>
      <c r="Y57" s="134">
        <v>0.08</v>
      </c>
      <c r="Z57" s="134">
        <v>0.08</v>
      </c>
      <c r="AA57" s="134">
        <v>0.08</v>
      </c>
      <c r="AB57" s="134">
        <v>0.08</v>
      </c>
      <c r="AC57" s="134">
        <v>0.08</v>
      </c>
      <c r="AD57" s="134">
        <v>0.08</v>
      </c>
      <c r="AE57" s="134">
        <v>0.08</v>
      </c>
      <c r="AF57" s="134">
        <v>0.08</v>
      </c>
      <c r="AG57" s="134">
        <v>0.08</v>
      </c>
    </row>
    <row r="58" spans="2:33" x14ac:dyDescent="0.2">
      <c r="J58" s="134"/>
      <c r="K58" s="134"/>
      <c r="L58" s="134"/>
      <c r="M58" s="134"/>
      <c r="N58" s="134"/>
      <c r="S58" s="130"/>
      <c r="T58" s="130"/>
      <c r="U58" s="130"/>
      <c r="V58" s="130"/>
      <c r="W58" s="130"/>
      <c r="X58" s="130"/>
      <c r="Y58" s="134"/>
      <c r="Z58" s="134"/>
      <c r="AA58" s="134"/>
      <c r="AB58" s="134"/>
      <c r="AC58" s="134"/>
      <c r="AD58" s="134"/>
      <c r="AE58" s="134"/>
      <c r="AF58" s="134"/>
      <c r="AG58" s="134"/>
    </row>
    <row r="59" spans="2:33" x14ac:dyDescent="0.2">
      <c r="B59" s="122" t="str">
        <f>B19</f>
        <v>Insurance losses</v>
      </c>
      <c r="C59" s="134">
        <f>C19/C$14</f>
        <v>0.16711121949732508</v>
      </c>
      <c r="D59" s="134">
        <f>D19/D$14</f>
        <v>0.17615823132795091</v>
      </c>
      <c r="E59" s="134">
        <f>E19/E$14</f>
        <v>0.19749220742419948</v>
      </c>
      <c r="F59" s="134">
        <f>F19/F$14</f>
        <v>0.18043070374415413</v>
      </c>
      <c r="G59" s="134">
        <f>G19/G$14</f>
        <v>0.18827849173845501</v>
      </c>
      <c r="H59" s="134">
        <f>H19/H$14</f>
        <v>0.17878708322394329</v>
      </c>
      <c r="I59" s="134">
        <f>I19/I$14</f>
        <v>0.208035458964827</v>
      </c>
      <c r="J59" s="134">
        <f>AVERAGE(F59:I59)</f>
        <v>0.18888293441784487</v>
      </c>
      <c r="K59" s="134">
        <f t="shared" ref="K59:N65" si="77">AVERAGE(G59:J59)</f>
        <v>0.19099599208626755</v>
      </c>
      <c r="L59" s="134">
        <f t="shared" si="77"/>
        <v>0.1916753671732207</v>
      </c>
      <c r="M59" s="134">
        <f t="shared" si="77"/>
        <v>0.19489743816054006</v>
      </c>
      <c r="N59" s="134">
        <f t="shared" si="77"/>
        <v>0.1916129329594683</v>
      </c>
      <c r="Q59" s="134">
        <f t="shared" ref="Q59:S59" si="78">Q19/Q$14</f>
        <v>0.14367265728869344</v>
      </c>
      <c r="R59" s="134">
        <f t="shared" si="78"/>
        <v>0.20991279930960755</v>
      </c>
      <c r="S59" s="134">
        <f t="shared" si="78"/>
        <v>0.16101712012330685</v>
      </c>
      <c r="T59" s="134">
        <f>T19/T$14</f>
        <v>0.17460018223520909</v>
      </c>
      <c r="U59" s="134">
        <f>U19/U$14</f>
        <v>0.17901918455460064</v>
      </c>
      <c r="V59" s="134">
        <f>V19/V$14</f>
        <v>0.180967351699059</v>
      </c>
      <c r="W59" s="134">
        <f>W19/W$14</f>
        <v>0.19108161688366929</v>
      </c>
      <c r="X59" s="134">
        <f>X19/X$14</f>
        <v>0.19231632111620395</v>
      </c>
      <c r="Y59" s="134">
        <f>AVERAGE(T59:W59)</f>
        <v>0.18141708384313451</v>
      </c>
      <c r="Z59" s="134">
        <f>AVERAGE(S59:W59)</f>
        <v>0.17733709109916898</v>
      </c>
      <c r="AA59" s="134">
        <f>AVERAGE(U59:V59)</f>
        <v>0.17999326812682981</v>
      </c>
      <c r="AB59" s="134">
        <f t="shared" ref="AB59:AG59" si="79">AVERAGE(V59:W59)</f>
        <v>0.18602448429136414</v>
      </c>
      <c r="AC59" s="134">
        <f t="shared" si="79"/>
        <v>0.1916989689999366</v>
      </c>
      <c r="AD59" s="134">
        <f t="shared" si="79"/>
        <v>0.18686670247966924</v>
      </c>
      <c r="AE59" s="134">
        <v>0.17499999999999999</v>
      </c>
      <c r="AF59" s="134">
        <v>0.17100000000000001</v>
      </c>
      <c r="AG59" s="134">
        <f t="shared" si="79"/>
        <v>0.18300887620909698</v>
      </c>
    </row>
    <row r="60" spans="2:33" x14ac:dyDescent="0.2">
      <c r="B60" s="122" t="str">
        <f>B20</f>
        <v>Life, annuity &amp; health</v>
      </c>
      <c r="C60" s="134">
        <f>C20/C$14</f>
        <v>2.2557880778551722E-2</v>
      </c>
      <c r="D60" s="134">
        <f>D20/D$14</f>
        <v>2.111005006221605E-2</v>
      </c>
      <c r="E60" s="134">
        <f>E20/E$14</f>
        <v>2.2215925191272315E-2</v>
      </c>
      <c r="F60" s="134">
        <f>F20/F$14</f>
        <v>2.1003108460052086E-2</v>
      </c>
      <c r="G60" s="134">
        <f>G20/G$14</f>
        <v>1.8683801722920491E-2</v>
      </c>
      <c r="H60" s="134">
        <f>H20/H$14</f>
        <v>1.6828563927540036E-2</v>
      </c>
      <c r="I60" s="134">
        <f>I20/I$14</f>
        <v>1.8847323680037435E-2</v>
      </c>
      <c r="J60" s="134">
        <f t="shared" ref="J60:J65" si="80">AVERAGE(F60:I60)</f>
        <v>1.8840699447637513E-2</v>
      </c>
      <c r="K60" s="134">
        <f t="shared" si="77"/>
        <v>1.8300097194533869E-2</v>
      </c>
      <c r="L60" s="134">
        <f t="shared" si="77"/>
        <v>1.8204171062437213E-2</v>
      </c>
      <c r="M60" s="134">
        <f t="shared" si="77"/>
        <v>1.8548072846161508E-2</v>
      </c>
      <c r="N60" s="134">
        <f t="shared" si="77"/>
        <v>1.8473260137692526E-2</v>
      </c>
      <c r="Q60" s="134">
        <f t="shared" ref="Q60:S60" si="81">Q20/Q$14</f>
        <v>2.385246892345454E-2</v>
      </c>
      <c r="R60" s="134">
        <f t="shared" si="81"/>
        <v>2.4120801507872106E-2</v>
      </c>
      <c r="S60" s="134">
        <f t="shared" si="81"/>
        <v>2.2994952327537857E-2</v>
      </c>
      <c r="T60" s="134">
        <f>T20/T$14</f>
        <v>1.9582430012253748E-2</v>
      </c>
      <c r="U60" s="134">
        <f>U20/U$14</f>
        <v>2.3673170135636024E-2</v>
      </c>
      <c r="V60" s="134">
        <f>V20/V$14</f>
        <v>2.1757082732692491E-2</v>
      </c>
      <c r="W60" s="134">
        <f>W20/W$14</f>
        <v>1.8296046040842204E-2</v>
      </c>
      <c r="X60" s="134">
        <f>X20/X$14</f>
        <v>1.8382741938692257E-2</v>
      </c>
      <c r="Y60" s="134">
        <f>AVERAGE(S60:X60)</f>
        <v>2.0781070531275762E-2</v>
      </c>
      <c r="Z60" s="134">
        <f t="shared" ref="Z60:AG63" si="82">AVERAGE(T60:Y60)</f>
        <v>2.0412090231898748E-2</v>
      </c>
      <c r="AA60" s="134">
        <f t="shared" si="82"/>
        <v>2.0550366935172912E-2</v>
      </c>
      <c r="AB60" s="134">
        <f t="shared" si="82"/>
        <v>2.0029899735095728E-2</v>
      </c>
      <c r="AC60" s="134">
        <f t="shared" si="82"/>
        <v>1.9742035902162933E-2</v>
      </c>
      <c r="AD60" s="134">
        <f t="shared" si="82"/>
        <v>1.9983034212383056E-2</v>
      </c>
      <c r="AE60" s="134">
        <f t="shared" si="82"/>
        <v>2.0249749591331523E-2</v>
      </c>
      <c r="AF60" s="134">
        <f t="shared" si="82"/>
        <v>2.0161196101340813E-2</v>
      </c>
      <c r="AG60" s="134">
        <f t="shared" si="82"/>
        <v>2.0119380412914493E-2</v>
      </c>
    </row>
    <row r="61" spans="2:33" x14ac:dyDescent="0.2">
      <c r="B61" s="122" t="str">
        <f>B21</f>
        <v>Underwriting expense</v>
      </c>
      <c r="C61" s="134">
        <f>C21/C$14</f>
        <v>4.5938819369293844E-2</v>
      </c>
      <c r="D61" s="134">
        <f>D21/D$14</f>
        <v>4.4347020864079635E-2</v>
      </c>
      <c r="E61" s="134">
        <f>E21/E$14</f>
        <v>4.5891187305185606E-2</v>
      </c>
      <c r="F61" s="134">
        <f>F21/F$14</f>
        <v>4.5520737069086221E-2</v>
      </c>
      <c r="G61" s="134">
        <f>G21/G$14</f>
        <v>3.9076401638186695E-2</v>
      </c>
      <c r="H61" s="134">
        <f>H21/H$14</f>
        <v>3.2305066946705173E-2</v>
      </c>
      <c r="I61" s="134">
        <f>I21/I$14</f>
        <v>3.2573374580809528E-2</v>
      </c>
      <c r="J61" s="134">
        <f t="shared" si="80"/>
        <v>3.7368895058696908E-2</v>
      </c>
      <c r="K61" s="134">
        <f t="shared" si="77"/>
        <v>3.5330934556099577E-2</v>
      </c>
      <c r="L61" s="134">
        <f t="shared" si="77"/>
        <v>3.4394567785577798E-2</v>
      </c>
      <c r="M61" s="134">
        <f t="shared" si="77"/>
        <v>3.4916942995295949E-2</v>
      </c>
      <c r="N61" s="134">
        <f t="shared" si="77"/>
        <v>3.5502835098917558E-2</v>
      </c>
      <c r="Q61" s="134">
        <f t="shared" ref="Q61:S61" si="83">Q21/Q$14</f>
        <v>3.5855406900527159E-2</v>
      </c>
      <c r="R61" s="134">
        <f t="shared" si="83"/>
        <v>4.0019578293854732E-2</v>
      </c>
      <c r="S61" s="134">
        <f t="shared" si="83"/>
        <v>3.9513874038178319E-2</v>
      </c>
      <c r="T61" s="134">
        <f>T21/T$14</f>
        <v>4.3987809092908538E-2</v>
      </c>
      <c r="U61" s="134">
        <f>U21/U$14</f>
        <v>5.212822288297829E-2</v>
      </c>
      <c r="V61" s="134">
        <f>V21/V$14</f>
        <v>4.5524350402399182E-2</v>
      </c>
      <c r="W61" s="134">
        <f>W21/W$14</f>
        <v>3.5262554162263558E-2</v>
      </c>
      <c r="X61" s="134">
        <f>X21/X$14</f>
        <v>3.5031753148599042E-2</v>
      </c>
      <c r="Y61" s="134">
        <f>AVERAGE(S61:X61)</f>
        <v>4.1908093954554491E-2</v>
      </c>
      <c r="Z61" s="134">
        <f t="shared" si="82"/>
        <v>4.2307130607283853E-2</v>
      </c>
      <c r="AA61" s="134">
        <f t="shared" si="82"/>
        <v>4.2027017526346404E-2</v>
      </c>
      <c r="AB61" s="134">
        <f t="shared" si="82"/>
        <v>4.0343483300241088E-2</v>
      </c>
      <c r="AC61" s="134">
        <f t="shared" si="82"/>
        <v>3.9480005449881408E-2</v>
      </c>
      <c r="AD61" s="134">
        <f t="shared" si="82"/>
        <v>4.0182913997817711E-2</v>
      </c>
      <c r="AE61" s="134">
        <f t="shared" si="82"/>
        <v>4.1041440806020825E-2</v>
      </c>
      <c r="AF61" s="134">
        <f t="shared" si="82"/>
        <v>4.0896998614598543E-2</v>
      </c>
      <c r="AG61" s="134">
        <f t="shared" si="82"/>
        <v>4.0661976615817663E-2</v>
      </c>
    </row>
    <row r="62" spans="2:33" x14ac:dyDescent="0.2">
      <c r="B62" s="122" t="str">
        <f>B22</f>
        <v>Cost of sales</v>
      </c>
      <c r="C62" s="134">
        <f>C22/C$14</f>
        <v>0.40436525476687651</v>
      </c>
      <c r="D62" s="134">
        <f>D22/D$14</f>
        <v>0.41613855369389702</v>
      </c>
      <c r="E62" s="134">
        <f>E22/E$14</f>
        <v>0.41065457636724284</v>
      </c>
      <c r="F62" s="134">
        <f>F22/F$14</f>
        <v>0.41814388529502367</v>
      </c>
      <c r="G62" s="134">
        <f>G22/G$14</f>
        <v>0.42063267900014123</v>
      </c>
      <c r="H62" s="134">
        <f>H22/H$14</f>
        <v>0.41524022053032295</v>
      </c>
      <c r="I62" s="134">
        <f>I22/I$14</f>
        <v>0.40673824316946994</v>
      </c>
      <c r="J62" s="134">
        <f t="shared" si="80"/>
        <v>0.41518875699873942</v>
      </c>
      <c r="K62" s="134">
        <f t="shared" si="77"/>
        <v>0.4144499749246684</v>
      </c>
      <c r="L62" s="134">
        <f t="shared" si="77"/>
        <v>0.41290429890580016</v>
      </c>
      <c r="M62" s="134">
        <f t="shared" si="77"/>
        <v>0.41232031849966944</v>
      </c>
      <c r="N62" s="134">
        <f t="shared" si="77"/>
        <v>0.41371583733221939</v>
      </c>
      <c r="Q62" s="134">
        <f t="shared" ref="Q62:S62" si="84">Q22/Q$14</f>
        <v>0.4549541173517298</v>
      </c>
      <c r="R62" s="134">
        <f t="shared" si="84"/>
        <v>0.44799515694836223</v>
      </c>
      <c r="S62" s="134">
        <f t="shared" si="84"/>
        <v>0.4280353619516053</v>
      </c>
      <c r="T62" s="134">
        <f>T22/T$14</f>
        <v>0.42040170295660917</v>
      </c>
      <c r="U62" s="134">
        <f>U22/U$14</f>
        <v>0.41175919514480064</v>
      </c>
      <c r="V62" s="134">
        <f>V22/V$14</f>
        <v>0.41340268169536465</v>
      </c>
      <c r="W62" s="134">
        <f>W22/W$14</f>
        <v>0.4143222581871322</v>
      </c>
      <c r="X62" s="134">
        <f>X22/X$14</f>
        <v>0.4133300602500527</v>
      </c>
      <c r="Y62" s="134">
        <f>AVERAGE(S62:X62)</f>
        <v>0.41687521003092748</v>
      </c>
      <c r="Z62" s="134">
        <f t="shared" si="82"/>
        <v>0.4150151847108145</v>
      </c>
      <c r="AA62" s="134">
        <f t="shared" si="82"/>
        <v>0.41411743166984866</v>
      </c>
      <c r="AB62" s="134">
        <f t="shared" si="82"/>
        <v>0.41451047109069</v>
      </c>
      <c r="AC62" s="134">
        <f t="shared" si="82"/>
        <v>0.41469510265657755</v>
      </c>
      <c r="AD62" s="134">
        <f t="shared" si="82"/>
        <v>0.41475724340148518</v>
      </c>
      <c r="AE62" s="134">
        <f t="shared" si="82"/>
        <v>0.41499510726005723</v>
      </c>
      <c r="AF62" s="134">
        <f t="shared" si="82"/>
        <v>0.41468175679824548</v>
      </c>
      <c r="AG62" s="134">
        <f t="shared" si="82"/>
        <v>0.4146261854794841</v>
      </c>
    </row>
    <row r="63" spans="2:33" x14ac:dyDescent="0.2">
      <c r="B63" s="122" t="str">
        <f>B23</f>
        <v>Cost of leasing</v>
      </c>
      <c r="C63" s="134">
        <f>C23/C$14</f>
        <v>1.3443277599109878E-2</v>
      </c>
      <c r="D63" s="134">
        <f>D23/D$14</f>
        <v>1.420840929478832E-2</v>
      </c>
      <c r="E63" s="134">
        <f>E23/E$14</f>
        <v>1.5811844715216777E-2</v>
      </c>
      <c r="F63" s="134">
        <f>F23/F$14</f>
        <v>1.7096530286482399E-2</v>
      </c>
      <c r="G63" s="134">
        <f>G23/G$14</f>
        <v>1.7398672503883633E-2</v>
      </c>
      <c r="H63" s="134">
        <f>H23/H$14</f>
        <v>1.9663953793646625E-2</v>
      </c>
      <c r="I63" s="134">
        <f>I23/I$14</f>
        <v>1.8431382743650401E-2</v>
      </c>
      <c r="J63" s="134">
        <f t="shared" si="80"/>
        <v>1.8147634831915765E-2</v>
      </c>
      <c r="K63" s="134">
        <f t="shared" si="77"/>
        <v>1.8410410968274105E-2</v>
      </c>
      <c r="L63" s="134">
        <f t="shared" si="77"/>
        <v>1.8663345584371722E-2</v>
      </c>
      <c r="M63" s="134">
        <f t="shared" si="77"/>
        <v>1.8413193532053E-2</v>
      </c>
      <c r="N63" s="134">
        <f t="shared" si="77"/>
        <v>1.8408646229153648E-2</v>
      </c>
      <c r="Q63" s="134">
        <f t="shared" ref="Q63:S63" si="85">Q23/Q$14</f>
        <v>6.2060116961239154E-3</v>
      </c>
      <c r="R63" s="134">
        <f t="shared" si="85"/>
        <v>6.2470213944382192E-3</v>
      </c>
      <c r="S63" s="134">
        <f t="shared" si="85"/>
        <v>1.6385769679265E-2</v>
      </c>
      <c r="T63" s="134">
        <f>T23/T$14</f>
        <v>1.5721714267760079E-2</v>
      </c>
      <c r="U63" s="134">
        <f>U23/U$14</f>
        <v>1.433750152743269E-2</v>
      </c>
      <c r="V63" s="134">
        <f>V23/V$14</f>
        <v>1.5215832289003021E-2</v>
      </c>
      <c r="W63" s="134">
        <f>W23/W$14</f>
        <v>1.8427826762792979E-2</v>
      </c>
      <c r="X63" s="134">
        <f>X23/X$14</f>
        <v>1.8474875542343637E-2</v>
      </c>
      <c r="Y63" s="134">
        <f>AVERAGE(S63:X63)</f>
        <v>1.6427253344766232E-2</v>
      </c>
      <c r="Z63" s="134">
        <f t="shared" si="82"/>
        <v>1.6434167289016439E-2</v>
      </c>
      <c r="AA63" s="134">
        <f t="shared" si="82"/>
        <v>1.6552909459225832E-2</v>
      </c>
      <c r="AB63" s="134">
        <f t="shared" si="82"/>
        <v>1.6922144114524688E-2</v>
      </c>
      <c r="AC63" s="134">
        <f t="shared" si="82"/>
        <v>1.7206529418778302E-2</v>
      </c>
      <c r="AD63" s="134">
        <f t="shared" si="82"/>
        <v>1.7002979861442523E-2</v>
      </c>
      <c r="AE63" s="134">
        <f t="shared" si="82"/>
        <v>1.6757663914625669E-2</v>
      </c>
      <c r="AF63" s="134">
        <f t="shared" si="82"/>
        <v>1.6812732342935576E-2</v>
      </c>
      <c r="AG63" s="134">
        <f t="shared" si="82"/>
        <v>1.6875826518588766E-2</v>
      </c>
    </row>
    <row r="64" spans="2:33" x14ac:dyDescent="0.2">
      <c r="B64" s="122" t="str">
        <f>B24</f>
        <v>SG&amp;A</v>
      </c>
      <c r="C64" s="134">
        <f>C24/C$14</f>
        <v>5.9595482327119753E-2</v>
      </c>
      <c r="D64" s="134">
        <f>D24/D$14</f>
        <v>7.2995341030760774E-2</v>
      </c>
      <c r="E64" s="134">
        <f>E24/E$14</f>
        <v>6.9268914706715784E-2</v>
      </c>
      <c r="F64" s="134">
        <f>F24/F$14</f>
        <v>6.9996359461200253E-2</v>
      </c>
      <c r="G64" s="134">
        <f>G24/G$14</f>
        <v>6.0033893517864707E-2</v>
      </c>
      <c r="H64" s="134">
        <f>H24/H$14</f>
        <v>4.9383040168023105E-2</v>
      </c>
      <c r="I64" s="134">
        <f>I24/I$14</f>
        <v>5.2876491538201578E-2</v>
      </c>
      <c r="J64" s="134">
        <f t="shared" si="80"/>
        <v>5.8072446171322414E-2</v>
      </c>
      <c r="K64" s="134">
        <f t="shared" si="77"/>
        <v>5.5091467848852951E-2</v>
      </c>
      <c r="L64" s="134">
        <f t="shared" si="77"/>
        <v>5.3855861431600011E-2</v>
      </c>
      <c r="M64" s="134">
        <f t="shared" si="77"/>
        <v>5.4974066747494242E-2</v>
      </c>
      <c r="N64" s="134">
        <f t="shared" si="77"/>
        <v>5.5498460549817406E-2</v>
      </c>
      <c r="Q64" s="134">
        <f t="shared" ref="Q64:S64" si="86">Q24/Q$14</f>
        <v>8.3551047351636806E-2</v>
      </c>
      <c r="R64" s="134">
        <f t="shared" si="86"/>
        <v>8.2387693153178676E-2</v>
      </c>
      <c r="S64" s="134">
        <f t="shared" si="86"/>
        <v>7.2047353704249167E-2</v>
      </c>
      <c r="T64" s="134">
        <f>T24/T$14</f>
        <v>7.5509787287523167E-2</v>
      </c>
      <c r="U64" s="134">
        <f>U24/U$14</f>
        <v>8.0685104476396069E-2</v>
      </c>
      <c r="V64" s="134">
        <f>V24/V$14</f>
        <v>6.8248495077763371E-2</v>
      </c>
      <c r="W64" s="134">
        <f>W24/W$14</f>
        <v>5.5005571888577916E-2</v>
      </c>
      <c r="X64" s="134">
        <f>X24/X$14</f>
        <v>5.4851407092201043E-2</v>
      </c>
      <c r="Y64" s="134">
        <f>AVERAGE(U64:X64)</f>
        <v>6.4697644633734591E-2</v>
      </c>
      <c r="Z64" s="134">
        <f t="shared" ref="Z64:AG64" si="87">Y64</f>
        <v>6.4697644633734591E-2</v>
      </c>
      <c r="AA64" s="134">
        <f t="shared" si="87"/>
        <v>6.4697644633734591E-2</v>
      </c>
      <c r="AB64" s="134">
        <f t="shared" si="87"/>
        <v>6.4697644633734591E-2</v>
      </c>
      <c r="AC64" s="134">
        <f t="shared" si="87"/>
        <v>6.4697644633734591E-2</v>
      </c>
      <c r="AD64" s="134">
        <f t="shared" si="87"/>
        <v>6.4697644633734591E-2</v>
      </c>
      <c r="AE64" s="134">
        <f t="shared" si="87"/>
        <v>6.4697644633734591E-2</v>
      </c>
      <c r="AF64" s="134">
        <f t="shared" si="87"/>
        <v>6.4697644633734591E-2</v>
      </c>
      <c r="AG64" s="134">
        <f t="shared" si="87"/>
        <v>6.4697644633734591E-2</v>
      </c>
    </row>
    <row r="65" spans="2:33" x14ac:dyDescent="0.2">
      <c r="B65" s="122" t="str">
        <f>B25</f>
        <v>Interest</v>
      </c>
      <c r="C65" s="134">
        <f>C25/C$14</f>
        <v>4.206739928973159E-3</v>
      </c>
      <c r="D65" s="134">
        <f>D25/D$14</f>
        <v>4.3117168735712008E-3</v>
      </c>
      <c r="E65" s="134">
        <f>E25/E$14</f>
        <v>4.0521394162652312E-3</v>
      </c>
      <c r="F65" s="134">
        <f>F25/F$14</f>
        <v>3.1644683413145146E-3</v>
      </c>
      <c r="G65" s="134">
        <f>G25/G$14</f>
        <v>3.7282869651179213E-3</v>
      </c>
      <c r="H65" s="134">
        <f>H25/H$14</f>
        <v>3.9642950905749543E-3</v>
      </c>
      <c r="I65" s="134">
        <f>I25/I$14</f>
        <v>3.8604518158421503E-3</v>
      </c>
      <c r="J65" s="134">
        <f t="shared" si="80"/>
        <v>3.6793755532123847E-3</v>
      </c>
      <c r="K65" s="134">
        <f t="shared" si="77"/>
        <v>3.8081023561868524E-3</v>
      </c>
      <c r="L65" s="134">
        <f t="shared" si="77"/>
        <v>3.8280562039540852E-3</v>
      </c>
      <c r="M65" s="134">
        <f t="shared" si="77"/>
        <v>3.7939964822988684E-3</v>
      </c>
      <c r="N65" s="134">
        <f t="shared" si="77"/>
        <v>3.7773826489130476E-3</v>
      </c>
      <c r="Q65" s="134">
        <f t="shared" ref="Q65:S65" si="88">Q25/Q$14</f>
        <v>5.1089189917903994E-3</v>
      </c>
      <c r="R65" s="134">
        <f t="shared" si="88"/>
        <v>4.8602255797278787E-3</v>
      </c>
      <c r="S65" s="134">
        <f t="shared" si="88"/>
        <v>1.5413356359219971E-3</v>
      </c>
      <c r="T65" s="134">
        <f>T25/T$14</f>
        <v>3.7703836365350174E-4</v>
      </c>
      <c r="U65" s="134">
        <f>U25/U$14</f>
        <v>4.3464624658873366E-2</v>
      </c>
      <c r="V65" s="134">
        <f>V25/V$14</f>
        <v>3.9334429578332013E-3</v>
      </c>
      <c r="W65" s="134">
        <f>W25/W$14</f>
        <v>3.8093185544524422E-3</v>
      </c>
      <c r="X65" s="134">
        <f>X25/X$14</f>
        <v>3.8017783424568116E-3</v>
      </c>
      <c r="Y65" s="134">
        <f>AVERAGE(V65:X65)</f>
        <v>3.8481799515808182E-3</v>
      </c>
      <c r="Z65" s="134">
        <f t="shared" ref="Z65:AG65" si="89">AVERAGE(W65:Y65)</f>
        <v>3.8197589494966908E-3</v>
      </c>
      <c r="AA65" s="134">
        <f t="shared" si="89"/>
        <v>3.8232390811781067E-3</v>
      </c>
      <c r="AB65" s="134">
        <f t="shared" si="89"/>
        <v>3.8303926607518718E-3</v>
      </c>
      <c r="AC65" s="134">
        <f t="shared" si="89"/>
        <v>3.8244635638088899E-3</v>
      </c>
      <c r="AD65" s="134">
        <f t="shared" si="89"/>
        <v>3.8260317685796228E-3</v>
      </c>
      <c r="AE65" s="134">
        <f t="shared" si="89"/>
        <v>3.8269626643801283E-3</v>
      </c>
      <c r="AF65" s="134">
        <f t="shared" si="89"/>
        <v>3.8258193322562137E-3</v>
      </c>
      <c r="AG65" s="134">
        <f t="shared" si="89"/>
        <v>3.8262712550719883E-3</v>
      </c>
    </row>
    <row r="66" spans="2:33" x14ac:dyDescent="0.2">
      <c r="B66" s="122" t="s">
        <v>129</v>
      </c>
      <c r="C66" s="134">
        <f>C26/C$14</f>
        <v>0.71721867426724994</v>
      </c>
      <c r="D66" s="134">
        <f>D26/D$14</f>
        <v>0.74926932314726391</v>
      </c>
      <c r="E66" s="134">
        <f>E26/E$14</f>
        <v>0.76538679512609809</v>
      </c>
      <c r="F66" s="134">
        <f>F26/F$14</f>
        <v>0.75535579265731323</v>
      </c>
      <c r="G66" s="134">
        <f>G26/G$14</f>
        <v>0.74783222708656971</v>
      </c>
      <c r="H66" s="134">
        <f>H26/H$14</f>
        <v>0.71617222368075606</v>
      </c>
      <c r="I66" s="134">
        <f>I26/I$14</f>
        <v>0.74136272649283796</v>
      </c>
      <c r="J66" s="134">
        <f>J26/J$14</f>
        <v>0.74018074247936927</v>
      </c>
      <c r="K66" s="134">
        <f>K26/K$14</f>
        <v>0.73638697993488345</v>
      </c>
      <c r="L66" s="134">
        <f>L26/L$14</f>
        <v>0.73352566814696174</v>
      </c>
      <c r="M66" s="134">
        <f>M26/M$14</f>
        <v>0.73786402926351302</v>
      </c>
      <c r="N66" s="134">
        <f>N26/N$14</f>
        <v>0.7369893549561819</v>
      </c>
      <c r="Q66" s="134">
        <f t="shared" ref="Q66:S66" si="90">Q26/Q$14</f>
        <v>0.75320062850395608</v>
      </c>
      <c r="R66" s="134">
        <f t="shared" si="90"/>
        <v>0.81554327618704137</v>
      </c>
      <c r="S66" s="134">
        <f t="shared" si="90"/>
        <v>0.74153576746006444</v>
      </c>
      <c r="T66" s="134">
        <f>T26/T$14</f>
        <v>0.75018066421591734</v>
      </c>
      <c r="U66" s="134">
        <f>U26/U$14</f>
        <v>0.80506700338071768</v>
      </c>
      <c r="V66" s="134">
        <f>V26/V$14</f>
        <v>0.74904923685411495</v>
      </c>
      <c r="W66" s="134">
        <f>W26/W$14</f>
        <v>0.73620519247973049</v>
      </c>
      <c r="X66" s="134">
        <f>X26/X$14</f>
        <v>0.73618893743054936</v>
      </c>
      <c r="Y66" s="134">
        <f>Y26/Y$14</f>
        <v>0.74595453628997377</v>
      </c>
      <c r="Z66" s="134">
        <f>Z26/Z$14</f>
        <v>0.74002306752141389</v>
      </c>
      <c r="AA66" s="134">
        <f>AA26/AA$14</f>
        <v>0.74176187743233646</v>
      </c>
      <c r="AB66" s="134">
        <f>AB26/AB$14</f>
        <v>0.74635851982640211</v>
      </c>
      <c r="AC66" s="134">
        <f>AC26/AC$14</f>
        <v>0.75134475062488026</v>
      </c>
      <c r="AD66" s="134">
        <f>AD26/AD$14</f>
        <v>0.74731655035511191</v>
      </c>
      <c r="AE66" s="134">
        <f>AE26/AE$14</f>
        <v>0.73656856887014999</v>
      </c>
      <c r="AF66" s="134">
        <f>AF26/AF$14</f>
        <v>0.73207614782311137</v>
      </c>
      <c r="AG66" s="134">
        <f>AG26/AG$14</f>
        <v>0.7438161611247085</v>
      </c>
    </row>
    <row r="67" spans="2:33" x14ac:dyDescent="0.2">
      <c r="J67" s="134"/>
      <c r="K67" s="134"/>
      <c r="L67" s="134"/>
      <c r="M67" s="134"/>
      <c r="N67" s="134"/>
      <c r="Q67" s="130"/>
      <c r="R67" s="130"/>
      <c r="S67" s="130"/>
      <c r="T67" s="130"/>
      <c r="U67" s="130"/>
      <c r="V67" s="130"/>
      <c r="W67" s="130"/>
      <c r="X67" s="130"/>
      <c r="Y67" s="134"/>
      <c r="Z67" s="134"/>
      <c r="AA67" s="134"/>
      <c r="AB67" s="134"/>
      <c r="AC67" s="134"/>
      <c r="AD67" s="134"/>
      <c r="AE67" s="134"/>
      <c r="AF67" s="134"/>
      <c r="AG67" s="134"/>
    </row>
    <row r="68" spans="2:33" x14ac:dyDescent="0.2">
      <c r="B68" s="122" t="str">
        <f>B28</f>
        <v>Freight rail transportation expense</v>
      </c>
      <c r="C68" s="134">
        <f>C28/C$8</f>
        <v>0.65265898103384157</v>
      </c>
      <c r="D68" s="134">
        <f>D28/D$8</f>
        <v>0.62097611630321914</v>
      </c>
      <c r="E68" s="134">
        <f>E28/E$8</f>
        <v>0.61222010067696575</v>
      </c>
      <c r="F68" s="134">
        <f>F28/F$8</f>
        <v>0.61533546325878596</v>
      </c>
      <c r="G68" s="134">
        <f>G28/G$8</f>
        <v>0.66032974427994617</v>
      </c>
      <c r="H68" s="134">
        <f>H28/H$8</f>
        <v>0.64428312159709622</v>
      </c>
      <c r="I68" s="134">
        <f>I28/I$8</f>
        <v>0.68752814047726252</v>
      </c>
      <c r="J68" s="134">
        <f>AVERAGE(F68:I68)</f>
        <v>0.65186911740327269</v>
      </c>
      <c r="K68" s="134">
        <f t="shared" ref="K68:N68" si="91">AVERAGE(G68:J68)</f>
        <v>0.66100253093939432</v>
      </c>
      <c r="L68" s="134">
        <f t="shared" si="91"/>
        <v>0.66117072760425644</v>
      </c>
      <c r="M68" s="134">
        <f t="shared" si="91"/>
        <v>0.66539262910604635</v>
      </c>
      <c r="N68" s="134">
        <f t="shared" si="91"/>
        <v>0.65985875126324245</v>
      </c>
      <c r="Q68" s="134">
        <f t="shared" ref="Q68:S68" si="92">Q28/Q$8</f>
        <v>0.66727632982777019</v>
      </c>
      <c r="R68" s="134">
        <f t="shared" si="92"/>
        <v>0.665607210626186</v>
      </c>
      <c r="S68" s="134">
        <f t="shared" si="92"/>
        <v>0.67691853351896381</v>
      </c>
      <c r="T68" s="134">
        <f>T28/T$8</f>
        <v>0.66087254356295755</v>
      </c>
      <c r="U68" s="134">
        <f>U28/U$8</f>
        <v>0.63228915662650598</v>
      </c>
      <c r="V68" s="134">
        <f>V28/V$8</f>
        <v>0.6246278638305216</v>
      </c>
      <c r="W68" s="134">
        <f>W28/W$8</f>
        <v>0.66086780892520858</v>
      </c>
      <c r="X68" s="134">
        <f>X28/X$8</f>
        <v>0.66182560300472704</v>
      </c>
      <c r="Y68" s="134">
        <f>AVERAGE(S68:X68)</f>
        <v>0.65290025157814746</v>
      </c>
      <c r="Z68" s="134">
        <f t="shared" ref="Z68:AG68" si="93">AVERAGE(T68:Y68)</f>
        <v>0.64889720458801137</v>
      </c>
      <c r="AA68" s="134">
        <f t="shared" si="93"/>
        <v>0.64690131475885371</v>
      </c>
      <c r="AB68" s="134">
        <f t="shared" si="93"/>
        <v>0.64933667444757825</v>
      </c>
      <c r="AC68" s="134">
        <f t="shared" si="93"/>
        <v>0.65345480955042101</v>
      </c>
      <c r="AD68" s="134">
        <f t="shared" si="93"/>
        <v>0.65221930965462305</v>
      </c>
      <c r="AE68" s="134">
        <f t="shared" si="93"/>
        <v>0.65061826076293905</v>
      </c>
      <c r="AF68" s="134">
        <f t="shared" si="93"/>
        <v>0.65023792896040433</v>
      </c>
      <c r="AG68" s="134">
        <f t="shared" si="93"/>
        <v>0.65046138302246981</v>
      </c>
    </row>
    <row r="69" spans="2:33" x14ac:dyDescent="0.2">
      <c r="B69" s="122" t="str">
        <f>B29</f>
        <v>Cost of utilities and energy</v>
      </c>
      <c r="C69" s="134">
        <f>C29/C$9</f>
        <v>0.61266643905769891</v>
      </c>
      <c r="D69" s="134">
        <f>D29/D$9</f>
        <v>0.74848907484890748</v>
      </c>
      <c r="E69" s="134">
        <f>E29/E$9</f>
        <v>0.6692822966507177</v>
      </c>
      <c r="F69" s="134">
        <f>F29/F$9</f>
        <v>1.0419281232173416</v>
      </c>
      <c r="G69" s="134">
        <f>G29/G$9</f>
        <v>0.74533001245330011</v>
      </c>
      <c r="H69" s="134">
        <f>H29/H$9</f>
        <v>0.77892603850050657</v>
      </c>
      <c r="I69" s="134">
        <f>I29/I$9</f>
        <v>0.70525451559934316</v>
      </c>
      <c r="J69" s="134">
        <f>AVERAGE(G69:I69)</f>
        <v>0.74317018885105002</v>
      </c>
      <c r="K69" s="134">
        <f t="shared" ref="K69:N69" si="94">AVERAGE(H69:J69)</f>
        <v>0.74245024765029999</v>
      </c>
      <c r="L69" s="134">
        <f t="shared" si="94"/>
        <v>0.73029165070023117</v>
      </c>
      <c r="M69" s="134">
        <f t="shared" si="94"/>
        <v>0.73863736240052713</v>
      </c>
      <c r="N69" s="134">
        <f t="shared" si="94"/>
        <v>0.73712642025035269</v>
      </c>
      <c r="Q69" s="134">
        <f t="shared" ref="Q69:S69" si="95">Q29/Q$9</f>
        <v>0.7161616852472471</v>
      </c>
      <c r="R69" s="134">
        <f t="shared" si="95"/>
        <v>0.71078851864071269</v>
      </c>
      <c r="S69" s="134">
        <f t="shared" si="95"/>
        <v>0.74837672774027642</v>
      </c>
      <c r="T69" s="134">
        <f>T29/T$9</f>
        <v>0.73575197029896433</v>
      </c>
      <c r="U69" s="134">
        <f>U29/U$9</f>
        <v>0.74890604890604895</v>
      </c>
      <c r="V69" s="134">
        <f>V29/V$9</f>
        <v>0.73892329680800384</v>
      </c>
      <c r="W69" s="134">
        <f>W29/W$9</f>
        <v>0.7409462155492923</v>
      </c>
      <c r="X69" s="134">
        <f>X29/X$9</f>
        <v>0.73720364019236706</v>
      </c>
      <c r="Y69" s="134">
        <f t="shared" ref="Y69:AG69" si="96">AVERAGE(T69:X69)</f>
        <v>0.74034623435093527</v>
      </c>
      <c r="Z69" s="134">
        <f t="shared" si="96"/>
        <v>0.74126508716132944</v>
      </c>
      <c r="AA69" s="134">
        <f t="shared" si="96"/>
        <v>0.73973689481238558</v>
      </c>
      <c r="AB69" s="134">
        <f t="shared" si="96"/>
        <v>0.73989961441326202</v>
      </c>
      <c r="AC69" s="134">
        <f t="shared" si="96"/>
        <v>0.73969029418605592</v>
      </c>
      <c r="AD69" s="134">
        <f t="shared" si="96"/>
        <v>0.74018762498479362</v>
      </c>
      <c r="AE69" s="134">
        <f t="shared" si="96"/>
        <v>0.74015590311156532</v>
      </c>
      <c r="AF69" s="134">
        <f t="shared" si="96"/>
        <v>0.73993406630161251</v>
      </c>
      <c r="AG69" s="134">
        <f t="shared" si="96"/>
        <v>0.73997350059945788</v>
      </c>
    </row>
    <row r="70" spans="2:33" x14ac:dyDescent="0.2">
      <c r="B70" s="122" t="str">
        <f>B30</f>
        <v>Other</v>
      </c>
      <c r="C70" s="134">
        <f>C30/C$10</f>
        <v>1.0157992565055762</v>
      </c>
      <c r="D70" s="134">
        <f>D30/D$10</f>
        <v>0.87661245092540663</v>
      </c>
      <c r="E70" s="134">
        <f>E30/E$10</f>
        <v>0.88478747203579422</v>
      </c>
      <c r="F70" s="134">
        <f>F30/F$10</f>
        <v>0.98007117437722424</v>
      </c>
      <c r="G70" s="134">
        <f>G30/G$10</f>
        <v>0.99655172413793103</v>
      </c>
      <c r="H70" s="134">
        <f>H30/H$10</f>
        <v>0.96768060836501901</v>
      </c>
      <c r="I70" s="134">
        <f>I30/I$10</f>
        <v>0.91858037578288099</v>
      </c>
      <c r="J70" s="134">
        <f>AVERAGE(C70:I70)</f>
        <v>0.94858329458997603</v>
      </c>
      <c r="K70" s="134">
        <f t="shared" ref="K70:N71" si="97">AVERAGE(D70:J70)</f>
        <v>0.93898101431631886</v>
      </c>
      <c r="L70" s="134">
        <f t="shared" si="97"/>
        <v>0.94789080908644918</v>
      </c>
      <c r="M70" s="134">
        <f t="shared" si="97"/>
        <v>0.95690557152225708</v>
      </c>
      <c r="N70" s="134">
        <f t="shared" si="97"/>
        <v>0.95359619968583331</v>
      </c>
      <c r="Q70" s="134">
        <f t="shared" ref="Q70:S70" si="98">Q30/Q$10</f>
        <v>0.82373528475978364</v>
      </c>
      <c r="R70" s="134">
        <f t="shared" si="98"/>
        <v>0.85702917771883291</v>
      </c>
      <c r="S70" s="134">
        <f t="shared" si="98"/>
        <v>0.88221970554926388</v>
      </c>
      <c r="T70" s="134">
        <f>T30/T$10</f>
        <v>0.84376976597090447</v>
      </c>
      <c r="U70" s="134">
        <f>U30/U$10</f>
        <v>0.87614176105224695</v>
      </c>
      <c r="V70" s="134">
        <f>V30/V$10</f>
        <v>0.92779246530072701</v>
      </c>
      <c r="W70" s="134">
        <f>W30/W$10</f>
        <v>0.95638648887757027</v>
      </c>
      <c r="X70" s="134">
        <f>X30/X$10</f>
        <v>0.94971860182470147</v>
      </c>
      <c r="Y70" s="134">
        <f>AVERAGE(S70:W70)</f>
        <v>0.89726203735014265</v>
      </c>
      <c r="Z70" s="134">
        <f t="shared" ref="Z70:AG70" si="99">AVERAGE(T70:X70)</f>
        <v>0.91076181660523015</v>
      </c>
      <c r="AA70" s="134">
        <f t="shared" si="99"/>
        <v>0.92146027088107763</v>
      </c>
      <c r="AB70" s="134">
        <f t="shared" si="99"/>
        <v>0.92838428199167422</v>
      </c>
      <c r="AC70" s="134">
        <f t="shared" si="99"/>
        <v>0.92711784310774425</v>
      </c>
      <c r="AD70" s="134">
        <f t="shared" si="99"/>
        <v>0.92151740173056518</v>
      </c>
      <c r="AE70" s="134">
        <f t="shared" si="99"/>
        <v>0.9169972499871738</v>
      </c>
      <c r="AF70" s="134">
        <f t="shared" si="99"/>
        <v>0.92184832286325824</v>
      </c>
      <c r="AG70" s="134">
        <f t="shared" si="99"/>
        <v>0.92309540953964697</v>
      </c>
    </row>
    <row r="71" spans="2:33" x14ac:dyDescent="0.2">
      <c r="B71" s="122" t="str">
        <f>B31</f>
        <v>Interest</v>
      </c>
      <c r="C71" s="134">
        <f>C31/C$14</f>
        <v>1.1797161974729077E-2</v>
      </c>
      <c r="D71" s="134">
        <f>D31/D$14</f>
        <v>1.1256764186706021E-2</v>
      </c>
      <c r="E71" s="134">
        <f>E31/E$14</f>
        <v>1.0909606120714083E-2</v>
      </c>
      <c r="F71" s="134">
        <f>F31/F$14</f>
        <v>1.0697583242319864E-2</v>
      </c>
      <c r="G71" s="134">
        <f>G31/G$14</f>
        <v>1.0874170314927271E-2</v>
      </c>
      <c r="H71" s="134">
        <f>H31/H$14</f>
        <v>1.0304541874507744E-2</v>
      </c>
      <c r="I71" s="134">
        <f>I31/I$14</f>
        <v>1.0333532638365351E-2</v>
      </c>
      <c r="J71" s="134">
        <f>AVERAGE(C71:I71)</f>
        <v>1.0881908621752773E-2</v>
      </c>
      <c r="K71" s="134">
        <f t="shared" si="97"/>
        <v>1.075115814275616E-2</v>
      </c>
      <c r="L71" s="134">
        <f t="shared" si="97"/>
        <v>1.0678928707906179E-2</v>
      </c>
      <c r="M71" s="134">
        <f t="shared" si="97"/>
        <v>1.0645974791790764E-2</v>
      </c>
      <c r="N71" s="134">
        <f t="shared" si="97"/>
        <v>1.063860215600089E-2</v>
      </c>
      <c r="Q71" s="134">
        <f t="shared" ref="Q71:S71" si="100">Q31/Q$14</f>
        <v>1.228185985105572E-2</v>
      </c>
      <c r="R71" s="134">
        <f t="shared" si="100"/>
        <v>1.3971001798970421E-2</v>
      </c>
      <c r="S71" s="134">
        <f t="shared" si="100"/>
        <v>1.1370376497455989E-2</v>
      </c>
      <c r="T71" s="134">
        <f>T31/T$14</f>
        <v>1.1409337983473152E-2</v>
      </c>
      <c r="U71" s="134">
        <f>U31/U$14</f>
        <v>1.2129852144515499E-2</v>
      </c>
      <c r="V71" s="134">
        <f>V31/V$14</f>
        <v>1.1177352640767274E-2</v>
      </c>
      <c r="W71" s="134">
        <f>W31/W$14</f>
        <v>1.0593702369450517E-2</v>
      </c>
      <c r="X71" s="134">
        <f>X31/X$14</f>
        <v>1.0677502522048373E-2</v>
      </c>
      <c r="Y71" s="134">
        <f>AVERAGE(S71:X71)</f>
        <v>1.1226354026285135E-2</v>
      </c>
      <c r="Z71" s="134">
        <f t="shared" ref="Z71:AG71" si="101">AVERAGE(T71:Y71)</f>
        <v>1.1202350281089991E-2</v>
      </c>
      <c r="AA71" s="134">
        <f t="shared" si="101"/>
        <v>1.1167852330692798E-2</v>
      </c>
      <c r="AB71" s="134">
        <f t="shared" si="101"/>
        <v>1.1007519028389015E-2</v>
      </c>
      <c r="AC71" s="134">
        <f t="shared" si="101"/>
        <v>1.0979213426325971E-2</v>
      </c>
      <c r="AD71" s="134">
        <f t="shared" si="101"/>
        <v>1.1043465269138547E-2</v>
      </c>
      <c r="AE71" s="134">
        <f t="shared" si="101"/>
        <v>1.1104459060320241E-2</v>
      </c>
      <c r="AF71" s="134">
        <f t="shared" si="101"/>
        <v>1.1084143232659426E-2</v>
      </c>
      <c r="AG71" s="134">
        <f t="shared" si="101"/>
        <v>1.1064442057921E-2</v>
      </c>
    </row>
    <row r="72" spans="2:33" x14ac:dyDescent="0.2">
      <c r="B72" s="122" t="s">
        <v>130</v>
      </c>
      <c r="C72" s="134">
        <f>C32/C$14</f>
        <v>0.13665808044628022</v>
      </c>
      <c r="D72" s="134">
        <f>D32/D$14</f>
        <v>0.13237549555806349</v>
      </c>
      <c r="E72" s="134">
        <f>E32/E$14</f>
        <v>0.13284216491924059</v>
      </c>
      <c r="F72" s="134">
        <f>F32/F$14</f>
        <v>0.13506398947044163</v>
      </c>
      <c r="G72" s="134">
        <f>G32/G$14</f>
        <v>0.13334274819940686</v>
      </c>
      <c r="H72" s="134">
        <f>H32/H$14</f>
        <v>0.13672880021002887</v>
      </c>
      <c r="I72" s="134">
        <f>I32/I$14</f>
        <v>0.14286271349468377</v>
      </c>
      <c r="J72" s="134">
        <f>J32/J$14</f>
        <v>0.12602848700455829</v>
      </c>
      <c r="K72" s="134">
        <f>K32/K$14</f>
        <v>0.13348369178199945</v>
      </c>
      <c r="L72" s="134">
        <f>L32/L$14</f>
        <v>0.13512518473649818</v>
      </c>
      <c r="M72" s="134">
        <f>M32/M$14</f>
        <v>0.14435384781701646</v>
      </c>
      <c r="N72" s="134">
        <f>N32/N$14</f>
        <v>0.12660648043487288</v>
      </c>
      <c r="Q72" s="134">
        <f t="shared" ref="Q72:S72" si="102">Q32/Q$14</f>
        <v>0.13404985263627658</v>
      </c>
      <c r="R72" s="134">
        <f t="shared" si="102"/>
        <v>0.13433457415064123</v>
      </c>
      <c r="S72" s="134">
        <f t="shared" si="102"/>
        <v>0.13879687052377168</v>
      </c>
      <c r="T72" s="134">
        <f>T32/T$14</f>
        <v>0.13211659911395984</v>
      </c>
      <c r="U72" s="134">
        <f>U32/U$14</f>
        <v>0.1325078408211478</v>
      </c>
      <c r="V72" s="134">
        <f>V32/V$14</f>
        <v>0.13450853694756135</v>
      </c>
      <c r="W72" s="134">
        <f>W32/W$14</f>
        <v>0.13476301661724982</v>
      </c>
      <c r="X72" s="134">
        <f>X32/X$14</f>
        <v>0.13491431645022989</v>
      </c>
      <c r="Y72" s="134">
        <f>Y32/Y$14</f>
        <v>0.13331444311692853</v>
      </c>
      <c r="Z72" s="134">
        <f>Z32/Z$14</f>
        <v>0.1325583388087242</v>
      </c>
      <c r="AA72" s="134">
        <f>AA32/AA$14</f>
        <v>0.1318140668926662</v>
      </c>
      <c r="AB72" s="134">
        <f>AB32/AB$14</f>
        <v>0.13146194200885097</v>
      </c>
      <c r="AC72" s="134">
        <f>AC32/AC$14</f>
        <v>0.1313301445474514</v>
      </c>
      <c r="AD72" s="134">
        <f>AD32/AD$14</f>
        <v>0.13083297729897511</v>
      </c>
      <c r="AE72" s="134">
        <f>AE32/AE$14</f>
        <v>0.13031331477043714</v>
      </c>
      <c r="AF72" s="134">
        <f>AF32/AF$14</f>
        <v>0.12992567785507475</v>
      </c>
      <c r="AG72" s="134">
        <f>AG32/AG$14</f>
        <v>0.12960012702021834</v>
      </c>
    </row>
    <row r="73" spans="2:33" x14ac:dyDescent="0.2">
      <c r="J73" s="134"/>
      <c r="K73" s="134"/>
      <c r="L73" s="134"/>
      <c r="M73" s="134"/>
      <c r="N73" s="134"/>
      <c r="Q73" s="130"/>
      <c r="R73" s="130"/>
      <c r="S73" s="130"/>
      <c r="T73" s="130"/>
      <c r="U73" s="130"/>
      <c r="V73" s="130"/>
      <c r="W73" s="130"/>
      <c r="X73" s="130"/>
      <c r="Y73" s="134"/>
      <c r="Z73" s="134"/>
      <c r="AA73" s="134"/>
      <c r="AB73" s="134"/>
      <c r="AC73" s="134"/>
      <c r="AD73" s="134"/>
      <c r="AE73" s="134"/>
      <c r="AF73" s="134"/>
      <c r="AG73" s="134"/>
    </row>
    <row r="74" spans="2:33" x14ac:dyDescent="0.2">
      <c r="B74" s="122" t="s">
        <v>6</v>
      </c>
      <c r="C74" s="134">
        <f>C36/C14</f>
        <v>0.16212714719017207</v>
      </c>
      <c r="D74" s="134">
        <f>D36/D14</f>
        <v>0.13392366235494979</v>
      </c>
      <c r="E74" s="134">
        <f>E36/E14</f>
        <v>0.11673278549164069</v>
      </c>
      <c r="F74" s="134">
        <f>F36/F14</f>
        <v>0.12344226945587947</v>
      </c>
      <c r="G74" s="134">
        <f>G36/G14</f>
        <v>0.13342748199406865</v>
      </c>
      <c r="H74" s="134">
        <f>H36/H14</f>
        <v>0.16136781307429771</v>
      </c>
      <c r="I74" s="134">
        <f>I36/I14</f>
        <v>0.12996854446668574</v>
      </c>
      <c r="J74" s="134">
        <f>J36/J14</f>
        <v>0.14835205469103763</v>
      </c>
      <c r="K74" s="134">
        <f>K36/K14</f>
        <v>0.14468858878206006</v>
      </c>
      <c r="L74" s="134">
        <f>L36/L14</f>
        <v>0.14585613202840042</v>
      </c>
      <c r="M74" s="134">
        <f>M36/M14</f>
        <v>0.13222209419356026</v>
      </c>
      <c r="N74" s="134">
        <f>N36/N14</f>
        <v>0.15082014941385916</v>
      </c>
      <c r="Q74" s="134">
        <f t="shared" ref="Q74:S74" si="103">Q36/Q14</f>
        <v>0.13014029770261351</v>
      </c>
      <c r="R74" s="134">
        <f t="shared" si="103"/>
        <v>6.8953377041015673E-2</v>
      </c>
      <c r="S74" s="134">
        <f t="shared" si="103"/>
        <v>0.13257907414954184</v>
      </c>
      <c r="T74" s="134">
        <f>T36/T14</f>
        <v>0.1294891130172495</v>
      </c>
      <c r="U74" s="134">
        <f>U36/U14</f>
        <v>0.11801963260152336</v>
      </c>
      <c r="V74" s="134">
        <f>V36/V14</f>
        <v>0.13155302179692424</v>
      </c>
      <c r="W74" s="134">
        <f>W36/W14</f>
        <v>0.14343481182692275</v>
      </c>
      <c r="X74" s="134">
        <f>X36/X14</f>
        <v>0.14337602698372581</v>
      </c>
      <c r="Y74" s="134">
        <f>Y36/Y14</f>
        <v>0.1358055545709636</v>
      </c>
      <c r="Z74" s="134">
        <f>Z36/Z14</f>
        <v>0.14244070290044852</v>
      </c>
      <c r="AA74" s="134">
        <f>AA36/AA14</f>
        <v>0.14141514708686831</v>
      </c>
      <c r="AB74" s="134">
        <f>AB36/AB14</f>
        <v>0.13701744985388789</v>
      </c>
      <c r="AC74" s="134">
        <f>AC36/AC14</f>
        <v>0.1321287818178033</v>
      </c>
      <c r="AD74" s="134">
        <f>AD36/AD14</f>
        <v>0.13671996938363118</v>
      </c>
      <c r="AE74" s="134">
        <f>AE36/AE14</f>
        <v>0.14804953808411331</v>
      </c>
      <c r="AF74" s="134">
        <f>AF36/AF14</f>
        <v>0.15290813688672963</v>
      </c>
      <c r="AG74" s="134">
        <f>AG36/AG14</f>
        <v>0.1414744251680661</v>
      </c>
    </row>
    <row r="75" spans="2:33" x14ac:dyDescent="0.2">
      <c r="B75" s="122" t="s">
        <v>131</v>
      </c>
      <c r="C75" s="134">
        <f>C37/C36</f>
        <v>2.3596878819215943E-2</v>
      </c>
      <c r="D75" s="134">
        <f>D37/D36</f>
        <v>1.5881590319792568E-2</v>
      </c>
      <c r="E75" s="134">
        <f>E37/E36</f>
        <v>4.5757980337419589E-2</v>
      </c>
      <c r="F75" s="134">
        <f>F37/F36</f>
        <v>2.4954627949183301E-2</v>
      </c>
      <c r="G75" s="134">
        <f>G37/G36</f>
        <v>3.9796782387806942E-2</v>
      </c>
      <c r="H75" s="134">
        <f>H37/H36</f>
        <v>1.8791181973480842E-2</v>
      </c>
      <c r="I75" s="134">
        <f>I37/I36</f>
        <v>4.4104410441044108E-2</v>
      </c>
      <c r="J75" s="134">
        <f>AVERAGE(C75:I75)</f>
        <v>3.0411921746849039E-2</v>
      </c>
      <c r="K75" s="134">
        <f t="shared" ref="K75:N75" si="104">AVERAGE(D75:J75)</f>
        <v>3.1385499307939484E-2</v>
      </c>
      <c r="L75" s="134">
        <f t="shared" si="104"/>
        <v>3.3600343449103329E-2</v>
      </c>
      <c r="M75" s="134">
        <f t="shared" si="104"/>
        <v>3.1863538179343863E-2</v>
      </c>
      <c r="N75" s="134">
        <f t="shared" si="104"/>
        <v>3.2850525355081088E-2</v>
      </c>
      <c r="Q75" s="134">
        <f t="shared" ref="Q75:S75" si="105">Q37/Q36</f>
        <v>3.9614216824432932E-2</v>
      </c>
      <c r="R75" s="134">
        <f t="shared" si="105"/>
        <v>0.18767123287671234</v>
      </c>
      <c r="S75" s="134">
        <f t="shared" si="105"/>
        <v>-6.5950453466431316E-2</v>
      </c>
      <c r="T75" s="134">
        <f>T37/T36</f>
        <v>3.5668789808917196E-2</v>
      </c>
      <c r="U75" s="134">
        <f>U37/U36</f>
        <v>2.5056082830025885E-2</v>
      </c>
      <c r="V75" s="134">
        <f>V37/V36</f>
        <v>2.7394620192175326E-2</v>
      </c>
      <c r="W75" s="134">
        <f>W37/W36</f>
        <v>3.2328678363969431E-2</v>
      </c>
      <c r="X75" s="134">
        <f>X37/X36</f>
        <v>3.2461029539409825E-2</v>
      </c>
      <c r="Y75" s="134">
        <f>AVERAGE(T75:X75)</f>
        <v>3.058184014689953E-2</v>
      </c>
      <c r="Z75" s="134">
        <f t="shared" ref="Z75:AG77" si="106">Y75</f>
        <v>3.058184014689953E-2</v>
      </c>
      <c r="AA75" s="134">
        <f t="shared" si="106"/>
        <v>3.058184014689953E-2</v>
      </c>
      <c r="AB75" s="134">
        <f t="shared" si="106"/>
        <v>3.058184014689953E-2</v>
      </c>
      <c r="AC75" s="134">
        <f t="shared" si="106"/>
        <v>3.058184014689953E-2</v>
      </c>
      <c r="AD75" s="134">
        <f t="shared" si="106"/>
        <v>3.058184014689953E-2</v>
      </c>
      <c r="AE75" s="134">
        <f t="shared" si="106"/>
        <v>3.058184014689953E-2</v>
      </c>
      <c r="AF75" s="134">
        <f t="shared" si="106"/>
        <v>3.058184014689953E-2</v>
      </c>
      <c r="AG75" s="134">
        <f t="shared" si="106"/>
        <v>3.058184014689953E-2</v>
      </c>
    </row>
    <row r="76" spans="2:33" x14ac:dyDescent="0.2">
      <c r="B76" s="122" t="s">
        <v>14</v>
      </c>
      <c r="C76" s="134">
        <f>C39/C38</f>
        <v>0.22516334394370915</v>
      </c>
      <c r="D76" s="134">
        <f>D39/D38</f>
        <v>0.69624964214142571</v>
      </c>
      <c r="E76" s="134">
        <f>E39/E38</f>
        <v>0.19023986765922249</v>
      </c>
      <c r="F76" s="134">
        <f>F39/F38</f>
        <v>0.90315180530620387</v>
      </c>
      <c r="G76" s="134">
        <f>G39/G38</f>
        <v>0.11300423650764413</v>
      </c>
      <c r="H76" s="134">
        <f>H39/H38</f>
        <v>-0.88942766879729629</v>
      </c>
      <c r="I76" s="134">
        <f>I39/I38</f>
        <v>-0.13258758237946583</v>
      </c>
      <c r="J76" s="134">
        <v>0.16</v>
      </c>
      <c r="K76" s="134">
        <v>0.16</v>
      </c>
      <c r="L76" s="134">
        <v>0.16</v>
      </c>
      <c r="M76" s="134">
        <v>0.16</v>
      </c>
      <c r="N76" s="134">
        <v>0.16</v>
      </c>
      <c r="Q76" s="134">
        <f t="shared" ref="Q76:S76" si="107">Q39/Q38</f>
        <v>-9.7731770436900595E-3</v>
      </c>
      <c r="R76" s="134">
        <f t="shared" si="107"/>
        <v>-0.91709292412617216</v>
      </c>
      <c r="S76" s="134">
        <f t="shared" si="107"/>
        <v>-9.4715411171107378E-3</v>
      </c>
      <c r="T76" s="134">
        <f>T39/T38</f>
        <v>0.56273723315476354</v>
      </c>
      <c r="U76" s="134">
        <f>U39/U38</f>
        <v>0.28696655132641291</v>
      </c>
      <c r="V76" s="134">
        <f>V39/V38</f>
        <v>0.50325395295025066</v>
      </c>
      <c r="W76" s="134">
        <f>W39/W38</f>
        <v>-0.21162616726569772</v>
      </c>
      <c r="X76" s="134">
        <f>X39/X38</f>
        <v>0.16000000000000011</v>
      </c>
      <c r="Y76" s="134">
        <v>0.21</v>
      </c>
      <c r="Z76" s="134">
        <f t="shared" si="106"/>
        <v>0.21</v>
      </c>
      <c r="AA76" s="134">
        <f t="shared" si="106"/>
        <v>0.21</v>
      </c>
      <c r="AB76" s="134">
        <f t="shared" si="106"/>
        <v>0.21</v>
      </c>
      <c r="AC76" s="134">
        <f t="shared" si="106"/>
        <v>0.21</v>
      </c>
      <c r="AD76" s="134">
        <f t="shared" si="106"/>
        <v>0.21</v>
      </c>
      <c r="AE76" s="134">
        <f t="shared" si="106"/>
        <v>0.21</v>
      </c>
      <c r="AF76" s="134">
        <f t="shared" si="106"/>
        <v>0.21</v>
      </c>
      <c r="AG76" s="134">
        <f t="shared" si="106"/>
        <v>0.21</v>
      </c>
    </row>
    <row r="77" spans="2:33" x14ac:dyDescent="0.2">
      <c r="B77" s="122" t="s">
        <v>132</v>
      </c>
      <c r="C77" s="134">
        <f>C42/C36</f>
        <v>1.2127479552505406E-2</v>
      </c>
      <c r="D77" s="134">
        <f>D42/D36</f>
        <v>3.5760587726879858E-2</v>
      </c>
      <c r="E77" s="134">
        <f>E42/E36</f>
        <v>3.6412185944896223E-2</v>
      </c>
      <c r="F77" s="134">
        <f>F42/F36</f>
        <v>0.1147912885662432</v>
      </c>
      <c r="G77" s="134">
        <f>G42/G36</f>
        <v>1.3230313293818798E-2</v>
      </c>
      <c r="H77" s="134">
        <f>H42/H36</f>
        <v>3.083055397380623E-2</v>
      </c>
      <c r="I77" s="134">
        <f>I42/I36</f>
        <v>1.0001000100010001E-2</v>
      </c>
      <c r="J77" s="134">
        <f>AVERAGE(C77,D77,E77,G77,H77,I77)</f>
        <v>2.3060353431986088E-2</v>
      </c>
      <c r="K77" s="134">
        <f>AVERAGE(D77,E77,H77,I77,J77)</f>
        <v>2.7212936235515676E-2</v>
      </c>
      <c r="L77" s="134">
        <f>K77</f>
        <v>2.7212936235515676E-2</v>
      </c>
      <c r="M77" s="134">
        <f t="shared" ref="M77:N77" si="108">L77</f>
        <v>2.7212936235515676E-2</v>
      </c>
      <c r="N77" s="134">
        <f t="shared" si="108"/>
        <v>2.7212936235515676E-2</v>
      </c>
      <c r="Q77" s="134">
        <f t="shared" ref="Q77:S77" si="109">Q42/Q36</f>
        <v>1.2609394534738347E-2</v>
      </c>
      <c r="R77" s="134">
        <f t="shared" si="109"/>
        <v>2.5716064757160647E-2</v>
      </c>
      <c r="S77" s="134">
        <f t="shared" si="109"/>
        <v>9.1606305922454188E-3</v>
      </c>
      <c r="T77" s="134">
        <f>T42/T36</f>
        <v>1.1373976342129208E-2</v>
      </c>
      <c r="U77" s="134">
        <f>U42/U36</f>
        <v>2.5263157894736842E-2</v>
      </c>
      <c r="V77" s="134">
        <f>V42/V36</f>
        <v>4.8787202995512237E-2</v>
      </c>
      <c r="W77" s="134">
        <f>W42/W36</f>
        <v>1.7470219904212495E-2</v>
      </c>
      <c r="X77" s="134">
        <f>X42/X36</f>
        <v>1.5268223678912018E-2</v>
      </c>
      <c r="Y77" s="134">
        <f>X77</f>
        <v>1.5268223678912018E-2</v>
      </c>
      <c r="Z77" s="134">
        <f>Y77</f>
        <v>1.5268223678912018E-2</v>
      </c>
      <c r="AA77" s="134">
        <f t="shared" si="106"/>
        <v>1.5268223678912018E-2</v>
      </c>
      <c r="AB77" s="134">
        <f t="shared" si="106"/>
        <v>1.5268223678912018E-2</v>
      </c>
      <c r="AC77" s="134">
        <f t="shared" si="106"/>
        <v>1.5268223678912018E-2</v>
      </c>
      <c r="AD77" s="134">
        <f t="shared" si="106"/>
        <v>1.5268223678912018E-2</v>
      </c>
      <c r="AE77" s="134">
        <f t="shared" si="106"/>
        <v>1.5268223678912018E-2</v>
      </c>
      <c r="AF77" s="134">
        <f t="shared" si="106"/>
        <v>1.5268223678912018E-2</v>
      </c>
      <c r="AG77" s="134">
        <f t="shared" si="106"/>
        <v>1.5268223678912018E-2</v>
      </c>
    </row>
    <row r="78" spans="2:33" x14ac:dyDescent="0.2">
      <c r="B78" s="122" t="s">
        <v>133</v>
      </c>
      <c r="C78" s="134">
        <f>C43/C14</f>
        <v>0.14295294852840312</v>
      </c>
      <c r="D78" s="134">
        <f>D43/D14</f>
        <v>5.0843533871574503E-2</v>
      </c>
      <c r="E78" s="134">
        <f>E43/E14</f>
        <v>0.11521677529045055</v>
      </c>
      <c r="F78" s="134">
        <f>F43/F14</f>
        <v>2.7766109384188858E-2</v>
      </c>
      <c r="G78" s="134">
        <f>G43/G14</f>
        <v>0.13777715012003955</v>
      </c>
      <c r="H78" s="134">
        <f>H43/H14</f>
        <v>0.30795484379102128</v>
      </c>
      <c r="I78" s="134">
        <f>I43/I14</f>
        <v>0.17106870824342943</v>
      </c>
      <c r="J78" s="134">
        <f>J43/J14</f>
        <v>0.50012544448524698</v>
      </c>
      <c r="K78" s="134">
        <f>K43/K14</f>
        <v>-0.37083549627102491</v>
      </c>
      <c r="L78" s="134">
        <f>L43/L14</f>
        <v>0.3072223932862776</v>
      </c>
      <c r="M78" s="134">
        <f>M43/M14</f>
        <v>0.41216784513534782</v>
      </c>
      <c r="N78" s="134">
        <f>N43/N14</f>
        <v>0.20372987940843637</v>
      </c>
      <c r="Q78" s="134">
        <f t="shared" ref="Q78:S78" si="110">Q43/Q14</f>
        <v>0.15581970490065733</v>
      </c>
      <c r="R78" s="134">
        <f t="shared" si="110"/>
        <v>0.19487271962251676</v>
      </c>
      <c r="S78" s="134">
        <f t="shared" si="110"/>
        <v>0.13925685026852327</v>
      </c>
      <c r="T78" s="134">
        <f>T43/T14</f>
        <v>6.526691174160304E-2</v>
      </c>
      <c r="U78" s="134">
        <f>U43/U14</f>
        <v>0.12888273390085944</v>
      </c>
      <c r="V78" s="134">
        <f>V43/V14</f>
        <v>8.1062971306873746E-2</v>
      </c>
      <c r="W78" s="134">
        <f>W43/W14</f>
        <v>5.9194087652181829E-2</v>
      </c>
      <c r="X78" s="134">
        <f>X43/X14</f>
        <v>0.14619278965587129</v>
      </c>
      <c r="Y78" s="134">
        <f>Y43/Y14</f>
        <v>0.24053359910133235</v>
      </c>
      <c r="Z78" s="134">
        <f>Z43/Z14</f>
        <v>0.24913003419417734</v>
      </c>
      <c r="AA78" s="134">
        <f>AA43/AA14</f>
        <v>0.25175596263965055</v>
      </c>
      <c r="AB78" s="134">
        <f>AB43/AB14</f>
        <v>0.25188961248824121</v>
      </c>
      <c r="AC78" s="134">
        <f>AC43/AC14</f>
        <v>0.25214963306784671</v>
      </c>
      <c r="AD78" s="134">
        <f>AD43/AD14</f>
        <v>0.26083378612114605</v>
      </c>
      <c r="AE78" s="134">
        <f>AE43/AE14</f>
        <v>0.27563314592919996</v>
      </c>
      <c r="AF78" s="134">
        <f>AF43/AF14</f>
        <v>0.28558050357914372</v>
      </c>
      <c r="AG78" s="134">
        <f>AG43/AG14</f>
        <v>0.28265420927762414</v>
      </c>
    </row>
    <row r="80" spans="2:33" x14ac:dyDescent="0.2">
      <c r="B80" s="122" t="s">
        <v>134</v>
      </c>
      <c r="J80" s="122">
        <v>79.930000000000007</v>
      </c>
      <c r="K80" s="122">
        <v>79.03</v>
      </c>
      <c r="L80" s="122">
        <v>84.12</v>
      </c>
      <c r="M80" s="122">
        <v>84.62</v>
      </c>
      <c r="N80" s="122">
        <v>85.93</v>
      </c>
      <c r="X80" s="122">
        <v>262.18</v>
      </c>
      <c r="Y80" s="122">
        <v>333.71</v>
      </c>
      <c r="Z80" s="122">
        <v>349.51</v>
      </c>
    </row>
    <row r="81" spans="2:33" s="127" customFormat="1" ht="16" customHeight="1" x14ac:dyDescent="0.2">
      <c r="J81" s="127">
        <v>78.78</v>
      </c>
      <c r="K81" s="127">
        <v>77.64</v>
      </c>
      <c r="X81" s="127">
        <v>328.67</v>
      </c>
    </row>
    <row r="82" spans="2:33" s="127" customFormat="1" ht="16" customHeight="1" x14ac:dyDescent="0.2">
      <c r="W82" s="156" t="s">
        <v>161</v>
      </c>
    </row>
    <row r="83" spans="2:33" s="127" customFormat="1" ht="16" customHeight="1" x14ac:dyDescent="0.2">
      <c r="B83" s="127" t="s">
        <v>31</v>
      </c>
      <c r="Q83" s="141">
        <v>7411</v>
      </c>
      <c r="R83" s="141">
        <v>7719</v>
      </c>
      <c r="S83" s="141">
        <v>8386</v>
      </c>
      <c r="T83" s="141">
        <v>8747</v>
      </c>
      <c r="U83" s="141">
        <v>9319</v>
      </c>
      <c r="V83" s="141">
        <v>9466</v>
      </c>
      <c r="W83" s="127">
        <v>9631</v>
      </c>
    </row>
    <row r="84" spans="2:33" s="127" customFormat="1" ht="16" customHeight="1" x14ac:dyDescent="0.2">
      <c r="B84" s="127" t="s">
        <v>32</v>
      </c>
      <c r="Q84" s="141">
        <v>12954</v>
      </c>
      <c r="R84" s="141">
        <v>11708</v>
      </c>
      <c r="S84" s="141">
        <v>14537</v>
      </c>
      <c r="T84" s="141">
        <v>15979</v>
      </c>
      <c r="U84" s="141">
        <v>13012</v>
      </c>
      <c r="V84" s="141">
        <v>13276</v>
      </c>
      <c r="W84" s="141">
        <v>14939</v>
      </c>
    </row>
    <row r="85" spans="2:33" s="127" customFormat="1" ht="16" customHeight="1" x14ac:dyDescent="0.2">
      <c r="B85" s="127" t="s">
        <v>33</v>
      </c>
      <c r="Q85" s="141">
        <v>8689</v>
      </c>
      <c r="R85" s="141">
        <v>-16301</v>
      </c>
      <c r="S85" s="141">
        <v>1851</v>
      </c>
      <c r="T85" s="141">
        <v>3497</v>
      </c>
      <c r="U85" s="141">
        <v>-3108</v>
      </c>
      <c r="V85" s="141">
        <v>4925</v>
      </c>
      <c r="W85" s="141">
        <v>16487</v>
      </c>
    </row>
    <row r="86" spans="2:33" s="127" customFormat="1" ht="16" customHeight="1" x14ac:dyDescent="0.2"/>
    <row r="87" spans="2:33" s="127" customFormat="1" ht="16" customHeight="1" x14ac:dyDescent="0.2"/>
    <row r="88" spans="2:33" x14ac:dyDescent="0.2">
      <c r="C88" s="131"/>
      <c r="D88" s="131"/>
      <c r="E88" s="131"/>
      <c r="F88" s="131"/>
      <c r="G88" s="131"/>
      <c r="H88" s="131"/>
      <c r="I88" s="131"/>
      <c r="J88" s="131"/>
      <c r="K88" s="131"/>
      <c r="L88" s="131"/>
      <c r="M88" s="131"/>
      <c r="N88" s="131"/>
      <c r="O88" s="131"/>
      <c r="P88" s="131"/>
      <c r="Q88" s="131"/>
      <c r="R88" s="131"/>
      <c r="S88" s="131"/>
      <c r="T88" s="131"/>
      <c r="U88" s="131"/>
      <c r="V88" s="131"/>
      <c r="W88" s="131"/>
    </row>
    <row r="89" spans="2:33" x14ac:dyDescent="0.2">
      <c r="C89" s="131"/>
      <c r="D89" s="131"/>
      <c r="E89" s="131"/>
      <c r="F89" s="131"/>
      <c r="G89" s="131"/>
      <c r="H89" s="131"/>
      <c r="I89" s="131"/>
      <c r="J89" s="131"/>
      <c r="K89" s="131"/>
      <c r="L89" s="131"/>
      <c r="M89" s="131"/>
      <c r="N89" s="131"/>
      <c r="O89" s="131"/>
      <c r="P89" s="131"/>
      <c r="Q89" s="131"/>
      <c r="R89" s="131"/>
      <c r="S89" s="131"/>
      <c r="T89" s="131"/>
      <c r="U89" s="131"/>
      <c r="V89" s="131"/>
      <c r="W89" s="131"/>
    </row>
    <row r="90" spans="2:33" x14ac:dyDescent="0.2">
      <c r="C90" s="131"/>
      <c r="D90" s="131"/>
      <c r="E90" s="131"/>
      <c r="F90" s="131"/>
      <c r="G90" s="131"/>
      <c r="H90" s="131"/>
      <c r="I90" s="131"/>
      <c r="J90" s="131"/>
      <c r="K90" s="131"/>
      <c r="L90" s="131"/>
      <c r="M90" s="131"/>
      <c r="N90" s="131"/>
      <c r="O90" s="131"/>
      <c r="P90" s="131"/>
      <c r="Q90" s="131"/>
      <c r="R90" s="131"/>
      <c r="S90" s="131"/>
      <c r="T90" s="131"/>
      <c r="U90" s="131"/>
      <c r="V90" s="131"/>
      <c r="W90" s="131"/>
    </row>
    <row r="92" spans="2:33" x14ac:dyDescent="0.2">
      <c r="C92" s="134"/>
      <c r="D92" s="134"/>
      <c r="E92" s="134"/>
      <c r="F92" s="134"/>
      <c r="G92" s="134"/>
      <c r="H92" s="134"/>
      <c r="I92" s="134"/>
      <c r="J92" s="134"/>
      <c r="K92" s="134"/>
      <c r="L92" s="134"/>
      <c r="M92" s="134"/>
      <c r="N92" s="134"/>
      <c r="O92" s="134"/>
      <c r="P92" s="134"/>
      <c r="Q92" s="134"/>
      <c r="R92" s="134"/>
      <c r="S92" s="134"/>
      <c r="T92" s="134"/>
      <c r="U92" s="134"/>
      <c r="V92" s="134"/>
      <c r="W92" s="134"/>
      <c r="X92" s="134"/>
      <c r="Y92" s="134"/>
      <c r="Z92" s="134"/>
      <c r="AA92" s="134"/>
      <c r="AB92" s="134"/>
      <c r="AC92" s="134"/>
      <c r="AD92" s="134"/>
      <c r="AE92" s="134"/>
      <c r="AF92" s="134"/>
      <c r="AG92" s="134"/>
    </row>
    <row r="93" spans="2:33" x14ac:dyDescent="0.2">
      <c r="C93" s="134"/>
      <c r="D93" s="134"/>
      <c r="E93" s="134"/>
      <c r="F93" s="134"/>
      <c r="G93" s="134"/>
      <c r="H93" s="134"/>
      <c r="I93" s="134"/>
      <c r="J93" s="134"/>
      <c r="K93" s="134"/>
      <c r="L93" s="134"/>
      <c r="M93" s="134"/>
      <c r="N93" s="134"/>
      <c r="O93" s="134"/>
      <c r="P93" s="134"/>
      <c r="Q93" s="134"/>
      <c r="R93" s="134"/>
      <c r="S93" s="134"/>
      <c r="T93" s="134"/>
      <c r="U93" s="134"/>
      <c r="V93" s="134"/>
      <c r="W93" s="134"/>
      <c r="X93" s="134"/>
      <c r="Y93" s="134"/>
      <c r="Z93" s="134"/>
      <c r="AA93" s="134"/>
      <c r="AB93" s="134"/>
      <c r="AC93" s="134"/>
      <c r="AD93" s="134"/>
      <c r="AE93" s="134"/>
      <c r="AF93" s="134"/>
      <c r="AG93" s="134"/>
    </row>
    <row r="95" spans="2:33" x14ac:dyDescent="0.2">
      <c r="S95" s="127"/>
      <c r="T95" s="127"/>
      <c r="U95" s="127"/>
      <c r="V95" s="127"/>
      <c r="W95" s="127"/>
      <c r="X95" s="127"/>
      <c r="Y95" s="127"/>
      <c r="Z95" s="127"/>
      <c r="AA95" s="127"/>
      <c r="AB95" s="127"/>
      <c r="AC95" s="127"/>
      <c r="AD95" s="127"/>
      <c r="AE95" s="127"/>
      <c r="AF95" s="127"/>
      <c r="AG95" s="127"/>
    </row>
    <row r="96" spans="2:33" x14ac:dyDescent="0.2">
      <c r="S96" s="127"/>
      <c r="T96" s="127"/>
      <c r="U96" s="127"/>
      <c r="V96" s="127"/>
      <c r="W96" s="127"/>
      <c r="X96" s="127"/>
      <c r="Y96" s="127"/>
      <c r="Z96" s="127"/>
      <c r="AA96" s="127"/>
      <c r="AB96" s="127"/>
      <c r="AC96" s="127"/>
      <c r="AD96" s="127"/>
      <c r="AE96" s="127"/>
      <c r="AF96" s="127"/>
      <c r="AG96" s="127"/>
    </row>
    <row r="97" spans="19:36" s="117" customFormat="1" x14ac:dyDescent="0.2">
      <c r="S97" s="115"/>
      <c r="T97" s="115"/>
      <c r="U97" s="115"/>
      <c r="V97" s="115"/>
      <c r="W97" s="115"/>
      <c r="X97" s="115"/>
      <c r="Y97" s="115"/>
      <c r="Z97" s="115"/>
      <c r="AA97" s="115"/>
      <c r="AB97" s="115"/>
      <c r="AC97" s="115"/>
      <c r="AD97" s="115"/>
      <c r="AE97" s="115"/>
      <c r="AF97" s="115"/>
      <c r="AG97" s="115"/>
    </row>
    <row r="98" spans="19:36" s="131" customFormat="1" x14ac:dyDescent="0.2">
      <c r="S98" s="127"/>
      <c r="T98" s="127"/>
      <c r="U98" s="127"/>
      <c r="V98" s="127"/>
      <c r="W98" s="127"/>
      <c r="X98" s="127"/>
      <c r="Y98" s="127"/>
      <c r="Z98" s="127"/>
      <c r="AA98" s="127"/>
      <c r="AB98" s="127"/>
      <c r="AC98" s="127"/>
      <c r="AD98" s="127"/>
      <c r="AE98" s="127"/>
      <c r="AF98" s="127"/>
      <c r="AG98" s="127"/>
    </row>
    <row r="99" spans="19:36" x14ac:dyDescent="0.2">
      <c r="S99" s="127"/>
      <c r="T99" s="127"/>
      <c r="U99" s="127"/>
      <c r="V99" s="127"/>
      <c r="W99" s="127"/>
      <c r="X99" s="127"/>
      <c r="Y99" s="127"/>
      <c r="Z99" s="127"/>
      <c r="AA99" s="127"/>
      <c r="AB99" s="127"/>
      <c r="AC99" s="127"/>
      <c r="AD99" s="127"/>
      <c r="AE99" s="127"/>
      <c r="AF99" s="127"/>
      <c r="AG99" s="127"/>
    </row>
    <row r="100" spans="19:36" x14ac:dyDescent="0.2">
      <c r="S100" s="127"/>
      <c r="T100" s="127"/>
      <c r="U100" s="127"/>
      <c r="V100" s="127"/>
      <c r="W100" s="127"/>
      <c r="X100" s="127"/>
      <c r="Y100" s="127"/>
      <c r="Z100" s="127"/>
      <c r="AA100" s="127"/>
      <c r="AB100" s="127"/>
      <c r="AC100" s="127"/>
      <c r="AD100" s="127"/>
      <c r="AE100" s="127"/>
      <c r="AF100" s="127"/>
      <c r="AG100" s="127"/>
    </row>
    <row r="101" spans="19:36" s="117" customFormat="1" x14ac:dyDescent="0.2">
      <c r="S101" s="115"/>
      <c r="T101" s="115"/>
      <c r="U101" s="115"/>
      <c r="V101" s="115"/>
      <c r="W101" s="115"/>
      <c r="X101" s="115"/>
      <c r="Y101" s="115"/>
      <c r="Z101" s="115"/>
      <c r="AA101" s="115"/>
      <c r="AB101" s="115"/>
      <c r="AC101" s="115"/>
      <c r="AD101" s="115"/>
      <c r="AE101" s="115"/>
      <c r="AF101" s="115"/>
      <c r="AG101" s="115"/>
    </row>
    <row r="102" spans="19:36" x14ac:dyDescent="0.2">
      <c r="W102" s="127"/>
    </row>
    <row r="103" spans="19:36" x14ac:dyDescent="0.2">
      <c r="S103" s="135"/>
      <c r="T103" s="135"/>
      <c r="U103" s="135"/>
      <c r="V103" s="135"/>
      <c r="W103" s="135"/>
      <c r="X103" s="132"/>
      <c r="Y103" s="132"/>
      <c r="Z103" s="132"/>
      <c r="AA103" s="132"/>
      <c r="AB103" s="132"/>
      <c r="AC103" s="132"/>
      <c r="AD103" s="132"/>
      <c r="AE103" s="132"/>
      <c r="AF103" s="132"/>
      <c r="AG103" s="132"/>
    </row>
    <row r="104" spans="19:36" x14ac:dyDescent="0.2">
      <c r="S104" s="135"/>
      <c r="T104" s="135"/>
      <c r="U104" s="135"/>
      <c r="V104" s="135"/>
      <c r="W104" s="135"/>
      <c r="X104" s="132"/>
      <c r="Y104" s="132"/>
      <c r="Z104" s="132"/>
      <c r="AA104" s="132"/>
      <c r="AB104" s="132"/>
      <c r="AC104" s="132"/>
      <c r="AD104" s="132"/>
      <c r="AE104" s="132"/>
      <c r="AF104" s="132"/>
      <c r="AG104" s="132"/>
    </row>
    <row r="105" spans="19:36" x14ac:dyDescent="0.2">
      <c r="S105" s="135"/>
      <c r="T105" s="135"/>
      <c r="U105" s="135"/>
      <c r="V105" s="135"/>
      <c r="W105" s="135"/>
      <c r="X105" s="132"/>
      <c r="Y105" s="132"/>
      <c r="Z105" s="132"/>
      <c r="AA105" s="132"/>
      <c r="AB105" s="132"/>
      <c r="AC105" s="132"/>
      <c r="AD105" s="132"/>
      <c r="AE105" s="132"/>
      <c r="AF105" s="132"/>
      <c r="AG105" s="132"/>
    </row>
    <row r="107" spans="19:36" x14ac:dyDescent="0.2">
      <c r="AJ107" s="129"/>
    </row>
    <row r="108" spans="19:36" x14ac:dyDescent="0.2">
      <c r="X108" s="127"/>
      <c r="Y108" s="127"/>
      <c r="Z108" s="127"/>
      <c r="AA108" s="127"/>
      <c r="AB108" s="127"/>
      <c r="AC108" s="127"/>
      <c r="AD108" s="127"/>
      <c r="AE108" s="127"/>
      <c r="AF108" s="127"/>
      <c r="AG108" s="127"/>
      <c r="AJ108" s="129"/>
    </row>
    <row r="109" spans="19:36" x14ac:dyDescent="0.2">
      <c r="X109" s="128"/>
      <c r="Y109" s="128"/>
      <c r="Z109" s="128"/>
      <c r="AA109" s="128"/>
      <c r="AB109" s="128"/>
      <c r="AC109" s="128"/>
      <c r="AD109" s="128"/>
      <c r="AE109" s="128"/>
      <c r="AF109" s="128"/>
      <c r="AG109" s="128"/>
      <c r="AJ109" s="124"/>
    </row>
    <row r="110" spans="19:36" x14ac:dyDescent="0.2">
      <c r="X110" s="131"/>
      <c r="Y110" s="131"/>
      <c r="Z110" s="131"/>
      <c r="AA110" s="131"/>
      <c r="AB110" s="131"/>
      <c r="AC110" s="131"/>
      <c r="AD110" s="131"/>
      <c r="AE110" s="131"/>
      <c r="AF110" s="131"/>
      <c r="AG110" s="131"/>
      <c r="AJ110" s="127"/>
    </row>
    <row r="111" spans="19:36" x14ac:dyDescent="0.2">
      <c r="X111" s="131"/>
      <c r="Y111" s="131"/>
      <c r="Z111" s="131"/>
      <c r="AA111" s="131"/>
      <c r="AB111" s="131"/>
      <c r="AC111" s="131"/>
      <c r="AD111" s="131"/>
      <c r="AE111" s="131"/>
      <c r="AF111" s="131"/>
      <c r="AG111" s="131"/>
      <c r="AJ111" s="127"/>
    </row>
    <row r="112" spans="19:36" x14ac:dyDescent="0.2">
      <c r="X112" s="131"/>
      <c r="Y112" s="131"/>
      <c r="Z112" s="131"/>
      <c r="AA112" s="131"/>
      <c r="AB112" s="131"/>
      <c r="AC112" s="131"/>
      <c r="AD112" s="131"/>
      <c r="AE112" s="131"/>
      <c r="AF112" s="131"/>
      <c r="AG112" s="131"/>
      <c r="AJ112" s="127"/>
    </row>
    <row r="113" spans="33:38" x14ac:dyDescent="0.2">
      <c r="AG113" s="131"/>
      <c r="AJ113" s="127"/>
    </row>
    <row r="114" spans="33:38" x14ac:dyDescent="0.2">
      <c r="AG114" s="131"/>
      <c r="AJ114" s="130"/>
    </row>
    <row r="115" spans="33:38" x14ac:dyDescent="0.2">
      <c r="AG115" s="128"/>
      <c r="AJ115" s="131"/>
    </row>
    <row r="116" spans="33:38" x14ac:dyDescent="0.2">
      <c r="AJ116" s="135"/>
    </row>
    <row r="117" spans="33:38" x14ac:dyDescent="0.2">
      <c r="AJ117" s="134"/>
    </row>
    <row r="118" spans="33:38" x14ac:dyDescent="0.2">
      <c r="AJ118" s="135"/>
    </row>
    <row r="120" spans="33:38" x14ac:dyDescent="0.2">
      <c r="AJ120" s="129"/>
    </row>
    <row r="121" spans="33:38" x14ac:dyDescent="0.2">
      <c r="AJ121" s="129"/>
      <c r="AK121" s="134"/>
      <c r="AL121" s="129"/>
    </row>
    <row r="122" spans="33:38" x14ac:dyDescent="0.2">
      <c r="AK122" s="133"/>
    </row>
    <row r="123" spans="33:38" x14ac:dyDescent="0.2">
      <c r="AJ123" s="134"/>
    </row>
    <row r="124" spans="33:38" x14ac:dyDescent="0.2">
      <c r="AJ124" s="129"/>
    </row>
    <row r="126" spans="33:38" x14ac:dyDescent="0.2">
      <c r="AI126" s="117"/>
      <c r="AJ126" s="119"/>
    </row>
  </sheetData>
  <sheetProtection algorithmName="SHA-512" hashValue="Dee+m9qtfsL1z6LFN7e8SljzAQqWLT29ZBqRbH+eilcUwH3QLw2Ge3hvkNPgpfwKCetYzr2HLqWF9PA+QFtnQQ==" saltValue="QfLXgVqR7Mzvut9Wl/J06w==" spinCount="100000" sheet="1" objects="1" scenarios="1" selectLockedCells="1"/>
  <pageMargins left="0.7" right="0.7" top="0.75" bottom="0.75" header="0.3" footer="0.3"/>
  <ignoredErrors>
    <ignoredError sqref="Q12 W42:X42" formulaRange="1"/>
    <ignoredError sqref="V38:X38 J12 J26" formula="1"/>
  </ignoredErrors>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E17E-94C3-A34D-861C-1FD037B159BB}">
  <dimension ref="A2:AD22"/>
  <sheetViews>
    <sheetView showGridLines="0" zoomScale="140" zoomScaleNormal="140" workbookViewId="0">
      <selection activeCell="F19" sqref="F19"/>
    </sheetView>
  </sheetViews>
  <sheetFormatPr baseColWidth="10" defaultColWidth="10.83203125" defaultRowHeight="16" x14ac:dyDescent="0.2"/>
  <cols>
    <col min="1" max="1" width="6.1640625" style="44" customWidth="1"/>
    <col min="2" max="5" width="10.83203125" style="44"/>
    <col min="6" max="6" width="12.83203125" style="44" customWidth="1"/>
    <col min="7" max="8" width="10.83203125" style="44"/>
    <col min="9" max="9" width="17" style="44" bestFit="1" customWidth="1"/>
    <col min="10" max="16384" width="10.83203125" style="44"/>
  </cols>
  <sheetData>
    <row r="2" spans="1:30" ht="17" thickBot="1" x14ac:dyDescent="0.25">
      <c r="A2" s="43"/>
      <c r="B2" s="2" t="s">
        <v>16</v>
      </c>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row>
    <row r="4" spans="1:30" x14ac:dyDescent="0.2">
      <c r="B4" s="44" t="s">
        <v>38</v>
      </c>
    </row>
    <row r="5" spans="1:30" x14ac:dyDescent="0.2">
      <c r="B5" s="44" t="s">
        <v>39</v>
      </c>
    </row>
    <row r="7" spans="1:30" ht="20" customHeight="1" x14ac:dyDescent="0.2">
      <c r="B7" s="112" t="s">
        <v>40</v>
      </c>
      <c r="C7" s="113"/>
      <c r="D7" s="113"/>
      <c r="E7" s="113"/>
      <c r="F7" s="113"/>
    </row>
    <row r="9" spans="1:30" x14ac:dyDescent="0.2">
      <c r="B9" s="44" t="s">
        <v>41</v>
      </c>
      <c r="F9" s="90">
        <f>DCF!G5*DCF!D138</f>
        <v>1356778.4978346</v>
      </c>
      <c r="I9" s="45"/>
    </row>
    <row r="10" spans="1:30" x14ac:dyDescent="0.2">
      <c r="B10" s="44" t="s">
        <v>48</v>
      </c>
      <c r="F10" s="91">
        <f>DCF!T13+DCF!T14</f>
        <v>93352</v>
      </c>
    </row>
    <row r="11" spans="1:30" x14ac:dyDescent="0.2">
      <c r="B11" s="44" t="s">
        <v>47</v>
      </c>
      <c r="F11" s="89">
        <f>DCF!T15</f>
        <v>4.3799999999999999E-2</v>
      </c>
    </row>
    <row r="12" spans="1:30" x14ac:dyDescent="0.2">
      <c r="B12" s="44" t="s">
        <v>14</v>
      </c>
      <c r="F12" s="89">
        <f>DCF!K82</f>
        <v>0.21</v>
      </c>
    </row>
    <row r="13" spans="1:30" x14ac:dyDescent="0.2">
      <c r="B13" s="46" t="s">
        <v>42</v>
      </c>
      <c r="C13" s="46"/>
      <c r="D13" s="46"/>
      <c r="E13" s="46"/>
      <c r="F13" s="51">
        <f>(F10)/(F10+F9)</f>
        <v>6.4374896010667593E-2</v>
      </c>
    </row>
    <row r="14" spans="1:30" x14ac:dyDescent="0.2">
      <c r="B14" s="3" t="s">
        <v>43</v>
      </c>
      <c r="C14" s="47"/>
      <c r="D14" s="47"/>
      <c r="E14" s="47"/>
      <c r="F14" s="48">
        <f>F11*(1-F12)</f>
        <v>3.4602000000000001E-2</v>
      </c>
    </row>
    <row r="16" spans="1:30" x14ac:dyDescent="0.2">
      <c r="B16" s="44" t="s">
        <v>44</v>
      </c>
      <c r="F16" s="89">
        <f>DCF!T19</f>
        <v>3.4770000000000002E-2</v>
      </c>
    </row>
    <row r="17" spans="2:6" x14ac:dyDescent="0.2">
      <c r="B17" s="44" t="s">
        <v>10</v>
      </c>
      <c r="F17" s="88">
        <f>DCF!T20</f>
        <v>5.11E-2</v>
      </c>
    </row>
    <row r="18" spans="2:6" x14ac:dyDescent="0.2">
      <c r="B18" s="44" t="s">
        <v>45</v>
      </c>
      <c r="F18" s="92">
        <f>DCF!T21</f>
        <v>1.02</v>
      </c>
    </row>
    <row r="19" spans="2:6" x14ac:dyDescent="0.2">
      <c r="B19" s="46" t="s">
        <v>46</v>
      </c>
      <c r="C19" s="46"/>
      <c r="D19" s="46"/>
      <c r="E19" s="46"/>
      <c r="F19" s="51">
        <f>1-F13</f>
        <v>0.93562510398933241</v>
      </c>
    </row>
    <row r="20" spans="2:6" x14ac:dyDescent="0.2">
      <c r="B20" s="1" t="s">
        <v>12</v>
      </c>
      <c r="F20" s="49">
        <f>F16+F18*F17</f>
        <v>8.6891999999999997E-2</v>
      </c>
    </row>
    <row r="22" spans="2:6" ht="26" customHeight="1" x14ac:dyDescent="0.2">
      <c r="B22" s="41" t="s">
        <v>16</v>
      </c>
      <c r="C22" s="50"/>
      <c r="D22" s="50"/>
      <c r="E22" s="50"/>
      <c r="F22" s="42">
        <f>F14*F13+F20*F19</f>
        <v>8.352583668760219E-2</v>
      </c>
    </row>
  </sheetData>
  <sheetProtection algorithmName="SHA-512" hashValue="QcWkDbOAdhs2EW2Vy1E6eL/1m1ElpDtMmaaZAR4AB3vvVMbC4UOWm/S+81At8Ld71RyP2SzIO7P7VuoeF5ngSQ==" saltValue="T2jweepKbzCg/rcjIsf39w=="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2023-01-18T05:10:37Z</dcterms:created>
  <dcterms:modified xsi:type="dcterms:W3CDTF">2023-01-19T08:30:39Z</dcterms:modified>
</cp:coreProperties>
</file>