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Time-Series-Analysis\Décomposition saisonnière\"/>
    </mc:Choice>
  </mc:AlternateContent>
  <xr:revisionPtr revIDLastSave="0" documentId="8_{0A66D93B-DF61-46A3-BC89-91C46836568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91029"/>
</workbook>
</file>

<file path=xl/calcChain.xml><?xml version="1.0" encoding="utf-8"?>
<calcChain xmlns="http://schemas.openxmlformats.org/spreadsheetml/2006/main">
  <c r="E49" i="1" l="1"/>
  <c r="D49" i="1"/>
  <c r="C49" i="1"/>
  <c r="X42" i="1" l="1"/>
  <c r="X34" i="1"/>
  <c r="X35" i="1"/>
  <c r="X36" i="1"/>
  <c r="X37" i="1"/>
  <c r="X38" i="1"/>
  <c r="X39" i="1"/>
  <c r="X40" i="1"/>
  <c r="X33" i="1"/>
  <c r="T34" i="1"/>
  <c r="T35" i="1"/>
  <c r="T36" i="1"/>
  <c r="T37" i="1"/>
  <c r="T38" i="1"/>
  <c r="T39" i="1"/>
  <c r="T40" i="1"/>
  <c r="T33" i="1"/>
  <c r="I27" i="1"/>
  <c r="I26" i="1"/>
  <c r="I25" i="1"/>
  <c r="I24" i="1"/>
  <c r="I23" i="1"/>
  <c r="I21" i="1"/>
  <c r="I20" i="1"/>
  <c r="I19" i="1"/>
  <c r="M7" i="1"/>
  <c r="K6" i="1"/>
  <c r="S33" i="1"/>
  <c r="R33" i="1"/>
  <c r="H26" i="1"/>
  <c r="W42" i="1"/>
  <c r="W34" i="1"/>
  <c r="W35" i="1"/>
  <c r="W36" i="1"/>
  <c r="W37" i="1"/>
  <c r="W38" i="1"/>
  <c r="W39" i="1"/>
  <c r="W40" i="1"/>
  <c r="W33" i="1"/>
  <c r="S34" i="1"/>
  <c r="S35" i="1"/>
  <c r="S36" i="1"/>
  <c r="S37" i="1"/>
  <c r="S38" i="1"/>
  <c r="S39" i="1"/>
  <c r="S40" i="1"/>
  <c r="H27" i="1"/>
  <c r="H25" i="1"/>
  <c r="H24" i="1"/>
  <c r="G24" i="1"/>
  <c r="H23" i="1"/>
  <c r="H21" i="1"/>
  <c r="H20" i="1"/>
  <c r="H19" i="1"/>
  <c r="G26" i="1"/>
  <c r="G27" i="1" s="1"/>
  <c r="C27" i="1"/>
  <c r="C26" i="1"/>
  <c r="G25" i="1"/>
  <c r="C24" i="1"/>
  <c r="G23" i="1"/>
  <c r="G21" i="1"/>
  <c r="G20" i="1"/>
  <c r="G19" i="1"/>
  <c r="H7" i="1"/>
  <c r="H8" i="1"/>
  <c r="H9" i="1"/>
  <c r="H10" i="1"/>
  <c r="H11" i="1"/>
  <c r="H12" i="1"/>
  <c r="H13" i="1"/>
  <c r="H6" i="1"/>
  <c r="D7" i="1"/>
  <c r="D8" i="1"/>
  <c r="D9" i="1"/>
  <c r="D10" i="1"/>
  <c r="D11" i="1"/>
  <c r="D12" i="1"/>
  <c r="D13" i="1"/>
  <c r="D6" i="1"/>
  <c r="C23" i="1"/>
  <c r="D23" i="1" s="1"/>
  <c r="E23" i="1" s="1"/>
  <c r="C21" i="1"/>
  <c r="C20" i="1"/>
  <c r="C19" i="1"/>
  <c r="I7" i="1"/>
  <c r="I8" i="1"/>
  <c r="I9" i="1"/>
  <c r="I10" i="1"/>
  <c r="I11" i="1"/>
  <c r="I12" i="1"/>
  <c r="I13" i="1"/>
  <c r="I6" i="1"/>
  <c r="A15" i="1"/>
  <c r="E7" i="1"/>
  <c r="E8" i="1"/>
  <c r="E9" i="1"/>
  <c r="E10" i="1"/>
  <c r="E11" i="1"/>
  <c r="E12" i="1"/>
  <c r="E13" i="1"/>
  <c r="E6" i="1"/>
  <c r="A14" i="1"/>
  <c r="R36" i="1" l="1"/>
  <c r="V36" i="1" s="1"/>
  <c r="R38" i="1"/>
  <c r="V38" i="1" s="1"/>
  <c r="D20" i="1"/>
  <c r="D19" i="1"/>
  <c r="E21" i="1"/>
  <c r="D21" i="1"/>
  <c r="D24" i="1" s="1"/>
  <c r="D25" i="1" s="1"/>
  <c r="D26" i="1" s="1"/>
  <c r="E20" i="1"/>
  <c r="E14" i="1"/>
  <c r="K10" i="1" s="1"/>
  <c r="C25" i="1"/>
  <c r="I14" i="1"/>
  <c r="E19" i="1"/>
  <c r="V33" i="1" l="1"/>
  <c r="R34" i="1"/>
  <c r="V34" i="1" s="1"/>
  <c r="R37" i="1"/>
  <c r="V37" i="1" s="1"/>
  <c r="R40" i="1"/>
  <c r="V40" i="1" s="1"/>
  <c r="R35" i="1"/>
  <c r="V35" i="1" s="1"/>
  <c r="R39" i="1"/>
  <c r="V39" i="1" s="1"/>
  <c r="D27" i="1"/>
  <c r="F34" i="1" s="1"/>
  <c r="J34" i="1" s="1"/>
  <c r="E38" i="1"/>
  <c r="I38" i="1" s="1"/>
  <c r="M13" i="1"/>
  <c r="M9" i="1"/>
  <c r="M10" i="1"/>
  <c r="K13" i="1"/>
  <c r="K8" i="1"/>
  <c r="K12" i="1"/>
  <c r="M12" i="1"/>
  <c r="K9" i="1"/>
  <c r="E24" i="1"/>
  <c r="E25" i="1" s="1"/>
  <c r="E26" i="1" s="1"/>
  <c r="M6" i="1"/>
  <c r="M11" i="1"/>
  <c r="K7" i="1"/>
  <c r="K11" i="1"/>
  <c r="M8" i="1"/>
  <c r="V42" i="1" l="1"/>
  <c r="E37" i="1"/>
  <c r="I37" i="1" s="1"/>
  <c r="E35" i="1"/>
  <c r="I35" i="1" s="1"/>
  <c r="E39" i="1"/>
  <c r="I39" i="1" s="1"/>
  <c r="E34" i="1"/>
  <c r="I34" i="1" s="1"/>
  <c r="E36" i="1"/>
  <c r="I36" i="1" s="1"/>
  <c r="E40" i="1"/>
  <c r="I40" i="1" s="1"/>
  <c r="F36" i="1"/>
  <c r="J36" i="1" s="1"/>
  <c r="F39" i="1"/>
  <c r="J39" i="1" s="1"/>
  <c r="K14" i="1"/>
  <c r="P6" i="1" s="1"/>
  <c r="P7" i="1" s="1"/>
  <c r="D36" i="1" s="1"/>
  <c r="H36" i="1" s="1"/>
  <c r="F37" i="1"/>
  <c r="J37" i="1" s="1"/>
  <c r="E33" i="1"/>
  <c r="I33" i="1" s="1"/>
  <c r="F33" i="1"/>
  <c r="J33" i="1" s="1"/>
  <c r="F40" i="1"/>
  <c r="J40" i="1" s="1"/>
  <c r="D33" i="1"/>
  <c r="H33" i="1" s="1"/>
  <c r="F38" i="1"/>
  <c r="J38" i="1" s="1"/>
  <c r="M14" i="1"/>
  <c r="Q6" i="1" s="1"/>
  <c r="Q7" i="1" s="1"/>
  <c r="E27" i="1"/>
  <c r="G34" i="1" s="1"/>
  <c r="K34" i="1" s="1"/>
  <c r="F35" i="1"/>
  <c r="J35" i="1" s="1"/>
  <c r="I42" i="1" l="1"/>
  <c r="D38" i="1"/>
  <c r="H38" i="1" s="1"/>
  <c r="D35" i="1"/>
  <c r="H35" i="1" s="1"/>
  <c r="D34" i="1"/>
  <c r="H34" i="1" s="1"/>
  <c r="Q35" i="1"/>
  <c r="U35" i="1" s="1"/>
  <c r="Q39" i="1"/>
  <c r="U39" i="1" s="1"/>
  <c r="Q36" i="1"/>
  <c r="U36" i="1" s="1"/>
  <c r="Q40" i="1"/>
  <c r="U40" i="1" s="1"/>
  <c r="Q37" i="1"/>
  <c r="U37" i="1" s="1"/>
  <c r="Q33" i="1"/>
  <c r="U33" i="1" s="1"/>
  <c r="Q34" i="1"/>
  <c r="U34" i="1" s="1"/>
  <c r="Q38" i="1"/>
  <c r="U38" i="1" s="1"/>
  <c r="D37" i="1"/>
  <c r="H37" i="1" s="1"/>
  <c r="D39" i="1"/>
  <c r="H39" i="1" s="1"/>
  <c r="D40" i="1"/>
  <c r="H40" i="1" s="1"/>
  <c r="J42" i="1"/>
  <c r="G36" i="1"/>
  <c r="K36" i="1" s="1"/>
  <c r="G33" i="1"/>
  <c r="K33" i="1" s="1"/>
  <c r="G39" i="1"/>
  <c r="K39" i="1" s="1"/>
  <c r="G37" i="1"/>
  <c r="K37" i="1" s="1"/>
  <c r="G38" i="1"/>
  <c r="K38" i="1" s="1"/>
  <c r="G35" i="1"/>
  <c r="K35" i="1" s="1"/>
  <c r="G40" i="1"/>
  <c r="K40" i="1" s="1"/>
  <c r="H42" i="1" l="1"/>
  <c r="U42" i="1"/>
  <c r="K42" i="1"/>
</calcChain>
</file>

<file path=xl/sharedStrings.xml><?xml version="1.0" encoding="utf-8"?>
<sst xmlns="http://schemas.openxmlformats.org/spreadsheetml/2006/main" count="82" uniqueCount="46">
  <si>
    <t>Belgique</t>
  </si>
  <si>
    <t>RFA</t>
  </si>
  <si>
    <t>t</t>
  </si>
  <si>
    <t>Année</t>
  </si>
  <si>
    <t>y</t>
  </si>
  <si>
    <t>1/y</t>
  </si>
  <si>
    <t>ln(y)</t>
  </si>
  <si>
    <t>Mediane</t>
  </si>
  <si>
    <t>Moyenne</t>
  </si>
  <si>
    <t>I</t>
  </si>
  <si>
    <t>II</t>
  </si>
  <si>
    <t>III</t>
  </si>
  <si>
    <t>∆</t>
  </si>
  <si>
    <t>ln(β)</t>
  </si>
  <si>
    <t>β</t>
  </si>
  <si>
    <t>α</t>
  </si>
  <si>
    <t>γ</t>
  </si>
  <si>
    <t>Exp M.C</t>
  </si>
  <si>
    <t>Exp modif</t>
  </si>
  <si>
    <t>Logistique</t>
  </si>
  <si>
    <t>Gompertz</t>
  </si>
  <si>
    <t>y-ExpM.C</t>
  </si>
  <si>
    <t>y-Expmodif</t>
  </si>
  <si>
    <t>y-logistique</t>
  </si>
  <si>
    <t>y-Gompertz</t>
  </si>
  <si>
    <t>MAPE</t>
  </si>
  <si>
    <t>cov</t>
  </si>
  <si>
    <t>a1</t>
  </si>
  <si>
    <t>a0</t>
  </si>
  <si>
    <t>On va effectuer une etude de tendance des deux series suivantes representant le PIB annuel en Belgique (à gauche) et en Allemagne (RFA à droite).</t>
  </si>
  <si>
    <t>Calcul du modele lineaire</t>
  </si>
  <si>
    <t>Premièrement nous allons calculer le modèle exponentielle: ab^t (log+ Regression lineaire simple).</t>
  </si>
  <si>
    <t>Methode des trois points</t>
  </si>
  <si>
    <t xml:space="preserve">Pour cette serie temporelle, le modele logistique donne le meilleur MAPE.  </t>
  </si>
  <si>
    <t xml:space="preserve">Methode des trois points  </t>
  </si>
  <si>
    <t xml:space="preserve">Pour cette serie temporelle, le modele exponentiel simple donne le meilleur MAPE.  </t>
  </si>
  <si>
    <t>Puis on vas construire les modeles exponentiels simple, modifie, de Gompertz, et logistique.</t>
  </si>
  <si>
    <t xml:space="preserve">En utilisant la fonction d'optimisation de Matlab, et le script permettant de calculer le MAPE des differents modèles basés sur la methode des 3 pts on trouve les resultats suivants: </t>
  </si>
  <si>
    <t>ExpMod</t>
  </si>
  <si>
    <t>Logistic</t>
  </si>
  <si>
    <t>MAPE init</t>
  </si>
  <si>
    <t>MAPE opt</t>
  </si>
  <si>
    <t>α opt</t>
  </si>
  <si>
    <t>β opt</t>
  </si>
  <si>
    <t>γ opt</t>
  </si>
  <si>
    <t>Le modèle logistique est ecore le meilleur modèle avec le MAPE minimale.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</si>
</sst>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color indexed="10"/>
      <name val="Arial"/>
    </font>
    <font>
      <sz val="10"/>
      <color indexed="12"/>
      <name val="Arial"/>
    </font>
    <font>
      <b/>
      <sz val="10"/>
      <name val="Arial"/>
      <family val="2"/>
    </font>
    <font>
      <sz val="12"/>
      <name val="Times New Roman"/>
      <family val="1"/>
    </font>
    <font>
      <sz val="8"/>
      <name val="Arial"/>
    </font>
    <font>
      <sz val="10"/>
      <name val="Arial"/>
      <family val="2"/>
    </font>
    <font>
      <b/>
      <sz val="14"/>
      <color theme="0"/>
      <name val="Arial"/>
      <family val="2"/>
    </font>
    <font>
      <i/>
      <sz val="12"/>
      <name val="Arial"/>
      <family val="2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7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0" fillId="3" borderId="0" xfId="0" applyFill="1"/>
    <xf numFmtId="0" fontId="3" fillId="4" borderId="0" xfId="0" applyFont="1" applyFill="1"/>
    <xf numFmtId="0" fontId="6" fillId="0" borderId="0" xfId="0" applyFont="1" applyAlignment="1">
      <alignment horizontal="left" vertical="center"/>
    </xf>
    <xf numFmtId="0" fontId="9" fillId="0" borderId="0" xfId="0" applyFont="1"/>
    <xf numFmtId="0" fontId="10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"/>
  <sheetViews>
    <sheetView tabSelected="1" topLeftCell="A30" workbookViewId="0">
      <selection activeCell="H54" sqref="H54"/>
    </sheetView>
  </sheetViews>
  <sheetFormatPr defaultRowHeight="12.75" x14ac:dyDescent="0.2"/>
  <cols>
    <col min="1" max="11" width="11.42578125" customWidth="1"/>
    <col min="12" max="12" width="12.85546875" customWidth="1"/>
    <col min="13" max="256" width="11.42578125" customWidth="1"/>
  </cols>
  <sheetData>
    <row r="1" spans="1:17" ht="20.25" customHeight="1" x14ac:dyDescent="0.2">
      <c r="A1" s="5" t="s">
        <v>29</v>
      </c>
    </row>
    <row r="2" spans="1:17" ht="23.25" customHeight="1" x14ac:dyDescent="0.2">
      <c r="A2" s="6" t="s">
        <v>31</v>
      </c>
    </row>
    <row r="3" spans="1:17" ht="23.25" customHeight="1" x14ac:dyDescent="0.2">
      <c r="A3" s="6" t="s">
        <v>36</v>
      </c>
    </row>
    <row r="4" spans="1:17" x14ac:dyDescent="0.2">
      <c r="C4" t="s">
        <v>0</v>
      </c>
      <c r="G4" t="s">
        <v>1</v>
      </c>
      <c r="K4" s="7" t="s">
        <v>0</v>
      </c>
      <c r="M4" s="7" t="s">
        <v>1</v>
      </c>
      <c r="O4" s="8" t="s">
        <v>30</v>
      </c>
      <c r="P4" s="9"/>
    </row>
    <row r="5" spans="1:17" x14ac:dyDescent="0.2">
      <c r="A5" t="s">
        <v>2</v>
      </c>
      <c r="B5" t="s">
        <v>3</v>
      </c>
      <c r="C5" t="s">
        <v>4</v>
      </c>
      <c r="D5" t="s">
        <v>5</v>
      </c>
      <c r="E5" t="s">
        <v>6</v>
      </c>
      <c r="G5" t="s">
        <v>4</v>
      </c>
      <c r="H5" t="s">
        <v>5</v>
      </c>
      <c r="I5" t="s">
        <v>6</v>
      </c>
      <c r="K5" t="s">
        <v>26</v>
      </c>
      <c r="M5" t="s">
        <v>26</v>
      </c>
      <c r="P5" t="s">
        <v>0</v>
      </c>
      <c r="Q5" t="s">
        <v>1</v>
      </c>
    </row>
    <row r="6" spans="1:17" x14ac:dyDescent="0.2">
      <c r="A6" s="1">
        <v>1</v>
      </c>
      <c r="B6">
        <v>1972</v>
      </c>
      <c r="C6" s="1">
        <v>31.3</v>
      </c>
      <c r="D6">
        <f>1/C6</f>
        <v>3.1948881789137379E-2</v>
      </c>
      <c r="E6">
        <f>LN(C6)</f>
        <v>3.4436180975461075</v>
      </c>
      <c r="G6" s="1">
        <v>230.9</v>
      </c>
      <c r="H6">
        <f>1/G6</f>
        <v>4.3308791684711998E-3</v>
      </c>
      <c r="I6">
        <f>LN(G6)</f>
        <v>5.4419847163604498</v>
      </c>
      <c r="K6">
        <f>(E6-$E$14)*(A6-$A$14)</f>
        <v>1.8308375746762668</v>
      </c>
      <c r="M6">
        <f t="shared" ref="M6:M13" si="0">(I6-$I$14)*(A6-$A$14)</f>
        <v>1.6578092546383645</v>
      </c>
      <c r="O6" s="7" t="s">
        <v>27</v>
      </c>
      <c r="P6">
        <f>K14/A15</f>
        <v>0.13657916089992245</v>
      </c>
      <c r="Q6">
        <f>M14/A15</f>
        <v>0.12277725438240175</v>
      </c>
    </row>
    <row r="7" spans="1:17" x14ac:dyDescent="0.2">
      <c r="A7" s="1">
        <v>2</v>
      </c>
      <c r="B7">
        <v>1973</v>
      </c>
      <c r="C7" s="1">
        <v>36.700000000000003</v>
      </c>
      <c r="D7">
        <f t="shared" ref="D7:D13" si="1">1/C7</f>
        <v>2.7247956403269751E-2</v>
      </c>
      <c r="E7">
        <f t="shared" ref="E7:E13" si="2">LN(C7)</f>
        <v>3.6027767550605247</v>
      </c>
      <c r="G7" s="1">
        <v>280.39999999999998</v>
      </c>
      <c r="H7">
        <f t="shared" ref="H7:H13" si="3">1/G7</f>
        <v>3.566333808844508E-3</v>
      </c>
      <c r="I7">
        <f t="shared" ref="I7:I13" si="4">LN(G7)</f>
        <v>5.636217155160435</v>
      </c>
      <c r="K7">
        <f t="shared" ref="K7:K13" si="5">(E7-$E$14)*(A7-$A$14)</f>
        <v>0.90984448098271886</v>
      </c>
      <c r="M7">
        <f t="shared" si="0"/>
        <v>0.69856837059886878</v>
      </c>
      <c r="O7" s="7" t="s">
        <v>28</v>
      </c>
      <c r="P7">
        <f>E14-P6*A14</f>
        <v>3.3521083234039613</v>
      </c>
      <c r="Q7">
        <f>I14-Q6*A14</f>
        <v>5.3631468586791744</v>
      </c>
    </row>
    <row r="8" spans="1:17" x14ac:dyDescent="0.2">
      <c r="A8" s="1">
        <v>3</v>
      </c>
      <c r="B8">
        <v>1974</v>
      </c>
      <c r="C8" s="1">
        <v>44.4</v>
      </c>
      <c r="D8">
        <f t="shared" si="1"/>
        <v>2.2522522522522525E-2</v>
      </c>
      <c r="E8">
        <f t="shared" si="2"/>
        <v>3.7932394694381792</v>
      </c>
      <c r="G8" s="1">
        <v>320.10000000000002</v>
      </c>
      <c r="H8">
        <f t="shared" si="3"/>
        <v>3.1240237425804434E-3</v>
      </c>
      <c r="I8">
        <f t="shared" si="4"/>
        <v>5.7686334469758176</v>
      </c>
      <c r="K8">
        <f t="shared" si="5"/>
        <v>0.26021261702314957</v>
      </c>
      <c r="M8">
        <f t="shared" si="0"/>
        <v>0.22051658463624735</v>
      </c>
    </row>
    <row r="9" spans="1:17" x14ac:dyDescent="0.2">
      <c r="A9">
        <v>4</v>
      </c>
      <c r="B9">
        <v>1975</v>
      </c>
      <c r="C9">
        <v>49.8</v>
      </c>
      <c r="D9">
        <f t="shared" si="1"/>
        <v>2.0080321285140562E-2</v>
      </c>
      <c r="E9">
        <f t="shared" si="2"/>
        <v>3.9080149840306073</v>
      </c>
      <c r="G9">
        <v>339.1</v>
      </c>
      <c r="H9">
        <f t="shared" si="3"/>
        <v>2.9489826010026541E-3</v>
      </c>
      <c r="I9">
        <f t="shared" si="4"/>
        <v>5.826295049131593</v>
      </c>
      <c r="K9">
        <f t="shared" si="5"/>
        <v>2.9349781711502487E-2</v>
      </c>
      <c r="M9">
        <f t="shared" si="0"/>
        <v>4.4674727134194736E-2</v>
      </c>
    </row>
    <row r="10" spans="1:17" x14ac:dyDescent="0.2">
      <c r="A10">
        <v>5</v>
      </c>
      <c r="B10">
        <v>1976</v>
      </c>
      <c r="C10">
        <v>59.6</v>
      </c>
      <c r="D10">
        <f t="shared" si="1"/>
        <v>1.6778523489932886E-2</v>
      </c>
      <c r="E10">
        <f t="shared" si="2"/>
        <v>4.0876555740713041</v>
      </c>
      <c r="G10">
        <v>398.8</v>
      </c>
      <c r="H10">
        <f t="shared" si="3"/>
        <v>2.5075225677031092E-3</v>
      </c>
      <c r="I10">
        <f t="shared" si="4"/>
        <v>5.9884600380876831</v>
      </c>
      <c r="K10">
        <f t="shared" si="5"/>
        <v>6.0470513308845897E-2</v>
      </c>
      <c r="M10">
        <f t="shared" si="0"/>
        <v>3.6407767343850317E-2</v>
      </c>
    </row>
    <row r="11" spans="1:17" x14ac:dyDescent="0.2">
      <c r="A11" s="2">
        <v>6</v>
      </c>
      <c r="B11">
        <v>1977</v>
      </c>
      <c r="C11" s="2">
        <v>68</v>
      </c>
      <c r="D11">
        <f t="shared" si="1"/>
        <v>1.4705882352941176E-2</v>
      </c>
      <c r="E11">
        <f t="shared" si="2"/>
        <v>4.219507705176107</v>
      </c>
      <c r="G11" s="2">
        <v>453.3</v>
      </c>
      <c r="H11">
        <f t="shared" si="3"/>
        <v>2.2060445621001545E-3</v>
      </c>
      <c r="I11">
        <f t="shared" si="4"/>
        <v>6.1165541579468039</v>
      </c>
      <c r="K11">
        <f t="shared" si="5"/>
        <v>0.379189736583742</v>
      </c>
      <c r="M11">
        <f t="shared" si="0"/>
        <v>0.30136448182023212</v>
      </c>
    </row>
    <row r="12" spans="1:17" x14ac:dyDescent="0.2">
      <c r="A12" s="2">
        <v>7</v>
      </c>
      <c r="B12">
        <v>1978</v>
      </c>
      <c r="C12" s="2">
        <v>74.400000000000006</v>
      </c>
      <c r="D12">
        <f t="shared" si="1"/>
        <v>1.3440860215053762E-2</v>
      </c>
      <c r="E12">
        <f t="shared" si="2"/>
        <v>4.3094559418390466</v>
      </c>
      <c r="G12" s="2">
        <v>504.4</v>
      </c>
      <c r="H12">
        <f t="shared" si="3"/>
        <v>1.9825535289452814E-3</v>
      </c>
      <c r="I12">
        <f t="shared" si="4"/>
        <v>6.223369604090764</v>
      </c>
      <c r="K12">
        <f t="shared" si="5"/>
        <v>0.85685348596358568</v>
      </c>
      <c r="M12">
        <f t="shared" si="0"/>
        <v>0.76931275172695379</v>
      </c>
    </row>
    <row r="13" spans="1:17" x14ac:dyDescent="0.2">
      <c r="A13" s="2">
        <v>8</v>
      </c>
      <c r="B13">
        <v>1979</v>
      </c>
      <c r="C13" s="2">
        <v>79</v>
      </c>
      <c r="D13">
        <f t="shared" si="1"/>
        <v>1.2658227848101266E-2</v>
      </c>
      <c r="E13">
        <f t="shared" si="2"/>
        <v>4.3694478524670215</v>
      </c>
      <c r="G13" s="2">
        <v>557.6</v>
      </c>
      <c r="H13">
        <f t="shared" si="3"/>
        <v>1.7934002869440459E-3</v>
      </c>
      <c r="I13">
        <f t="shared" si="4"/>
        <v>6.3236418594463144</v>
      </c>
      <c r="K13">
        <f t="shared" si="5"/>
        <v>1.4095665675469322</v>
      </c>
      <c r="M13">
        <f t="shared" si="0"/>
        <v>1.4279907461621617</v>
      </c>
    </row>
    <row r="14" spans="1:17" x14ac:dyDescent="0.2">
      <c r="A14">
        <f>AVERAGE(A6:A13)</f>
        <v>4.5</v>
      </c>
      <c r="E14">
        <f>AVERAGE(E6:E13)</f>
        <v>3.9667145474536123</v>
      </c>
      <c r="I14">
        <f>AVERAGE(I6:I13)</f>
        <v>5.9156445033999825</v>
      </c>
      <c r="K14">
        <f>AVERAGE(K6:K13)</f>
        <v>0.71704059472459292</v>
      </c>
      <c r="M14">
        <f>AVERAGE(M6:M13)</f>
        <v>0.64458058550760922</v>
      </c>
    </row>
    <row r="15" spans="1:17" x14ac:dyDescent="0.2">
      <c r="A15">
        <f>_xlfn.VAR.P(A6:A13)</f>
        <v>5.25</v>
      </c>
    </row>
    <row r="16" spans="1:17" ht="30.75" customHeight="1" x14ac:dyDescent="0.2">
      <c r="C16" s="10" t="s">
        <v>32</v>
      </c>
      <c r="D16" s="9"/>
      <c r="E16" s="9"/>
      <c r="G16" s="10" t="s">
        <v>34</v>
      </c>
      <c r="H16" s="9"/>
      <c r="I16" s="9"/>
    </row>
    <row r="17" spans="1:24" x14ac:dyDescent="0.2">
      <c r="C17" t="s">
        <v>0</v>
      </c>
      <c r="G17" t="s">
        <v>1</v>
      </c>
    </row>
    <row r="18" spans="1:24" x14ac:dyDescent="0.2">
      <c r="A18" t="s">
        <v>2</v>
      </c>
      <c r="B18" s="3" t="s">
        <v>7</v>
      </c>
      <c r="C18" t="s">
        <v>4</v>
      </c>
      <c r="D18" t="s">
        <v>5</v>
      </c>
      <c r="E18" t="s">
        <v>6</v>
      </c>
      <c r="G18" t="s">
        <v>4</v>
      </c>
      <c r="H18" t="s">
        <v>5</v>
      </c>
      <c r="I18" t="s">
        <v>6</v>
      </c>
    </row>
    <row r="19" spans="1:24" x14ac:dyDescent="0.2">
      <c r="A19">
        <v>2</v>
      </c>
      <c r="B19" t="s">
        <v>9</v>
      </c>
      <c r="C19">
        <f>MEDIAN(C6:C8)</f>
        <v>36.700000000000003</v>
      </c>
      <c r="D19">
        <f>MEDIAN(D6:D8)</f>
        <v>2.7247956403269751E-2</v>
      </c>
      <c r="E19">
        <f>MEDIAN(E6:E8)</f>
        <v>3.6027767550605247</v>
      </c>
      <c r="G19">
        <f>MEDIAN(G6:G8)</f>
        <v>280.39999999999998</v>
      </c>
      <c r="H19">
        <f>MEDIAN(H6:H8)</f>
        <v>3.566333808844508E-3</v>
      </c>
      <c r="I19">
        <f>MEDIAN(I6:I8)</f>
        <v>5.636217155160435</v>
      </c>
    </row>
    <row r="20" spans="1:24" x14ac:dyDescent="0.2">
      <c r="A20">
        <v>4.5</v>
      </c>
      <c r="B20" t="s">
        <v>10</v>
      </c>
      <c r="C20">
        <f>MEDIAN(C9:C10)</f>
        <v>54.7</v>
      </c>
      <c r="D20">
        <f>MEDIAN(D9:D10)</f>
        <v>1.8429422387536726E-2</v>
      </c>
      <c r="E20">
        <f>MEDIAN(E9:E10)</f>
        <v>3.9978352790509559</v>
      </c>
      <c r="G20">
        <f>MEDIAN(G9:G10)</f>
        <v>368.95000000000005</v>
      </c>
      <c r="H20">
        <f>MEDIAN(H9:H10)</f>
        <v>2.7282525843528816E-3</v>
      </c>
      <c r="I20">
        <f>MEDIAN(I9:I10)</f>
        <v>5.9073775436096376</v>
      </c>
    </row>
    <row r="21" spans="1:24" x14ac:dyDescent="0.2">
      <c r="A21">
        <v>7</v>
      </c>
      <c r="B21" t="s">
        <v>11</v>
      </c>
      <c r="C21">
        <f>MEDIAN(C11:C13)</f>
        <v>74.400000000000006</v>
      </c>
      <c r="D21">
        <f>MEDIAN(D11:D13)</f>
        <v>1.3440860215053762E-2</v>
      </c>
      <c r="E21">
        <f>MEDIAN(E11:E13)</f>
        <v>4.3094559418390466</v>
      </c>
      <c r="G21">
        <f>MEDIAN(G11:G13)</f>
        <v>504.4</v>
      </c>
      <c r="H21">
        <f>MEDIAN(H11:H13)</f>
        <v>1.9825535289452814E-3</v>
      </c>
      <c r="I21">
        <f>MEDIAN(I11:I13)</f>
        <v>6.223369604090764</v>
      </c>
    </row>
    <row r="23" spans="1:24" ht="15.75" x14ac:dyDescent="0.25">
      <c r="A23">
        <v>2.5</v>
      </c>
      <c r="B23" s="4" t="s">
        <v>12</v>
      </c>
      <c r="C23">
        <f>A21-A20</f>
        <v>2.5</v>
      </c>
      <c r="D23">
        <f>C23</f>
        <v>2.5</v>
      </c>
      <c r="E23">
        <f>D23</f>
        <v>2.5</v>
      </c>
      <c r="G23">
        <f>2.5</f>
        <v>2.5</v>
      </c>
      <c r="H23">
        <f>G23</f>
        <v>2.5</v>
      </c>
      <c r="I23">
        <f>H23</f>
        <v>2.5</v>
      </c>
    </row>
    <row r="24" spans="1:24" x14ac:dyDescent="0.2">
      <c r="B24" t="s">
        <v>13</v>
      </c>
      <c r="C24">
        <f>(1/C23)*LN((C21-C20)/(C20-C19))</f>
        <v>3.609875113911129E-2</v>
      </c>
      <c r="D24">
        <f>(1/D23)*LN((D21-D20)/(D20-D19))</f>
        <v>-0.22788316735211867</v>
      </c>
      <c r="E24">
        <f>(1/E23)*LN((E21-E20)/(E20-E19))</f>
        <v>-9.4898916891635765E-2</v>
      </c>
      <c r="G24">
        <f>(1/G23)*LN((G21-G20)/(G20-G19))</f>
        <v>0.17001408172090413</v>
      </c>
      <c r="H24">
        <f>(1/H23)*LN((H21-H20)/(H20-H19))</f>
        <v>-4.6717165822439358E-2</v>
      </c>
      <c r="I24">
        <f>(1/I23)*LN((I21-I20)/(I20-I19))</f>
        <v>6.1202641241479651E-2</v>
      </c>
    </row>
    <row r="25" spans="1:24" ht="15.75" x14ac:dyDescent="0.25">
      <c r="B25" s="4" t="s">
        <v>14</v>
      </c>
      <c r="C25">
        <f>EXP(C24)</f>
        <v>1.0367582224914211</v>
      </c>
      <c r="D25">
        <f>EXP(D24)</f>
        <v>0.79621727857447988</v>
      </c>
      <c r="E25">
        <f>EXP(E24)</f>
        <v>0.90946486135715932</v>
      </c>
      <c r="G25">
        <f>EXP(G24)</f>
        <v>1.1853215425699886</v>
      </c>
      <c r="H25">
        <f>EXP(H24)</f>
        <v>0.95435728427958033</v>
      </c>
      <c r="I25">
        <f>EXP(I24)</f>
        <v>1.0631143231673681</v>
      </c>
    </row>
    <row r="26" spans="1:24" ht="15.75" x14ac:dyDescent="0.25">
      <c r="B26" s="4" t="s">
        <v>15</v>
      </c>
      <c r="C26">
        <f>(C21-C20)/(C25^$A$21-C25^$A$20)</f>
        <v>177.31321809630973</v>
      </c>
      <c r="D26">
        <f>(D21-D20)/(D25^$A$21-D25^$A$20)</f>
        <v>3.2028309155989788E-2</v>
      </c>
      <c r="E26">
        <f>(E21-E20)/(E25^$A$21-E25^$A$20)</f>
        <v>-2.2614545423121721</v>
      </c>
      <c r="G26">
        <f>(G21-G20)/(G25^$A$21-G25^$A$20)</f>
        <v>118.99588224904691</v>
      </c>
      <c r="H26">
        <f>(H21-H20)/(H25^$A$21-H25^$A$20)</f>
        <v>8.3476086839441178E-3</v>
      </c>
      <c r="I26">
        <f>(I21-I20)/(I25^$A$21-I25^$A$20)</f>
        <v>1.4511343401051831</v>
      </c>
    </row>
    <row r="27" spans="1:24" ht="15.75" x14ac:dyDescent="0.25">
      <c r="B27" s="4" t="s">
        <v>16</v>
      </c>
      <c r="C27">
        <f>C19-C26*C25^$A$19</f>
        <v>-153.88823529411752</v>
      </c>
      <c r="D27">
        <f>D19-D26*D25^$A$19</f>
        <v>6.9432269249849118E-3</v>
      </c>
      <c r="E27">
        <f>E19-E26*E25^$A$19</f>
        <v>5.4732853602489797</v>
      </c>
      <c r="G27">
        <f>G19-G26*G25^$A$19</f>
        <v>113.212313432835</v>
      </c>
      <c r="H27">
        <f>H19-H26*H25^$A$19</f>
        <v>-4.0366500332704672E-3</v>
      </c>
      <c r="I27">
        <f>I19-I26*I25^$A$19</f>
        <v>3.9961276173095017</v>
      </c>
    </row>
    <row r="31" spans="1:24" x14ac:dyDescent="0.2">
      <c r="C31" t="s">
        <v>0</v>
      </c>
      <c r="D31" t="s">
        <v>7</v>
      </c>
      <c r="P31" s="7" t="s">
        <v>1</v>
      </c>
      <c r="Q31" t="s">
        <v>8</v>
      </c>
    </row>
    <row r="32" spans="1:24" ht="15.75" x14ac:dyDescent="0.25">
      <c r="A32" t="s">
        <v>2</v>
      </c>
      <c r="B32" s="4" t="s">
        <v>3</v>
      </c>
      <c r="C32" t="s">
        <v>4</v>
      </c>
      <c r="D32" t="s">
        <v>17</v>
      </c>
      <c r="E32" t="s">
        <v>18</v>
      </c>
      <c r="F32" t="s">
        <v>19</v>
      </c>
      <c r="G32" t="s">
        <v>20</v>
      </c>
      <c r="H32" t="s">
        <v>21</v>
      </c>
      <c r="I32" t="s">
        <v>22</v>
      </c>
      <c r="J32" t="s">
        <v>23</v>
      </c>
      <c r="K32" t="s">
        <v>24</v>
      </c>
      <c r="N32" t="s">
        <v>2</v>
      </c>
      <c r="O32" s="4" t="s">
        <v>3</v>
      </c>
      <c r="P32" t="s">
        <v>4</v>
      </c>
      <c r="Q32" t="s">
        <v>17</v>
      </c>
      <c r="R32" t="s">
        <v>18</v>
      </c>
      <c r="S32" t="s">
        <v>19</v>
      </c>
      <c r="T32" t="s">
        <v>20</v>
      </c>
      <c r="U32" t="s">
        <v>21</v>
      </c>
      <c r="V32" t="s">
        <v>22</v>
      </c>
      <c r="W32" t="s">
        <v>23</v>
      </c>
      <c r="X32" t="s">
        <v>24</v>
      </c>
    </row>
    <row r="33" spans="1:25" x14ac:dyDescent="0.2">
      <c r="A33" s="1">
        <v>1</v>
      </c>
      <c r="B33">
        <v>1972</v>
      </c>
      <c r="C33" s="1">
        <v>31.3</v>
      </c>
      <c r="D33">
        <f>EXP($P$7)*EXP($P$6)^A33</f>
        <v>32.742943863038555</v>
      </c>
      <c r="E33">
        <f>$C$26*$C$25^A33+$C$27</f>
        <v>29.942701523646235</v>
      </c>
      <c r="F33">
        <f>1/($D$26*$D$25^A33+$D$27)</f>
        <v>30.82165596066838</v>
      </c>
      <c r="G33">
        <f>EXP($E$26*$E$25^A33+$E$27)</f>
        <v>30.464799990591452</v>
      </c>
      <c r="H33">
        <f>100*ABS(D33-C33)/C33</f>
        <v>4.6100442908579993</v>
      </c>
      <c r="I33">
        <f>100*ABS(E33-C33)/C33</f>
        <v>4.3364168573602724</v>
      </c>
      <c r="J33">
        <f>100*ABS(F33-C33)/C33</f>
        <v>1.5282557167144424</v>
      </c>
      <c r="K33">
        <f>100*ABS(G33-C33)/C33</f>
        <v>2.668370637088016</v>
      </c>
      <c r="N33" s="1">
        <v>1</v>
      </c>
      <c r="O33">
        <v>1972</v>
      </c>
      <c r="P33" s="1">
        <v>230.9</v>
      </c>
      <c r="Q33">
        <f>EXP($Q$7)*EXP($Q$6)^N33</f>
        <v>241.27180343345279</v>
      </c>
      <c r="R33">
        <f>$G$26*$G$25^N33+$G$27</f>
        <v>254.26069613975201</v>
      </c>
      <c r="S33">
        <f>1/($H$26*$H$25^N33+$H$27)</f>
        <v>254.45609101003328</v>
      </c>
      <c r="T33">
        <f>EXP($I$26*$I$25^N33+$I$27)</f>
        <v>254.38511489348812</v>
      </c>
      <c r="U33">
        <f>100*ABS(Q33-P33)/P33</f>
        <v>4.4919027429418721</v>
      </c>
      <c r="V33">
        <f>100*ABS(R33-P33)/P33</f>
        <v>10.117235227263754</v>
      </c>
      <c r="W33">
        <f>100*ABS(S33-P33)/P33</f>
        <v>10.201858384596479</v>
      </c>
      <c r="X33">
        <f>100*ABS(T33-P33)/P33</f>
        <v>10.171119486136039</v>
      </c>
    </row>
    <row r="34" spans="1:25" x14ac:dyDescent="0.2">
      <c r="A34" s="1">
        <v>2</v>
      </c>
      <c r="B34">
        <v>1973</v>
      </c>
      <c r="C34" s="1">
        <v>36.700000000000003</v>
      </c>
      <c r="D34">
        <f t="shared" ref="D34:D40" si="6">EXP($P$7)*EXP($P$6)^A34</f>
        <v>37.534730281171854</v>
      </c>
      <c r="E34">
        <f t="shared" ref="E34:E40" si="7">$C$26*$C$25^A34+$C$27</f>
        <v>36.699999999999989</v>
      </c>
      <c r="F34">
        <f t="shared" ref="F34:F40" si="8">1/($D$26*$D$25^A34+$D$27)</f>
        <v>36.700000000000003</v>
      </c>
      <c r="G34">
        <f t="shared" ref="G34:G40" si="9">EXP($E$26*$E$25^A34+$E$27)</f>
        <v>36.700000000000003</v>
      </c>
      <c r="H34">
        <f t="shared" ref="H34:H40" si="10">100*ABS(D34-C34)/C34</f>
        <v>2.274469430985969</v>
      </c>
      <c r="I34">
        <f t="shared" ref="I34:I40" si="11">100*ABS(E34-C34)/C34</f>
        <v>3.872167497330246E-14</v>
      </c>
      <c r="J34">
        <f t="shared" ref="J34:J40" si="12">100*ABS(F34-C34)/C34</f>
        <v>0</v>
      </c>
      <c r="K34">
        <f t="shared" ref="K34:K40" si="13">100*ABS(G34-C34)/C34</f>
        <v>0</v>
      </c>
      <c r="N34" s="1">
        <v>2</v>
      </c>
      <c r="O34">
        <v>1973</v>
      </c>
      <c r="P34" s="1">
        <v>280.39999999999998</v>
      </c>
      <c r="Q34">
        <f t="shared" ref="Q34:Q40" si="14">EXP($Q$7)*EXP($Q$6)^N34</f>
        <v>272.78975422669947</v>
      </c>
      <c r="R34">
        <f t="shared" ref="R34:R40" si="15">$G$26*$G$25^N34+$G$27</f>
        <v>280.39999999999998</v>
      </c>
      <c r="S34">
        <f t="shared" ref="S34:S40" si="16">1/($H$26*$H$25^N34+$H$27)</f>
        <v>280.39999999999998</v>
      </c>
      <c r="T34">
        <f t="shared" ref="T34:T40" si="17">EXP($I$26*$I$25^N34+$I$27)</f>
        <v>280.39999999999998</v>
      </c>
      <c r="U34">
        <f t="shared" ref="U34:U40" si="18">100*ABS(Q34-P34)/P34</f>
        <v>2.7140676794937608</v>
      </c>
      <c r="V34">
        <f t="shared" ref="V34:V40" si="19">100*ABS(R34-P34)/P34</f>
        <v>0</v>
      </c>
      <c r="W34">
        <f t="shared" ref="W34:W40" si="20">100*ABS(S34-P34)/P34</f>
        <v>0</v>
      </c>
      <c r="X34">
        <f t="shared" ref="X34:X40" si="21">100*ABS(T34-P34)/P34</f>
        <v>0</v>
      </c>
    </row>
    <row r="35" spans="1:25" x14ac:dyDescent="0.2">
      <c r="A35" s="1">
        <v>3</v>
      </c>
      <c r="B35">
        <v>1974</v>
      </c>
      <c r="C35" s="1">
        <v>44.4</v>
      </c>
      <c r="D35">
        <f t="shared" si="6"/>
        <v>43.027773653262983</v>
      </c>
      <c r="E35">
        <f t="shared" si="7"/>
        <v>43.705684757188493</v>
      </c>
      <c r="F35">
        <f t="shared" si="8"/>
        <v>43.270930328346708</v>
      </c>
      <c r="G35">
        <f t="shared" si="9"/>
        <v>43.472280755250232</v>
      </c>
      <c r="H35">
        <f t="shared" si="10"/>
        <v>3.0905998800383232</v>
      </c>
      <c r="I35">
        <f t="shared" si="11"/>
        <v>1.5637730693952829</v>
      </c>
      <c r="J35">
        <f t="shared" si="12"/>
        <v>2.5429497109308348</v>
      </c>
      <c r="K35">
        <f t="shared" si="13"/>
        <v>2.089457758445421</v>
      </c>
      <c r="N35" s="1">
        <v>3</v>
      </c>
      <c r="O35">
        <v>1974</v>
      </c>
      <c r="P35" s="1">
        <v>320.10000000000002</v>
      </c>
      <c r="Q35">
        <f t="shared" si="14"/>
        <v>308.42497528555145</v>
      </c>
      <c r="R35">
        <f t="shared" si="15"/>
        <v>311.38347997333472</v>
      </c>
      <c r="S35">
        <f t="shared" si="16"/>
        <v>310.62528142265722</v>
      </c>
      <c r="T35">
        <f t="shared" si="17"/>
        <v>310.98052706368924</v>
      </c>
      <c r="U35">
        <f t="shared" si="18"/>
        <v>3.6473054403150789</v>
      </c>
      <c r="V35">
        <f t="shared" si="19"/>
        <v>2.7230615515980339</v>
      </c>
      <c r="W35">
        <f t="shared" si="20"/>
        <v>2.9599245789886903</v>
      </c>
      <c r="X35">
        <f t="shared" si="21"/>
        <v>2.8489449972854684</v>
      </c>
    </row>
    <row r="36" spans="1:25" x14ac:dyDescent="0.2">
      <c r="A36">
        <v>4</v>
      </c>
      <c r="B36">
        <v>1975</v>
      </c>
      <c r="C36">
        <v>49.8</v>
      </c>
      <c r="D36">
        <f t="shared" si="6"/>
        <v>49.324699862972643</v>
      </c>
      <c r="E36">
        <f t="shared" si="7"/>
        <v>50.968886033386497</v>
      </c>
      <c r="F36">
        <f t="shared" si="8"/>
        <v>50.46515521363149</v>
      </c>
      <c r="G36">
        <f t="shared" si="9"/>
        <v>50.710776124309653</v>
      </c>
      <c r="H36">
        <f t="shared" si="10"/>
        <v>0.95441794583805972</v>
      </c>
      <c r="I36">
        <f t="shared" si="11"/>
        <v>2.3471607096114449</v>
      </c>
      <c r="J36">
        <f t="shared" si="12"/>
        <v>1.3356530394206694</v>
      </c>
      <c r="K36">
        <f t="shared" si="13"/>
        <v>1.8288677194973015</v>
      </c>
      <c r="N36">
        <v>4</v>
      </c>
      <c r="O36">
        <v>1975</v>
      </c>
      <c r="P36">
        <v>339.1</v>
      </c>
      <c r="Q36">
        <f t="shared" si="14"/>
        <v>348.71531612158515</v>
      </c>
      <c r="R36">
        <f t="shared" si="15"/>
        <v>348.10886624951422</v>
      </c>
      <c r="S36">
        <f t="shared" si="16"/>
        <v>346.24466752706172</v>
      </c>
      <c r="T36">
        <f t="shared" si="17"/>
        <v>347.15681671552625</v>
      </c>
      <c r="U36">
        <f t="shared" si="18"/>
        <v>2.8355399945694848</v>
      </c>
      <c r="V36">
        <f t="shared" si="19"/>
        <v>2.6566989824577405</v>
      </c>
      <c r="W36">
        <f t="shared" si="20"/>
        <v>2.106950022725361</v>
      </c>
      <c r="X36">
        <f t="shared" si="21"/>
        <v>2.3759412313554185</v>
      </c>
    </row>
    <row r="37" spans="1:25" x14ac:dyDescent="0.2">
      <c r="A37">
        <v>5</v>
      </c>
      <c r="B37">
        <v>1976</v>
      </c>
      <c r="C37">
        <v>59.6</v>
      </c>
      <c r="D37">
        <f t="shared" si="6"/>
        <v>56.543153642527216</v>
      </c>
      <c r="E37">
        <f t="shared" si="7"/>
        <v>58.499069678094912</v>
      </c>
      <c r="F37">
        <f t="shared" si="8"/>
        <v>58.164982350365321</v>
      </c>
      <c r="G37">
        <f t="shared" si="9"/>
        <v>58.335428178108586</v>
      </c>
      <c r="H37">
        <f t="shared" si="10"/>
        <v>5.1289368413972909</v>
      </c>
      <c r="I37">
        <f t="shared" si="11"/>
        <v>1.8471985266863913</v>
      </c>
      <c r="J37">
        <f t="shared" si="12"/>
        <v>2.4077477342863767</v>
      </c>
      <c r="K37">
        <f t="shared" si="13"/>
        <v>2.1217648018312341</v>
      </c>
      <c r="N37">
        <v>5</v>
      </c>
      <c r="O37">
        <v>1976</v>
      </c>
      <c r="P37">
        <v>398.8</v>
      </c>
      <c r="Q37">
        <f t="shared" si="14"/>
        <v>394.26888689929535</v>
      </c>
      <c r="R37">
        <f t="shared" si="15"/>
        <v>391.64025776187407</v>
      </c>
      <c r="S37">
        <f t="shared" si="16"/>
        <v>388.79261675281737</v>
      </c>
      <c r="T37">
        <f t="shared" si="17"/>
        <v>390.24252316256411</v>
      </c>
      <c r="U37">
        <f t="shared" si="18"/>
        <v>1.1361868356832141</v>
      </c>
      <c r="V37">
        <f t="shared" si="19"/>
        <v>1.7953215241037972</v>
      </c>
      <c r="W37">
        <f t="shared" si="20"/>
        <v>2.5093739335964504</v>
      </c>
      <c r="X37">
        <f t="shared" si="21"/>
        <v>2.1458066292467151</v>
      </c>
    </row>
    <row r="38" spans="1:25" x14ac:dyDescent="0.2">
      <c r="A38" s="2">
        <v>6</v>
      </c>
      <c r="B38">
        <v>1977</v>
      </c>
      <c r="C38" s="2">
        <v>68</v>
      </c>
      <c r="D38">
        <f t="shared" si="6"/>
        <v>64.817996515422848</v>
      </c>
      <c r="E38">
        <f t="shared" si="7"/>
        <v>66.306049488616878</v>
      </c>
      <c r="F38">
        <f t="shared" si="8"/>
        <v>66.208261553850463</v>
      </c>
      <c r="G38">
        <f t="shared" si="9"/>
        <v>66.260861302078794</v>
      </c>
      <c r="H38">
        <f t="shared" si="10"/>
        <v>4.6794168890840462</v>
      </c>
      <c r="I38">
        <f t="shared" si="11"/>
        <v>2.4911036932104729</v>
      </c>
      <c r="J38">
        <f t="shared" si="12"/>
        <v>2.6349094796316725</v>
      </c>
      <c r="K38">
        <f t="shared" si="13"/>
        <v>2.5575569087076557</v>
      </c>
      <c r="N38" s="2">
        <v>6</v>
      </c>
      <c r="O38">
        <v>1977</v>
      </c>
      <c r="P38" s="2">
        <v>453.3</v>
      </c>
      <c r="Q38">
        <f t="shared" si="14"/>
        <v>445.77323676431223</v>
      </c>
      <c r="R38">
        <f t="shared" si="15"/>
        <v>443.23895389952241</v>
      </c>
      <c r="S38">
        <f t="shared" si="16"/>
        <v>440.44605779181728</v>
      </c>
      <c r="T38">
        <f t="shared" si="17"/>
        <v>441.9267124212829</v>
      </c>
      <c r="U38">
        <f t="shared" si="18"/>
        <v>1.6604375106304392</v>
      </c>
      <c r="V38">
        <f t="shared" si="19"/>
        <v>2.2195116038997567</v>
      </c>
      <c r="W38">
        <f t="shared" si="20"/>
        <v>2.8356369309911162</v>
      </c>
      <c r="X38">
        <f t="shared" si="21"/>
        <v>2.5089979216230116</v>
      </c>
    </row>
    <row r="39" spans="1:25" x14ac:dyDescent="0.2">
      <c r="A39" s="2">
        <v>7</v>
      </c>
      <c r="B39">
        <v>1978</v>
      </c>
      <c r="C39" s="2">
        <v>74.400000000000006</v>
      </c>
      <c r="D39">
        <f t="shared" si="6"/>
        <v>74.303826398417101</v>
      </c>
      <c r="E39">
        <f t="shared" si="7"/>
        <v>74.399999999999949</v>
      </c>
      <c r="F39">
        <f t="shared" si="8"/>
        <v>74.400000000000006</v>
      </c>
      <c r="G39">
        <f t="shared" si="9"/>
        <v>74.399999999999963</v>
      </c>
      <c r="H39">
        <f t="shared" si="10"/>
        <v>0.12926559352540948</v>
      </c>
      <c r="I39">
        <f t="shared" si="11"/>
        <v>7.6402444705387112E-14</v>
      </c>
      <c r="J39">
        <f t="shared" si="12"/>
        <v>0</v>
      </c>
      <c r="K39">
        <f t="shared" si="13"/>
        <v>5.7301833529040337E-14</v>
      </c>
      <c r="N39" s="2">
        <v>7</v>
      </c>
      <c r="O39">
        <v>1978</v>
      </c>
      <c r="P39" s="2">
        <v>504.4</v>
      </c>
      <c r="Q39">
        <f t="shared" si="14"/>
        <v>504.00573116003267</v>
      </c>
      <c r="R39">
        <f t="shared" si="15"/>
        <v>504.4</v>
      </c>
      <c r="S39">
        <f t="shared" si="16"/>
        <v>504.40000000000003</v>
      </c>
      <c r="T39">
        <f t="shared" si="17"/>
        <v>504.39999999999975</v>
      </c>
      <c r="U39">
        <f t="shared" si="18"/>
        <v>7.8165908003035342E-2</v>
      </c>
      <c r="V39">
        <f t="shared" si="19"/>
        <v>0</v>
      </c>
      <c r="W39">
        <f t="shared" si="20"/>
        <v>1.1269512065980971E-14</v>
      </c>
      <c r="X39">
        <f t="shared" si="21"/>
        <v>4.5078048263923886E-14</v>
      </c>
    </row>
    <row r="40" spans="1:25" x14ac:dyDescent="0.2">
      <c r="A40" s="2">
        <v>8</v>
      </c>
      <c r="B40">
        <v>1979</v>
      </c>
      <c r="C40" s="2">
        <v>79</v>
      </c>
      <c r="D40">
        <f t="shared" si="6"/>
        <v>85.177865936236131</v>
      </c>
      <c r="E40">
        <f t="shared" si="7"/>
        <v>82.791469745115052</v>
      </c>
      <c r="F40">
        <f t="shared" si="8"/>
        <v>82.530348663831774</v>
      </c>
      <c r="G40">
        <f t="shared" si="9"/>
        <v>82.66724054847343</v>
      </c>
      <c r="H40">
        <f t="shared" si="10"/>
        <v>7.8200834635900387</v>
      </c>
      <c r="I40">
        <f t="shared" si="11"/>
        <v>4.7993287912848759</v>
      </c>
      <c r="J40">
        <f t="shared" si="12"/>
        <v>4.4687957770022448</v>
      </c>
      <c r="K40">
        <f t="shared" si="13"/>
        <v>4.6420766436372531</v>
      </c>
      <c r="N40" s="2">
        <v>8</v>
      </c>
      <c r="O40">
        <v>1979</v>
      </c>
      <c r="P40" s="2">
        <v>557.6</v>
      </c>
      <c r="Q40">
        <f t="shared" si="14"/>
        <v>569.84528475957984</v>
      </c>
      <c r="R40">
        <f t="shared" si="15"/>
        <v>576.8955055090122</v>
      </c>
      <c r="S40">
        <f t="shared" si="16"/>
        <v>585.54155089352582</v>
      </c>
      <c r="T40">
        <f t="shared" si="17"/>
        <v>580.52941669956397</v>
      </c>
      <c r="U40">
        <f t="shared" si="18"/>
        <v>2.1960697201541994</v>
      </c>
      <c r="V40">
        <f t="shared" si="19"/>
        <v>3.4604565116592849</v>
      </c>
      <c r="W40">
        <f t="shared" si="20"/>
        <v>5.011038539011083</v>
      </c>
      <c r="X40">
        <f t="shared" si="21"/>
        <v>4.112162248845757</v>
      </c>
    </row>
    <row r="42" spans="1:25" ht="24.75" customHeight="1" x14ac:dyDescent="0.2">
      <c r="H42" s="12">
        <f>AVERAGE(H33:H40)</f>
        <v>3.585904291914642</v>
      </c>
      <c r="I42" s="12">
        <f>AVERAGE(I33:I40)</f>
        <v>2.1731227059436069</v>
      </c>
      <c r="J42" s="12">
        <f>AVERAGE(J33:J40)</f>
        <v>1.8647889322482802</v>
      </c>
      <c r="K42" s="12">
        <f>AVERAGE(K33:K40)</f>
        <v>1.9885118086508675</v>
      </c>
      <c r="L42" s="11" t="s">
        <v>25</v>
      </c>
      <c r="U42" s="12">
        <f>AVERAGE(U33:U40)</f>
        <v>2.3449594789738857</v>
      </c>
      <c r="V42" s="12">
        <f>AVERAGE(V33:V40)</f>
        <v>2.8715356751227961</v>
      </c>
      <c r="W42" s="12">
        <f>AVERAGE(W33:W40)</f>
        <v>3.2030977987386486</v>
      </c>
      <c r="X42" s="12">
        <f>AVERAGE(X33:X40)</f>
        <v>3.020371564311557</v>
      </c>
      <c r="Y42" s="11" t="s">
        <v>25</v>
      </c>
    </row>
    <row r="43" spans="1:25" ht="19.5" customHeight="1" x14ac:dyDescent="0.2">
      <c r="C43" s="13" t="s">
        <v>33</v>
      </c>
      <c r="Q43" s="13" t="s">
        <v>35</v>
      </c>
    </row>
    <row r="46" spans="1:25" ht="25.5" customHeight="1" x14ac:dyDescent="0.2">
      <c r="B46" s="16" t="s">
        <v>37</v>
      </c>
    </row>
    <row r="48" spans="1:25" x14ac:dyDescent="0.2">
      <c r="C48" s="14" t="s">
        <v>38</v>
      </c>
      <c r="D48" s="14" t="s">
        <v>20</v>
      </c>
      <c r="E48" s="14" t="s">
        <v>39</v>
      </c>
    </row>
    <row r="49" spans="2:13" ht="15" x14ac:dyDescent="0.25">
      <c r="B49" s="15" t="s">
        <v>40</v>
      </c>
      <c r="C49" s="17">
        <f>H42</f>
        <v>3.585904291914642</v>
      </c>
      <c r="D49" s="17">
        <f>K42</f>
        <v>1.9885118086508675</v>
      </c>
      <c r="E49" s="17">
        <f>J42</f>
        <v>1.8647889322482802</v>
      </c>
      <c r="H49" s="7"/>
    </row>
    <row r="50" spans="2:13" ht="15" x14ac:dyDescent="0.25">
      <c r="B50" s="15" t="s">
        <v>41</v>
      </c>
      <c r="C50" s="17">
        <v>1.8643000000000001</v>
      </c>
      <c r="D50" s="17">
        <v>1.6226</v>
      </c>
      <c r="E50" s="17">
        <v>1.3912</v>
      </c>
    </row>
    <row r="51" spans="2:13" ht="15.75" x14ac:dyDescent="0.25">
      <c r="B51" s="15" t="s">
        <v>42</v>
      </c>
      <c r="C51" s="17">
        <v>178.12479999999999</v>
      </c>
      <c r="D51" s="17">
        <v>-2.0829</v>
      </c>
      <c r="E51" s="17">
        <v>3.0700000000000002E-2</v>
      </c>
      <c r="G51" s="18" t="s">
        <v>45</v>
      </c>
      <c r="H51" s="18"/>
      <c r="I51" s="18"/>
      <c r="J51" s="18"/>
      <c r="K51" s="18"/>
      <c r="L51" s="18"/>
      <c r="M51" s="19"/>
    </row>
    <row r="52" spans="2:13" ht="15" x14ac:dyDescent="0.25">
      <c r="B52" s="15" t="s">
        <v>43</v>
      </c>
      <c r="C52" s="17">
        <v>1.0359</v>
      </c>
      <c r="D52" s="17">
        <v>0.9022</v>
      </c>
      <c r="E52" s="17">
        <v>0.7702</v>
      </c>
    </row>
    <row r="53" spans="2:13" ht="15" x14ac:dyDescent="0.25">
      <c r="B53" s="15" t="s">
        <v>44</v>
      </c>
      <c r="C53" s="17">
        <v>-153.6046</v>
      </c>
      <c r="D53" s="17">
        <v>5.3228</v>
      </c>
      <c r="E53" s="17">
        <v>8.5000000000000006E-3</v>
      </c>
    </row>
  </sheetData>
  <phoneticPr fontId="5" type="noConversion"/>
  <pageMargins left="0.75" right="0.75" top="1" bottom="1" header="0.4921259845" footer="0.492125984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amrani</dc:creator>
  <cp:lastModifiedBy>YsfDS</cp:lastModifiedBy>
  <dcterms:created xsi:type="dcterms:W3CDTF">2014-12-20T18:37:32Z</dcterms:created>
  <dcterms:modified xsi:type="dcterms:W3CDTF">2019-03-19T17:27:04Z</dcterms:modified>
</cp:coreProperties>
</file>