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442601F-B992-4671-949B-D6E8491428F2}" xr6:coauthVersionLast="43" xr6:coauthVersionMax="43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3" l="1"/>
  <c r="J2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3" i="3"/>
  <c r="G4" i="3"/>
  <c r="G3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E6" i="3"/>
  <c r="E4" i="3"/>
  <c r="E8" i="3"/>
  <c r="E5" i="3"/>
  <c r="F3" i="3"/>
  <c r="F4" i="3"/>
  <c r="F5" i="3"/>
  <c r="E2" i="3"/>
  <c r="D44" i="3"/>
  <c r="C44" i="3"/>
  <c r="B4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3" i="3"/>
  <c r="F6" i="3" l="1"/>
  <c r="E7" i="3" s="1"/>
  <c r="F7" i="3" l="1"/>
  <c r="F8" i="3" l="1"/>
  <c r="E9" i="3"/>
  <c r="F9" i="3" l="1"/>
  <c r="E10" i="3" s="1"/>
  <c r="F10" i="3" l="1"/>
  <c r="E11" i="3"/>
  <c r="F11" i="3" l="1"/>
  <c r="E12" i="3" s="1"/>
  <c r="F12" i="3" l="1"/>
  <c r="E13" i="3" s="1"/>
  <c r="F13" i="3" l="1"/>
  <c r="E14" i="3" s="1"/>
  <c r="F14" i="3" l="1"/>
  <c r="E15" i="3"/>
  <c r="F15" i="3" l="1"/>
  <c r="E16" i="3" s="1"/>
  <c r="F16" i="3" l="1"/>
  <c r="E17" i="3" s="1"/>
  <c r="F17" i="3" l="1"/>
  <c r="E18" i="3" s="1"/>
  <c r="F18" i="3" l="1"/>
  <c r="E19" i="3"/>
  <c r="F19" i="3" l="1"/>
  <c r="E20" i="3" s="1"/>
  <c r="F20" i="3" l="1"/>
  <c r="E21" i="3" s="1"/>
  <c r="F21" i="3" l="1"/>
  <c r="E22" i="3" s="1"/>
  <c r="F22" i="3" l="1"/>
  <c r="E23" i="3"/>
  <c r="F23" i="3" l="1"/>
  <c r="E24" i="3" s="1"/>
  <c r="F24" i="3" l="1"/>
  <c r="E25" i="3" s="1"/>
  <c r="F25" i="3" l="1"/>
  <c r="E26" i="3" s="1"/>
  <c r="F26" i="3" l="1"/>
  <c r="E27" i="3"/>
  <c r="F27" i="3" l="1"/>
  <c r="E28" i="3" s="1"/>
  <c r="F28" i="3" l="1"/>
  <c r="E29" i="3" s="1"/>
  <c r="F29" i="3" l="1"/>
  <c r="E30" i="3" s="1"/>
  <c r="F30" i="3" l="1"/>
  <c r="E31" i="3"/>
  <c r="F31" i="3" l="1"/>
  <c r="E32" i="3" s="1"/>
  <c r="F32" i="3" l="1"/>
  <c r="E33" i="3" s="1"/>
  <c r="F33" i="3" l="1"/>
  <c r="E34" i="3" s="1"/>
  <c r="F34" i="3" l="1"/>
  <c r="E35" i="3"/>
  <c r="F35" i="3" l="1"/>
  <c r="E36" i="3" s="1"/>
  <c r="F36" i="3" l="1"/>
  <c r="E37" i="3" s="1"/>
  <c r="F37" i="3" l="1"/>
  <c r="E38" i="3" s="1"/>
  <c r="F38" i="3" l="1"/>
  <c r="E39" i="3"/>
  <c r="E40" i="3" l="1"/>
  <c r="F39" i="3"/>
  <c r="F40" i="3" l="1"/>
  <c r="E41" i="3" s="1"/>
  <c r="E42" i="3" l="1"/>
  <c r="F41" i="3"/>
  <c r="F42" i="3" l="1"/>
  <c r="E43" i="3" s="1"/>
  <c r="F43" i="3" s="1"/>
  <c r="B4" i="2" l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3" i="2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" i="1"/>
  <c r="Q22" i="1"/>
  <c r="Q23" i="1"/>
  <c r="Q24" i="1"/>
  <c r="H5" i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I4" i="1"/>
  <c r="R24" i="1" l="1"/>
  <c r="S22" i="1"/>
  <c r="S23" i="1"/>
  <c r="R22" i="1"/>
  <c r="R23" i="1"/>
  <c r="S24" i="1"/>
  <c r="D46" i="1"/>
  <c r="C46" i="1"/>
  <c r="B5" i="1"/>
  <c r="I5" i="1" l="1"/>
  <c r="B6" i="1"/>
  <c r="B7" i="1" l="1"/>
  <c r="I6" i="1"/>
  <c r="B8" i="1" l="1"/>
  <c r="I7" i="1"/>
  <c r="B9" i="1" l="1"/>
  <c r="I8" i="1"/>
  <c r="B10" i="1" l="1"/>
  <c r="I9" i="1"/>
  <c r="B11" i="1" l="1"/>
  <c r="I11" i="1" s="1"/>
  <c r="I10" i="1"/>
  <c r="B12" i="1" l="1"/>
  <c r="I12" i="1" s="1"/>
  <c r="B13" i="1" l="1"/>
  <c r="I13" i="1" s="1"/>
  <c r="B14" i="1" l="1"/>
  <c r="I14" i="1" s="1"/>
  <c r="B15" i="1" l="1"/>
  <c r="I15" i="1" s="1"/>
  <c r="B16" i="1" l="1"/>
  <c r="I16" i="1" s="1"/>
  <c r="B17" i="1" l="1"/>
  <c r="I17" i="1" l="1"/>
  <c r="O22" i="1"/>
  <c r="B18" i="1"/>
  <c r="I18" i="1" l="1"/>
  <c r="B19" i="1"/>
  <c r="I19" i="1" s="1"/>
  <c r="B20" i="1" l="1"/>
  <c r="I20" i="1" s="1"/>
  <c r="B21" i="1" l="1"/>
  <c r="I21" i="1" s="1"/>
  <c r="B22" i="1" l="1"/>
  <c r="I22" i="1" l="1"/>
  <c r="B23" i="1"/>
  <c r="I23" i="1" s="1"/>
  <c r="B24" i="1" l="1"/>
  <c r="I24" i="1" s="1"/>
  <c r="B25" i="1" l="1"/>
  <c r="I25" i="1" s="1"/>
  <c r="B26" i="1" l="1"/>
  <c r="I26" i="1" s="1"/>
  <c r="B27" i="1" l="1"/>
  <c r="I27" i="1" s="1"/>
  <c r="B28" i="1" l="1"/>
  <c r="I28" i="1" s="1"/>
  <c r="B29" i="1" l="1"/>
  <c r="I29" i="1" s="1"/>
  <c r="B30" i="1" l="1"/>
  <c r="I30" i="1" s="1"/>
  <c r="B31" i="1" l="1"/>
  <c r="I31" i="1" l="1"/>
  <c r="O23" i="1"/>
  <c r="B32" i="1"/>
  <c r="I32" i="1" l="1"/>
  <c r="B33" i="1"/>
  <c r="I33" i="1" s="1"/>
  <c r="B34" i="1" l="1"/>
  <c r="I34" i="1" s="1"/>
  <c r="B35" i="1" l="1"/>
  <c r="I35" i="1" s="1"/>
  <c r="B36" i="1" l="1"/>
  <c r="I36" i="1" s="1"/>
  <c r="B37" i="1" l="1"/>
  <c r="I37" i="1" s="1"/>
  <c r="B38" i="1" l="1"/>
  <c r="I38" i="1" s="1"/>
  <c r="B39" i="1" l="1"/>
  <c r="I39" i="1" s="1"/>
  <c r="B40" i="1" l="1"/>
  <c r="I40" i="1" s="1"/>
  <c r="B41" i="1" l="1"/>
  <c r="I41" i="1" s="1"/>
  <c r="B42" i="1" l="1"/>
  <c r="I42" i="1" s="1"/>
  <c r="B43" i="1" l="1"/>
  <c r="I43" i="1" s="1"/>
  <c r="B44" i="1" l="1"/>
  <c r="I44" i="1" s="1"/>
  <c r="B45" i="1" l="1"/>
  <c r="I45" i="1" l="1"/>
  <c r="Q7" i="1" s="1" a="1"/>
  <c r="P4" i="1"/>
  <c r="B47" i="1"/>
  <c r="P15" i="1"/>
  <c r="O24" i="1"/>
  <c r="O26" i="1" s="1"/>
  <c r="B51" i="1"/>
  <c r="B52" i="1" s="1"/>
  <c r="B53" i="1" s="1"/>
  <c r="B54" i="1" s="1"/>
  <c r="B55" i="1" s="1"/>
  <c r="B46" i="1"/>
  <c r="R15" i="1" l="1"/>
  <c r="Q15" i="1" s="1"/>
  <c r="F24" i="2" s="1"/>
  <c r="F22" i="2"/>
  <c r="F12" i="2"/>
  <c r="F28" i="2"/>
  <c r="F39" i="2"/>
  <c r="F17" i="2"/>
  <c r="F33" i="2"/>
  <c r="F10" i="2"/>
  <c r="F26" i="2"/>
  <c r="F42" i="2"/>
  <c r="F32" i="2"/>
  <c r="F5" i="2"/>
  <c r="F21" i="2"/>
  <c r="F35" i="2"/>
  <c r="F30" i="2"/>
  <c r="F11" i="2"/>
  <c r="F7" i="2"/>
  <c r="F14" i="2"/>
  <c r="F4" i="2"/>
  <c r="F20" i="2"/>
  <c r="F36" i="2"/>
  <c r="F15" i="2"/>
  <c r="F9" i="2"/>
  <c r="F25" i="2"/>
  <c r="F41" i="2"/>
  <c r="F43" i="2"/>
  <c r="F18" i="2"/>
  <c r="F34" i="2"/>
  <c r="F19" i="2"/>
  <c r="F8" i="2"/>
  <c r="F40" i="2"/>
  <c r="F27" i="2"/>
  <c r="F13" i="2"/>
  <c r="F29" i="2"/>
  <c r="F3" i="2"/>
  <c r="F6" i="2"/>
  <c r="F38" i="2"/>
  <c r="F31" i="2"/>
  <c r="S27" i="1"/>
  <c r="S28" i="1" s="1"/>
  <c r="S29" i="1" s="1"/>
  <c r="R27" i="1"/>
  <c r="R28" i="1" s="1"/>
  <c r="R29" i="1" s="1"/>
  <c r="Q27" i="1"/>
  <c r="Q28" i="1" s="1"/>
  <c r="Q29" i="1" s="1"/>
  <c r="R4" i="1"/>
  <c r="Q7" i="1"/>
  <c r="Q9" i="1"/>
  <c r="Q8" i="1"/>
  <c r="Q4" i="1"/>
  <c r="F37" i="2" l="1"/>
  <c r="X37" i="2" s="1"/>
  <c r="F16" i="2"/>
  <c r="F23" i="2"/>
  <c r="R23" i="2" s="1"/>
  <c r="F2" i="2"/>
  <c r="R2" i="2" s="1"/>
  <c r="Q30" i="1"/>
  <c r="G5" i="2" s="1"/>
  <c r="L19" i="2"/>
  <c r="X19" i="2"/>
  <c r="R19" i="2"/>
  <c r="L36" i="2"/>
  <c r="X36" i="2"/>
  <c r="R36" i="2"/>
  <c r="L37" i="2"/>
  <c r="R37" i="2"/>
  <c r="L23" i="2"/>
  <c r="X23" i="2"/>
  <c r="H19" i="2"/>
  <c r="H27" i="2"/>
  <c r="H8" i="2"/>
  <c r="H16" i="2"/>
  <c r="H40" i="2"/>
  <c r="H9" i="2"/>
  <c r="H33" i="2"/>
  <c r="H41" i="2"/>
  <c r="R30" i="1"/>
  <c r="H6" i="2" s="1"/>
  <c r="R6" i="2"/>
  <c r="L6" i="2"/>
  <c r="X6" i="2"/>
  <c r="R27" i="2"/>
  <c r="L27" i="2"/>
  <c r="X27" i="2"/>
  <c r="X34" i="2"/>
  <c r="R34" i="2"/>
  <c r="L34" i="2"/>
  <c r="L25" i="2"/>
  <c r="R25" i="2"/>
  <c r="X25" i="2"/>
  <c r="X20" i="2"/>
  <c r="R20" i="2"/>
  <c r="L20" i="2"/>
  <c r="X11" i="2"/>
  <c r="R11" i="2"/>
  <c r="L11" i="2"/>
  <c r="L21" i="2"/>
  <c r="R21" i="2"/>
  <c r="X21" i="2"/>
  <c r="X42" i="2"/>
  <c r="R42" i="2"/>
  <c r="L42" i="2"/>
  <c r="L33" i="2"/>
  <c r="R33" i="2"/>
  <c r="X33" i="2"/>
  <c r="R28" i="2"/>
  <c r="L28" i="2"/>
  <c r="X28" i="2"/>
  <c r="X13" i="2"/>
  <c r="R13" i="2"/>
  <c r="L13" i="2"/>
  <c r="E3" i="2"/>
  <c r="E7" i="2"/>
  <c r="E11" i="2"/>
  <c r="E15" i="2"/>
  <c r="E19" i="2"/>
  <c r="E23" i="2"/>
  <c r="E27" i="2"/>
  <c r="E31" i="2"/>
  <c r="E35" i="2"/>
  <c r="E39" i="2"/>
  <c r="E43" i="2"/>
  <c r="E4" i="2"/>
  <c r="E8" i="2"/>
  <c r="E12" i="2"/>
  <c r="E16" i="2"/>
  <c r="E20" i="2"/>
  <c r="E24" i="2"/>
  <c r="E28" i="2"/>
  <c r="E32" i="2"/>
  <c r="E36" i="2"/>
  <c r="E40" i="2"/>
  <c r="E2" i="2"/>
  <c r="E5" i="2"/>
  <c r="E9" i="2"/>
  <c r="E13" i="2"/>
  <c r="E17" i="2"/>
  <c r="E21" i="2"/>
  <c r="E25" i="2"/>
  <c r="E29" i="2"/>
  <c r="E33" i="2"/>
  <c r="E37" i="2"/>
  <c r="E41" i="2"/>
  <c r="E6" i="2"/>
  <c r="E10" i="2"/>
  <c r="E14" i="2"/>
  <c r="E18" i="2"/>
  <c r="E22" i="2"/>
  <c r="E26" i="2"/>
  <c r="E30" i="2"/>
  <c r="E34" i="2"/>
  <c r="E38" i="2"/>
  <c r="E42" i="2"/>
  <c r="L3" i="2"/>
  <c r="X3" i="2"/>
  <c r="R3" i="2"/>
  <c r="X18" i="2"/>
  <c r="R18" i="2"/>
  <c r="L18" i="2"/>
  <c r="X30" i="2"/>
  <c r="R30" i="2"/>
  <c r="L30" i="2"/>
  <c r="R26" i="2"/>
  <c r="L26" i="2"/>
  <c r="X26" i="2"/>
  <c r="X12" i="2"/>
  <c r="R12" i="2"/>
  <c r="L12" i="2"/>
  <c r="S30" i="1"/>
  <c r="I5" i="2" s="1"/>
  <c r="L40" i="2"/>
  <c r="X40" i="2"/>
  <c r="R40" i="2"/>
  <c r="L9" i="2"/>
  <c r="R9" i="2"/>
  <c r="X9" i="2"/>
  <c r="X4" i="2"/>
  <c r="R4" i="2"/>
  <c r="L4" i="2"/>
  <c r="L5" i="2"/>
  <c r="R5" i="2"/>
  <c r="X5" i="2"/>
  <c r="L17" i="2"/>
  <c r="R17" i="2"/>
  <c r="X17" i="2"/>
  <c r="L31" i="2"/>
  <c r="X31" i="2"/>
  <c r="R31" i="2"/>
  <c r="L29" i="2"/>
  <c r="R29" i="2"/>
  <c r="X29" i="2"/>
  <c r="R8" i="2"/>
  <c r="X8" i="2"/>
  <c r="L8" i="2"/>
  <c r="R43" i="2"/>
  <c r="L43" i="2"/>
  <c r="X43" i="2"/>
  <c r="L15" i="2"/>
  <c r="X15" i="2"/>
  <c r="R15" i="2"/>
  <c r="R14" i="2"/>
  <c r="L14" i="2"/>
  <c r="X14" i="2"/>
  <c r="R35" i="2"/>
  <c r="L35" i="2"/>
  <c r="X35" i="2"/>
  <c r="X32" i="2"/>
  <c r="R32" i="2"/>
  <c r="L32" i="2"/>
  <c r="R10" i="2"/>
  <c r="L10" i="2"/>
  <c r="X10" i="2"/>
  <c r="L39" i="2"/>
  <c r="X39" i="2"/>
  <c r="R39" i="2"/>
  <c r="X22" i="2"/>
  <c r="R22" i="2"/>
  <c r="L22" i="2"/>
  <c r="L38" i="2"/>
  <c r="X38" i="2"/>
  <c r="R38" i="2"/>
  <c r="X41" i="2"/>
  <c r="L41" i="2"/>
  <c r="R41" i="2"/>
  <c r="L7" i="2"/>
  <c r="X7" i="2"/>
  <c r="R7" i="2"/>
  <c r="X16" i="2"/>
  <c r="R16" i="2"/>
  <c r="L16" i="2"/>
  <c r="L24" i="2"/>
  <c r="X24" i="2"/>
  <c r="R24" i="2"/>
  <c r="D6" i="2"/>
  <c r="D10" i="2"/>
  <c r="D14" i="2"/>
  <c r="D22" i="2"/>
  <c r="D30" i="2"/>
  <c r="D34" i="2"/>
  <c r="D42" i="2"/>
  <c r="D3" i="2"/>
  <c r="D7" i="2"/>
  <c r="D11" i="2"/>
  <c r="D15" i="2"/>
  <c r="D19" i="2"/>
  <c r="D23" i="2"/>
  <c r="D27" i="2"/>
  <c r="D31" i="2"/>
  <c r="D35" i="2"/>
  <c r="D39" i="2"/>
  <c r="D43" i="2"/>
  <c r="D4" i="2"/>
  <c r="D8" i="2"/>
  <c r="D12" i="2"/>
  <c r="D16" i="2"/>
  <c r="D20" i="2"/>
  <c r="D24" i="2"/>
  <c r="D28" i="2"/>
  <c r="D32" i="2"/>
  <c r="D36" i="2"/>
  <c r="D40" i="2"/>
  <c r="D2" i="2"/>
  <c r="D5" i="2"/>
  <c r="D9" i="2"/>
  <c r="D13" i="2"/>
  <c r="D17" i="2"/>
  <c r="D21" i="2"/>
  <c r="D25" i="2"/>
  <c r="D29" i="2"/>
  <c r="D33" i="2"/>
  <c r="D37" i="2"/>
  <c r="D41" i="2"/>
  <c r="D26" i="2"/>
  <c r="D38" i="2"/>
  <c r="D18" i="2"/>
  <c r="X2" i="2" l="1"/>
  <c r="H25" i="2"/>
  <c r="H32" i="2"/>
  <c r="T32" i="2" s="1"/>
  <c r="H43" i="2"/>
  <c r="Z43" i="2" s="1"/>
  <c r="H11" i="2"/>
  <c r="L2" i="2"/>
  <c r="H17" i="2"/>
  <c r="T17" i="2" s="1"/>
  <c r="H24" i="2"/>
  <c r="Z24" i="2" s="1"/>
  <c r="H35" i="2"/>
  <c r="F50" i="2"/>
  <c r="Z6" i="2"/>
  <c r="N6" i="2"/>
  <c r="T6" i="2"/>
  <c r="O5" i="2"/>
  <c r="U5" i="2"/>
  <c r="AA5" i="2"/>
  <c r="M5" i="2"/>
  <c r="S5" i="2"/>
  <c r="Y5" i="2"/>
  <c r="F49" i="2"/>
  <c r="I36" i="2"/>
  <c r="I20" i="2"/>
  <c r="I4" i="2"/>
  <c r="I31" i="2"/>
  <c r="I15" i="2"/>
  <c r="I42" i="2"/>
  <c r="I26" i="2"/>
  <c r="I10" i="2"/>
  <c r="I33" i="2"/>
  <c r="I17" i="2"/>
  <c r="W38" i="2"/>
  <c r="Q38" i="2"/>
  <c r="K38" i="2"/>
  <c r="W22" i="2"/>
  <c r="Q22" i="2"/>
  <c r="K22" i="2"/>
  <c r="W6" i="2"/>
  <c r="Q6" i="2"/>
  <c r="K6" i="2"/>
  <c r="W29" i="2"/>
  <c r="Q29" i="2"/>
  <c r="K29" i="2"/>
  <c r="W13" i="2"/>
  <c r="Q13" i="2"/>
  <c r="K13" i="2"/>
  <c r="Q40" i="2"/>
  <c r="W40" i="2"/>
  <c r="K40" i="2"/>
  <c r="K24" i="2"/>
  <c r="Q24" i="2"/>
  <c r="W24" i="2"/>
  <c r="Q8" i="2"/>
  <c r="W8" i="2"/>
  <c r="K8" i="2"/>
  <c r="W35" i="2"/>
  <c r="Q35" i="2"/>
  <c r="K35" i="2"/>
  <c r="W19" i="2"/>
  <c r="Q19" i="2"/>
  <c r="K19" i="2"/>
  <c r="W3" i="2"/>
  <c r="Q3" i="2"/>
  <c r="K3" i="2"/>
  <c r="H37" i="2"/>
  <c r="H21" i="2"/>
  <c r="H5" i="2"/>
  <c r="H28" i="2"/>
  <c r="H12" i="2"/>
  <c r="H39" i="2"/>
  <c r="H23" i="2"/>
  <c r="H7" i="2"/>
  <c r="H34" i="2"/>
  <c r="H18" i="2"/>
  <c r="H2" i="2"/>
  <c r="G36" i="2"/>
  <c r="G20" i="2"/>
  <c r="G4" i="2"/>
  <c r="G31" i="2"/>
  <c r="G15" i="2"/>
  <c r="G42" i="2"/>
  <c r="G26" i="2"/>
  <c r="G10" i="2"/>
  <c r="G33" i="2"/>
  <c r="G17" i="2"/>
  <c r="I32" i="2"/>
  <c r="I16" i="2"/>
  <c r="I43" i="2"/>
  <c r="I27" i="2"/>
  <c r="I11" i="2"/>
  <c r="I38" i="2"/>
  <c r="I22" i="2"/>
  <c r="I6" i="2"/>
  <c r="I29" i="2"/>
  <c r="I13" i="2"/>
  <c r="W34" i="2"/>
  <c r="Q34" i="2"/>
  <c r="K34" i="2"/>
  <c r="W18" i="2"/>
  <c r="Q18" i="2"/>
  <c r="K18" i="2"/>
  <c r="W41" i="2"/>
  <c r="Q41" i="2"/>
  <c r="K41" i="2"/>
  <c r="W25" i="2"/>
  <c r="Q25" i="2"/>
  <c r="K25" i="2"/>
  <c r="W9" i="2"/>
  <c r="Q9" i="2"/>
  <c r="K9" i="2"/>
  <c r="Q36" i="2"/>
  <c r="K36" i="2"/>
  <c r="W36" i="2"/>
  <c r="Q20" i="2"/>
  <c r="W20" i="2"/>
  <c r="K20" i="2"/>
  <c r="Q4" i="2"/>
  <c r="K4" i="2"/>
  <c r="W4" i="2"/>
  <c r="W31" i="2"/>
  <c r="Q31" i="2"/>
  <c r="K31" i="2"/>
  <c r="W15" i="2"/>
  <c r="Q15" i="2"/>
  <c r="K15" i="2"/>
  <c r="Z33" i="2"/>
  <c r="T33" i="2"/>
  <c r="N33" i="2"/>
  <c r="Z17" i="2"/>
  <c r="Z40" i="2"/>
  <c r="T40" i="2"/>
  <c r="N40" i="2"/>
  <c r="Z8" i="2"/>
  <c r="T8" i="2"/>
  <c r="N8" i="2"/>
  <c r="N35" i="2"/>
  <c r="T35" i="2"/>
  <c r="Z35" i="2"/>
  <c r="T19" i="2"/>
  <c r="Z19" i="2"/>
  <c r="N19" i="2"/>
  <c r="H3" i="2"/>
  <c r="H30" i="2"/>
  <c r="H14" i="2"/>
  <c r="G32" i="2"/>
  <c r="G16" i="2"/>
  <c r="G43" i="2"/>
  <c r="G27" i="2"/>
  <c r="G11" i="2"/>
  <c r="G38" i="2"/>
  <c r="G22" i="2"/>
  <c r="G6" i="2"/>
  <c r="G29" i="2"/>
  <c r="G13" i="2"/>
  <c r="F48" i="2"/>
  <c r="I2" i="2"/>
  <c r="I28" i="2"/>
  <c r="I12" i="2"/>
  <c r="I39" i="2"/>
  <c r="I23" i="2"/>
  <c r="I7" i="2"/>
  <c r="I34" i="2"/>
  <c r="I18" i="2"/>
  <c r="I41" i="2"/>
  <c r="I25" i="2"/>
  <c r="I9" i="2"/>
  <c r="W30" i="2"/>
  <c r="Q30" i="2"/>
  <c r="K30" i="2"/>
  <c r="W14" i="2"/>
  <c r="K14" i="2"/>
  <c r="Q14" i="2"/>
  <c r="Q37" i="2"/>
  <c r="K37" i="2"/>
  <c r="W37" i="2"/>
  <c r="Q21" i="2"/>
  <c r="K21" i="2"/>
  <c r="W21" i="2"/>
  <c r="Q5" i="2"/>
  <c r="K5" i="2"/>
  <c r="W5" i="2"/>
  <c r="K32" i="2"/>
  <c r="Q32" i="2"/>
  <c r="W32" i="2"/>
  <c r="K16" i="2"/>
  <c r="Q16" i="2"/>
  <c r="W16" i="2"/>
  <c r="K43" i="2"/>
  <c r="W43" i="2"/>
  <c r="Q43" i="2"/>
  <c r="W27" i="2"/>
  <c r="K27" i="2"/>
  <c r="Q27" i="2"/>
  <c r="W11" i="2"/>
  <c r="K11" i="2"/>
  <c r="Q11" i="2"/>
  <c r="H29" i="2"/>
  <c r="H13" i="2"/>
  <c r="H36" i="2"/>
  <c r="H20" i="2"/>
  <c r="H4" i="2"/>
  <c r="H31" i="2"/>
  <c r="H15" i="2"/>
  <c r="H42" i="2"/>
  <c r="H26" i="2"/>
  <c r="H10" i="2"/>
  <c r="G2" i="2"/>
  <c r="G28" i="2"/>
  <c r="G12" i="2"/>
  <c r="G39" i="2"/>
  <c r="G23" i="2"/>
  <c r="G7" i="2"/>
  <c r="G34" i="2"/>
  <c r="G18" i="2"/>
  <c r="G41" i="2"/>
  <c r="G25" i="2"/>
  <c r="G9" i="2"/>
  <c r="I40" i="2"/>
  <c r="I24" i="2"/>
  <c r="I8" i="2"/>
  <c r="I35" i="2"/>
  <c r="I19" i="2"/>
  <c r="I3" i="2"/>
  <c r="I30" i="2"/>
  <c r="I14" i="2"/>
  <c r="I37" i="2"/>
  <c r="I21" i="2"/>
  <c r="W42" i="2"/>
  <c r="Q42" i="2"/>
  <c r="K42" i="2"/>
  <c r="W26" i="2"/>
  <c r="K26" i="2"/>
  <c r="Q26" i="2"/>
  <c r="W10" i="2"/>
  <c r="Q10" i="2"/>
  <c r="K10" i="2"/>
  <c r="K33" i="2"/>
  <c r="W33" i="2"/>
  <c r="Q33" i="2"/>
  <c r="K17" i="2"/>
  <c r="W17" i="2"/>
  <c r="Q17" i="2"/>
  <c r="K2" i="2"/>
  <c r="W2" i="2"/>
  <c r="Q2" i="2"/>
  <c r="Q28" i="2"/>
  <c r="K28" i="2"/>
  <c r="W28" i="2"/>
  <c r="Q12" i="2"/>
  <c r="K12" i="2"/>
  <c r="W12" i="2"/>
  <c r="W39" i="2"/>
  <c r="Q39" i="2"/>
  <c r="K39" i="2"/>
  <c r="W23" i="2"/>
  <c r="K23" i="2"/>
  <c r="Q23" i="2"/>
  <c r="W7" i="2"/>
  <c r="Q7" i="2"/>
  <c r="K7" i="2"/>
  <c r="Z41" i="2"/>
  <c r="T41" i="2"/>
  <c r="N41" i="2"/>
  <c r="Z25" i="2"/>
  <c r="T25" i="2"/>
  <c r="N25" i="2"/>
  <c r="Z9" i="2"/>
  <c r="T9" i="2"/>
  <c r="N9" i="2"/>
  <c r="Z32" i="2"/>
  <c r="Z16" i="2"/>
  <c r="T16" i="2"/>
  <c r="N16" i="2"/>
  <c r="Z27" i="2"/>
  <c r="N27" i="2"/>
  <c r="T27" i="2"/>
  <c r="T11" i="2"/>
  <c r="Z11" i="2"/>
  <c r="N11" i="2"/>
  <c r="H38" i="2"/>
  <c r="H22" i="2"/>
  <c r="G40" i="2"/>
  <c r="G24" i="2"/>
  <c r="G8" i="2"/>
  <c r="G35" i="2"/>
  <c r="G19" i="2"/>
  <c r="G3" i="2"/>
  <c r="G30" i="2"/>
  <c r="G14" i="2"/>
  <c r="G37" i="2"/>
  <c r="G21" i="2"/>
  <c r="J35" i="2"/>
  <c r="V35" i="2"/>
  <c r="P35" i="2"/>
  <c r="J20" i="2"/>
  <c r="P20" i="2"/>
  <c r="V20" i="2"/>
  <c r="J14" i="2"/>
  <c r="V14" i="2"/>
  <c r="P14" i="2"/>
  <c r="J26" i="2"/>
  <c r="V26" i="2"/>
  <c r="P26" i="2"/>
  <c r="J13" i="2"/>
  <c r="P13" i="2"/>
  <c r="V13" i="2"/>
  <c r="J24" i="2"/>
  <c r="P24" i="2"/>
  <c r="V24" i="2"/>
  <c r="J19" i="2"/>
  <c r="P19" i="2"/>
  <c r="V19" i="2"/>
  <c r="J22" i="2"/>
  <c r="V22" i="2"/>
  <c r="P22" i="2"/>
  <c r="J25" i="2"/>
  <c r="V25" i="2"/>
  <c r="P25" i="2"/>
  <c r="J36" i="2"/>
  <c r="P36" i="2"/>
  <c r="V36" i="2"/>
  <c r="J31" i="2"/>
  <c r="V31" i="2"/>
  <c r="P31" i="2"/>
  <c r="J42" i="2"/>
  <c r="V42" i="2"/>
  <c r="P42" i="2"/>
  <c r="J18" i="2"/>
  <c r="V18" i="2"/>
  <c r="P18" i="2"/>
  <c r="J37" i="2"/>
  <c r="V37" i="2"/>
  <c r="P37" i="2"/>
  <c r="J21" i="2"/>
  <c r="P21" i="2"/>
  <c r="V21" i="2"/>
  <c r="J5" i="2"/>
  <c r="P5" i="2"/>
  <c r="V5" i="2"/>
  <c r="J32" i="2"/>
  <c r="P32" i="2"/>
  <c r="V32" i="2"/>
  <c r="J16" i="2"/>
  <c r="P16" i="2"/>
  <c r="V16" i="2"/>
  <c r="J43" i="2"/>
  <c r="V43" i="2"/>
  <c r="P43" i="2"/>
  <c r="J27" i="2"/>
  <c r="P27" i="2"/>
  <c r="V27" i="2"/>
  <c r="J11" i="2"/>
  <c r="P11" i="2"/>
  <c r="V11" i="2"/>
  <c r="J34" i="2"/>
  <c r="V34" i="2"/>
  <c r="P34" i="2"/>
  <c r="J10" i="2"/>
  <c r="V10" i="2"/>
  <c r="P10" i="2"/>
  <c r="J29" i="2"/>
  <c r="V29" i="2"/>
  <c r="P29" i="2"/>
  <c r="J40" i="2"/>
  <c r="P40" i="2"/>
  <c r="V40" i="2"/>
  <c r="J8" i="2"/>
  <c r="P8" i="2"/>
  <c r="V8" i="2"/>
  <c r="J3" i="2"/>
  <c r="P3" i="2"/>
  <c r="V3" i="2"/>
  <c r="J41" i="2"/>
  <c r="P41" i="2"/>
  <c r="V41" i="2"/>
  <c r="J9" i="2"/>
  <c r="V9" i="2"/>
  <c r="P9" i="2"/>
  <c r="J4" i="2"/>
  <c r="P4" i="2"/>
  <c r="V4" i="2"/>
  <c r="J15" i="2"/>
  <c r="V15" i="2"/>
  <c r="P15" i="2"/>
  <c r="J38" i="2"/>
  <c r="V38" i="2"/>
  <c r="P38" i="2"/>
  <c r="J33" i="2"/>
  <c r="P33" i="2"/>
  <c r="V33" i="2"/>
  <c r="J17" i="2"/>
  <c r="V17" i="2"/>
  <c r="P17" i="2"/>
  <c r="J2" i="2"/>
  <c r="P2" i="2"/>
  <c r="V2" i="2"/>
  <c r="J28" i="2"/>
  <c r="P28" i="2"/>
  <c r="V28" i="2"/>
  <c r="J12" i="2"/>
  <c r="P12" i="2"/>
  <c r="V12" i="2"/>
  <c r="J39" i="2"/>
  <c r="P39" i="2"/>
  <c r="V39" i="2"/>
  <c r="J23" i="2"/>
  <c r="V23" i="2"/>
  <c r="P23" i="2"/>
  <c r="J7" i="2"/>
  <c r="V7" i="2"/>
  <c r="P7" i="2"/>
  <c r="J30" i="2"/>
  <c r="V30" i="2"/>
  <c r="P30" i="2"/>
  <c r="J6" i="2"/>
  <c r="V6" i="2"/>
  <c r="P6" i="2"/>
  <c r="T43" i="2" l="1"/>
  <c r="N32" i="2"/>
  <c r="N24" i="2"/>
  <c r="N17" i="2"/>
  <c r="T24" i="2"/>
  <c r="N43" i="2"/>
  <c r="Y14" i="2"/>
  <c r="S14" i="2"/>
  <c r="M14" i="2"/>
  <c r="Y35" i="2"/>
  <c r="M35" i="2"/>
  <c r="S35" i="2"/>
  <c r="N22" i="2"/>
  <c r="T22" i="2"/>
  <c r="Z22" i="2"/>
  <c r="O37" i="2"/>
  <c r="U37" i="2"/>
  <c r="AA37" i="2"/>
  <c r="U19" i="2"/>
  <c r="O19" i="2"/>
  <c r="AA19" i="2"/>
  <c r="U40" i="2"/>
  <c r="AA40" i="2"/>
  <c r="O40" i="2"/>
  <c r="Y18" i="2"/>
  <c r="M18" i="2"/>
  <c r="S18" i="2"/>
  <c r="Y39" i="2"/>
  <c r="S39" i="2"/>
  <c r="M39" i="2"/>
  <c r="T10" i="2"/>
  <c r="Z10" i="2"/>
  <c r="N10" i="2"/>
  <c r="T31" i="2"/>
  <c r="Z31" i="2"/>
  <c r="N31" i="2"/>
  <c r="Z13" i="2"/>
  <c r="N13" i="2"/>
  <c r="T13" i="2"/>
  <c r="U9" i="2"/>
  <c r="O9" i="2"/>
  <c r="AA9" i="2"/>
  <c r="AA34" i="2"/>
  <c r="U34" i="2"/>
  <c r="O34" i="2"/>
  <c r="U12" i="2"/>
  <c r="O12" i="2"/>
  <c r="AA12" i="2"/>
  <c r="M13" i="2"/>
  <c r="S13" i="2"/>
  <c r="Y13" i="2"/>
  <c r="Y38" i="2"/>
  <c r="S38" i="2"/>
  <c r="M38" i="2"/>
  <c r="Y16" i="2"/>
  <c r="S16" i="2"/>
  <c r="M16" i="2"/>
  <c r="N3" i="2"/>
  <c r="T3" i="2"/>
  <c r="Z3" i="2"/>
  <c r="O13" i="2"/>
  <c r="U13" i="2"/>
  <c r="AA13" i="2"/>
  <c r="O38" i="2"/>
  <c r="AA38" i="2"/>
  <c r="U38" i="2"/>
  <c r="U16" i="2"/>
  <c r="AA16" i="2"/>
  <c r="O16" i="2"/>
  <c r="S10" i="2"/>
  <c r="Y10" i="2"/>
  <c r="M10" i="2"/>
  <c r="Y31" i="2"/>
  <c r="M31" i="2"/>
  <c r="S31" i="2"/>
  <c r="Z2" i="2"/>
  <c r="T2" i="2"/>
  <c r="N2" i="2"/>
  <c r="Z23" i="2"/>
  <c r="T23" i="2"/>
  <c r="N23" i="2"/>
  <c r="Z5" i="2"/>
  <c r="T5" i="2"/>
  <c r="N5" i="2"/>
  <c r="U17" i="2"/>
  <c r="O17" i="2"/>
  <c r="AA17" i="2"/>
  <c r="AA42" i="2"/>
  <c r="U42" i="2"/>
  <c r="O42" i="2"/>
  <c r="U20" i="2"/>
  <c r="O20" i="2"/>
  <c r="AA20" i="2"/>
  <c r="S30" i="2"/>
  <c r="M30" i="2"/>
  <c r="Y30" i="2"/>
  <c r="Y8" i="2"/>
  <c r="M8" i="2"/>
  <c r="S8" i="2"/>
  <c r="Z38" i="2"/>
  <c r="N38" i="2"/>
  <c r="T38" i="2"/>
  <c r="E49" i="2"/>
  <c r="O14" i="2"/>
  <c r="AA14" i="2"/>
  <c r="U14" i="2"/>
  <c r="AA35" i="2"/>
  <c r="O35" i="2"/>
  <c r="U35" i="2"/>
  <c r="M9" i="2"/>
  <c r="S9" i="2"/>
  <c r="Y9" i="2"/>
  <c r="S34" i="2"/>
  <c r="Y34" i="2"/>
  <c r="M34" i="2"/>
  <c r="Y12" i="2"/>
  <c r="M12" i="2"/>
  <c r="S12" i="2"/>
  <c r="T26" i="2"/>
  <c r="Z26" i="2"/>
  <c r="N26" i="2"/>
  <c r="N4" i="2"/>
  <c r="Z4" i="2"/>
  <c r="T4" i="2"/>
  <c r="Z29" i="2"/>
  <c r="T29" i="2"/>
  <c r="N29" i="2"/>
  <c r="O25" i="2"/>
  <c r="U25" i="2"/>
  <c r="AA25" i="2"/>
  <c r="AA7" i="2"/>
  <c r="O7" i="2"/>
  <c r="U7" i="2"/>
  <c r="U28" i="2"/>
  <c r="O28" i="2"/>
  <c r="AA28" i="2"/>
  <c r="M29" i="2"/>
  <c r="S29" i="2"/>
  <c r="Y29" i="2"/>
  <c r="Y11" i="2"/>
  <c r="M11" i="2"/>
  <c r="S11" i="2"/>
  <c r="Y32" i="2"/>
  <c r="S32" i="2"/>
  <c r="M32" i="2"/>
  <c r="O29" i="2"/>
  <c r="U29" i="2"/>
  <c r="AA29" i="2"/>
  <c r="AA11" i="2"/>
  <c r="O11" i="2"/>
  <c r="U11" i="2"/>
  <c r="U32" i="2"/>
  <c r="AA32" i="2"/>
  <c r="O32" i="2"/>
  <c r="M26" i="2"/>
  <c r="S26" i="2"/>
  <c r="Y26" i="2"/>
  <c r="Y4" i="2"/>
  <c r="M4" i="2"/>
  <c r="S4" i="2"/>
  <c r="N18" i="2"/>
  <c r="T18" i="2"/>
  <c r="Z18" i="2"/>
  <c r="T39" i="2"/>
  <c r="N39" i="2"/>
  <c r="Z39" i="2"/>
  <c r="Z21" i="2"/>
  <c r="T21" i="2"/>
  <c r="N21" i="2"/>
  <c r="AA33" i="2"/>
  <c r="U33" i="2"/>
  <c r="O33" i="2"/>
  <c r="O15" i="2"/>
  <c r="U15" i="2"/>
  <c r="AA15" i="2"/>
  <c r="U36" i="2"/>
  <c r="O36" i="2"/>
  <c r="AA36" i="2"/>
  <c r="S21" i="2"/>
  <c r="Y21" i="2"/>
  <c r="M21" i="2"/>
  <c r="Y3" i="2"/>
  <c r="S3" i="2"/>
  <c r="M3" i="2"/>
  <c r="Y24" i="2"/>
  <c r="M24" i="2"/>
  <c r="S24" i="2"/>
  <c r="E50" i="2"/>
  <c r="O30" i="2"/>
  <c r="AA30" i="2"/>
  <c r="U30" i="2"/>
  <c r="U8" i="2"/>
  <c r="AA8" i="2"/>
  <c r="O8" i="2"/>
  <c r="Y25" i="2"/>
  <c r="S25" i="2"/>
  <c r="M25" i="2"/>
  <c r="Y7" i="2"/>
  <c r="S7" i="2"/>
  <c r="M7" i="2"/>
  <c r="Y28" i="2"/>
  <c r="M28" i="2"/>
  <c r="S28" i="2"/>
  <c r="T42" i="2"/>
  <c r="Z42" i="2"/>
  <c r="N42" i="2"/>
  <c r="Z20" i="2"/>
  <c r="N20" i="2"/>
  <c r="T20" i="2"/>
  <c r="AA41" i="2"/>
  <c r="U41" i="2"/>
  <c r="O41" i="2"/>
  <c r="O23" i="2"/>
  <c r="U23" i="2"/>
  <c r="AA23" i="2"/>
  <c r="U2" i="2"/>
  <c r="AA2" i="2"/>
  <c r="O2" i="2"/>
  <c r="Y6" i="2"/>
  <c r="M6" i="2"/>
  <c r="S6" i="2"/>
  <c r="M27" i="2"/>
  <c r="Y27" i="2"/>
  <c r="S27" i="2"/>
  <c r="N14" i="2"/>
  <c r="T14" i="2"/>
  <c r="Z14" i="2"/>
  <c r="O6" i="2"/>
  <c r="AA6" i="2"/>
  <c r="U6" i="2"/>
  <c r="U27" i="2"/>
  <c r="AA27" i="2"/>
  <c r="O27" i="2"/>
  <c r="S17" i="2"/>
  <c r="Y17" i="2"/>
  <c r="M17" i="2"/>
  <c r="Y42" i="2"/>
  <c r="S42" i="2"/>
  <c r="M42" i="2"/>
  <c r="Y20" i="2"/>
  <c r="M20" i="2"/>
  <c r="S20" i="2"/>
  <c r="T34" i="2"/>
  <c r="Z34" i="2"/>
  <c r="N34" i="2"/>
  <c r="Z12" i="2"/>
  <c r="T12" i="2"/>
  <c r="N12" i="2"/>
  <c r="Z37" i="2"/>
  <c r="N37" i="2"/>
  <c r="T37" i="2"/>
  <c r="AA10" i="2"/>
  <c r="U10" i="2"/>
  <c r="O10" i="2"/>
  <c r="U31" i="2"/>
  <c r="AA31" i="2"/>
  <c r="O31" i="2"/>
  <c r="M37" i="2"/>
  <c r="Y37" i="2"/>
  <c r="S37" i="2"/>
  <c r="M19" i="2"/>
  <c r="Y19" i="2"/>
  <c r="S19" i="2"/>
  <c r="Y40" i="2"/>
  <c r="M40" i="2"/>
  <c r="S40" i="2"/>
  <c r="O21" i="2"/>
  <c r="U21" i="2"/>
  <c r="AA21" i="2"/>
  <c r="AA3" i="2"/>
  <c r="U3" i="2"/>
  <c r="O3" i="2"/>
  <c r="U24" i="2"/>
  <c r="AA24" i="2"/>
  <c r="O24" i="2"/>
  <c r="M41" i="2"/>
  <c r="Y41" i="2"/>
  <c r="S41" i="2"/>
  <c r="Y23" i="2"/>
  <c r="S23" i="2"/>
  <c r="M23" i="2"/>
  <c r="M2" i="2"/>
  <c r="Y2" i="2"/>
  <c r="S2" i="2"/>
  <c r="Z15" i="2"/>
  <c r="N15" i="2"/>
  <c r="T15" i="2"/>
  <c r="N36" i="2"/>
  <c r="Z36" i="2"/>
  <c r="T36" i="2"/>
  <c r="AA18" i="2"/>
  <c r="U18" i="2"/>
  <c r="O18" i="2"/>
  <c r="AA39" i="2"/>
  <c r="O39" i="2"/>
  <c r="U39" i="2"/>
  <c r="S22" i="2"/>
  <c r="M22" i="2"/>
  <c r="Y22" i="2"/>
  <c r="M43" i="2"/>
  <c r="Y43" i="2"/>
  <c r="S43" i="2"/>
  <c r="T30" i="2"/>
  <c r="Z30" i="2"/>
  <c r="N30" i="2"/>
  <c r="O22" i="2"/>
  <c r="AA22" i="2"/>
  <c r="U22" i="2"/>
  <c r="AA43" i="2"/>
  <c r="O43" i="2"/>
  <c r="U43" i="2"/>
  <c r="Y33" i="2"/>
  <c r="S33" i="2"/>
  <c r="M33" i="2"/>
  <c r="Y15" i="2"/>
  <c r="S15" i="2"/>
  <c r="M15" i="2"/>
  <c r="Y36" i="2"/>
  <c r="M36" i="2"/>
  <c r="S36" i="2"/>
  <c r="T7" i="2"/>
  <c r="N7" i="2"/>
  <c r="Z7" i="2"/>
  <c r="N28" i="2"/>
  <c r="Z28" i="2"/>
  <c r="T28" i="2"/>
  <c r="E48" i="2"/>
  <c r="AA26" i="2"/>
  <c r="O26" i="2"/>
  <c r="U26" i="2"/>
  <c r="U4" i="2"/>
  <c r="O4" i="2"/>
  <c r="AA4" i="2"/>
  <c r="D49" i="2"/>
  <c r="D48" i="2"/>
  <c r="D50" i="2"/>
  <c r="I50" i="2" l="1"/>
  <c r="I48" i="2"/>
  <c r="G50" i="2"/>
  <c r="H48" i="2"/>
  <c r="H49" i="2"/>
  <c r="G49" i="2"/>
  <c r="G48" i="2"/>
  <c r="H50" i="2"/>
  <c r="I49" i="2"/>
</calcChain>
</file>

<file path=xl/sharedStrings.xml><?xml version="1.0" encoding="utf-8"?>
<sst xmlns="http://schemas.openxmlformats.org/spreadsheetml/2006/main" count="103" uniqueCount="78">
  <si>
    <t>année</t>
  </si>
  <si>
    <t>y</t>
  </si>
  <si>
    <t>Nous allons ajuster la série par les 6 modèles de croissance, par la suite nous allons calculer les critères de comparaison: MAPE,RMSE,MAE.</t>
  </si>
  <si>
    <t>1/y</t>
  </si>
  <si>
    <t>ln(y)</t>
  </si>
  <si>
    <t>t</t>
  </si>
  <si>
    <t>Moyenne</t>
  </si>
  <si>
    <t>Variance</t>
  </si>
  <si>
    <t>cov</t>
  </si>
  <si>
    <t>a0</t>
  </si>
  <si>
    <t>a1</t>
  </si>
  <si>
    <t>Expo-mod</t>
  </si>
  <si>
    <t>Gompertz</t>
  </si>
  <si>
    <t>Logistique</t>
  </si>
  <si>
    <t>Calcul des paramètres du modèle linéaire.</t>
  </si>
  <si>
    <t>t²</t>
  </si>
  <si>
    <t>a2</t>
  </si>
  <si>
    <t>e</t>
  </si>
  <si>
    <t xml:space="preserve">Regression lineaire a 2 variables: </t>
  </si>
  <si>
    <t>Calcul des paramètres du modèle exponentiel.</t>
  </si>
  <si>
    <t>ln(expo)=lineaire</t>
  </si>
  <si>
    <t>Dans regression lineaire simple pour la serie ln(y)</t>
  </si>
  <si>
    <t>alpha</t>
  </si>
  <si>
    <t>beta</t>
  </si>
  <si>
    <t>Mediane</t>
  </si>
  <si>
    <t>I</t>
  </si>
  <si>
    <t>II</t>
  </si>
  <si>
    <t>III</t>
  </si>
  <si>
    <t>∆</t>
  </si>
  <si>
    <t>ln(β)</t>
  </si>
  <si>
    <t>β</t>
  </si>
  <si>
    <t>α</t>
  </si>
  <si>
    <t>γ</t>
  </si>
  <si>
    <t>Expo-Mod</t>
  </si>
  <si>
    <t>Calcul des paramètres du modèle exponentiel modifie,</t>
  </si>
  <si>
    <t>Gompertz et logistique avec la methode des trois points:</t>
  </si>
  <si>
    <t>Tend Lin</t>
  </si>
  <si>
    <t>Ten qua</t>
  </si>
  <si>
    <t>Expo</t>
  </si>
  <si>
    <t>RMSE TL</t>
  </si>
  <si>
    <t>RMSE TQ</t>
  </si>
  <si>
    <t>RMSE E</t>
  </si>
  <si>
    <t>RMSE EM</t>
  </si>
  <si>
    <t>RMSE G</t>
  </si>
  <si>
    <t>RMSE L</t>
  </si>
  <si>
    <t>MAE TL</t>
  </si>
  <si>
    <t>MAE TQ</t>
  </si>
  <si>
    <t>MAE E</t>
  </si>
  <si>
    <t>MAE EM</t>
  </si>
  <si>
    <t>MAE G</t>
  </si>
  <si>
    <t>MAE L</t>
  </si>
  <si>
    <t>MAPE TL</t>
  </si>
  <si>
    <t>MAPE TQ</t>
  </si>
  <si>
    <t>MAPE E</t>
  </si>
  <si>
    <t>MAPE EM</t>
  </si>
  <si>
    <t>MAPE G</t>
  </si>
  <si>
    <t>MAPE L</t>
  </si>
  <si>
    <t>Expo mod</t>
  </si>
  <si>
    <t>Critere\Modele</t>
  </si>
  <si>
    <t>RMSE</t>
  </si>
  <si>
    <t>MAE</t>
  </si>
  <si>
    <t>MAPE</t>
  </si>
  <si>
    <t>Les critères de comparaison sont dans la feuille 2 de ce fichier. Et la démarche pour choisir un modèle de Gardner est effectuée sur la feuille 3.</t>
  </si>
  <si>
    <t>série 208 (y)</t>
  </si>
  <si>
    <t>Prévision</t>
  </si>
  <si>
    <t>série 208 (Xt) (y)</t>
  </si>
  <si>
    <t>(1-B)Xt</t>
  </si>
  <si>
    <t>(1-B)²Xt</t>
  </si>
  <si>
    <t>St</t>
  </si>
  <si>
    <t xml:space="preserve">Tt </t>
  </si>
  <si>
    <t>Ft</t>
  </si>
  <si>
    <t>delta</t>
  </si>
  <si>
    <t>phi</t>
  </si>
  <si>
    <t>On initialise les paramètres du modèle:</t>
  </si>
  <si>
    <t>Donc on choisit le modèle DA-N puisque (1-B)²Xt a la variance minimale.</t>
  </si>
  <si>
    <t>S1</t>
  </si>
  <si>
    <t>T1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</si>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</sst>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sz val="12"/>
      <name val="Times New Roman"/>
      <family val="1"/>
    </font>
    <font>
      <sz val="10"/>
      <color rgb="FFFF0000"/>
      <name val="Arial"/>
      <family val="2"/>
    </font>
    <font>
      <sz val="11"/>
      <color theme="4" tint="-0.249977111117893"/>
      <name val="Calibri"/>
      <family val="2"/>
      <scheme val="minor"/>
    </font>
    <font>
      <sz val="10"/>
      <color theme="4" tint="-0.249977111117893"/>
      <name val="Arial"/>
      <family val="2"/>
    </font>
    <font>
      <sz val="11"/>
      <name val="Calibri"/>
      <family val="2"/>
      <scheme val="minor"/>
    </font>
    <font>
      <b/>
      <i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2" borderId="0" xfId="0" applyFont="1" applyFill="1"/>
    <xf numFmtId="0" fontId="3" fillId="2" borderId="0" xfId="0" applyFont="1" applyFill="1"/>
    <xf numFmtId="0" fontId="5" fillId="2" borderId="0" xfId="0" applyFont="1" applyFill="1" applyAlignment="1">
      <alignment vertical="center"/>
    </xf>
    <xf numFmtId="0" fontId="0" fillId="2" borderId="0" xfId="0" applyFill="1"/>
    <xf numFmtId="0" fontId="5" fillId="2" borderId="0" xfId="0" applyFont="1" applyFill="1"/>
    <xf numFmtId="0" fontId="5" fillId="0" borderId="0" xfId="0" applyFont="1" applyFill="1" applyAlignment="1">
      <alignment vertical="center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4" fillId="0" borderId="0" xfId="0" applyFont="1"/>
    <xf numFmtId="0" fontId="10" fillId="0" borderId="0" xfId="1" applyFont="1"/>
    <xf numFmtId="0" fontId="11" fillId="0" borderId="0" xfId="0" applyFont="1"/>
    <xf numFmtId="0" fontId="12" fillId="0" borderId="0" xfId="1" applyFont="1"/>
    <xf numFmtId="0" fontId="13" fillId="0" borderId="0" xfId="0" applyFont="1"/>
    <xf numFmtId="0" fontId="5" fillId="3" borderId="0" xfId="0" applyFont="1" applyFill="1"/>
    <xf numFmtId="0" fontId="0" fillId="0" borderId="0" xfId="0" applyAlignment="1">
      <alignment horizontal="center" vertical="center"/>
    </xf>
    <xf numFmtId="0" fontId="5" fillId="4" borderId="0" xfId="0" applyFont="1" applyFill="1" applyAlignment="1">
      <alignment horizontal="left" vertical="center"/>
    </xf>
    <xf numFmtId="0" fontId="2" fillId="4" borderId="0" xfId="0" applyFont="1" applyFill="1"/>
    <xf numFmtId="0" fontId="5" fillId="4" borderId="0" xfId="0" applyFont="1" applyFill="1" applyAlignment="1">
      <alignment vertical="center"/>
    </xf>
    <xf numFmtId="0" fontId="0" fillId="4" borderId="0" xfId="0" applyFill="1"/>
    <xf numFmtId="0" fontId="13" fillId="5" borderId="0" xfId="0" applyFont="1" applyFill="1"/>
    <xf numFmtId="0" fontId="13" fillId="5" borderId="0" xfId="0" applyFont="1" applyFill="1" applyAlignment="1">
      <alignment horizontal="center"/>
    </xf>
    <xf numFmtId="0" fontId="3" fillId="0" borderId="0" xfId="0" applyFont="1" applyFill="1"/>
    <xf numFmtId="0" fontId="5" fillId="5" borderId="0" xfId="0" applyFont="1" applyFill="1"/>
    <xf numFmtId="0" fontId="5" fillId="5" borderId="0" xfId="0" applyFont="1" applyFill="1" applyAlignment="1">
      <alignment vertical="center"/>
    </xf>
    <xf numFmtId="0" fontId="14" fillId="5" borderId="0" xfId="1" applyFont="1" applyFill="1" applyAlignment="1">
      <alignment vertical="center"/>
    </xf>
    <xf numFmtId="0" fontId="0" fillId="6" borderId="0" xfId="0" applyFill="1"/>
    <xf numFmtId="0" fontId="7" fillId="6" borderId="0" xfId="0" applyFont="1" applyFill="1" applyAlignment="1">
      <alignment vertical="center"/>
    </xf>
    <xf numFmtId="0" fontId="7" fillId="6" borderId="0" xfId="0" applyFont="1" applyFill="1"/>
    <xf numFmtId="0" fontId="2" fillId="6" borderId="0" xfId="0" applyFont="1" applyFill="1"/>
    <xf numFmtId="0" fontId="0" fillId="0" borderId="0" xfId="0" applyAlignment="1">
      <alignment horizontal="right"/>
    </xf>
  </cellXfs>
  <cellStyles count="2">
    <cellStyle name="Normal" xfId="0" builtinId="0"/>
    <cellStyle name="Normal 2" xfId="1" xr:uid="{46F8B894-6611-4D8B-B64D-72C71E89B5DD}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F67418-F5D4-417D-AB3A-7ECBFCA7EA6F}" name="Table1" displayName="Table1" ref="C47:I50" totalsRowShown="0" dataDxfId="2">
  <autoFilter ref="C47:I50" xr:uid="{90363FB3-9D95-4DFC-B99A-895510FD2BEA}"/>
  <tableColumns count="7">
    <tableColumn id="1" xr3:uid="{2DDC51E1-F27C-40C6-A839-10A1FCC335E8}" name="Critere\Modele" dataDxfId="9"/>
    <tableColumn id="2" xr3:uid="{BE2F5B95-F5B0-493A-99DC-5444EB298CF4}" name="Tend Lin" dataDxfId="8"/>
    <tableColumn id="3" xr3:uid="{78774DBD-E88A-4001-999F-EF8054B99855}" name="Ten qua" dataDxfId="7"/>
    <tableColumn id="4" xr3:uid="{1988ED95-E010-4CFA-BC24-8923BEB63076}" name="Expo" dataDxfId="6"/>
    <tableColumn id="5" xr3:uid="{45AF6D27-F562-4D26-BBF1-20F27CCEA19C}" name="Expo mod" dataDxfId="5"/>
    <tableColumn id="6" xr3:uid="{381175A4-D6E2-41C1-BB48-929A1EFAC471}" name="Gompertz" dataDxfId="4"/>
    <tableColumn id="7" xr3:uid="{411FA479-E521-4EF7-B0AA-CB9E4D31DB63}" name="Logistique" dataDxfId="3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5"/>
  <sheetViews>
    <sheetView workbookViewId="0">
      <selection activeCell="G57" sqref="G57"/>
    </sheetView>
  </sheetViews>
  <sheetFormatPr defaultRowHeight="15" x14ac:dyDescent="0.25"/>
  <cols>
    <col min="3" max="3" width="12.7109375" customWidth="1"/>
    <col min="4" max="4" width="12.140625" customWidth="1"/>
    <col min="5" max="5" width="12.28515625" customWidth="1"/>
    <col min="6" max="6" width="12.7109375" customWidth="1"/>
    <col min="7" max="8" width="11.85546875" customWidth="1"/>
    <col min="9" max="9" width="9.7109375" customWidth="1"/>
    <col min="12" max="12" width="12.7109375" bestFit="1" customWidth="1"/>
    <col min="17" max="17" width="12.7109375" bestFit="1" customWidth="1"/>
    <col min="18" max="18" width="11.7109375" customWidth="1"/>
    <col min="19" max="19" width="11.140625" customWidth="1"/>
  </cols>
  <sheetData>
    <row r="1" spans="1:20" ht="19.5" customHeight="1" x14ac:dyDescent="0.25">
      <c r="A1" s="19" t="s">
        <v>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20" ht="21.75" customHeight="1" x14ac:dyDescent="0.25">
      <c r="A2" s="21" t="s">
        <v>62</v>
      </c>
      <c r="B2" s="21"/>
      <c r="C2" s="21"/>
      <c r="D2" s="21"/>
      <c r="E2" s="21"/>
      <c r="F2" s="21"/>
      <c r="G2" s="22"/>
      <c r="H2" s="22"/>
      <c r="I2" s="22"/>
      <c r="J2" s="22"/>
      <c r="K2" s="22"/>
      <c r="L2" s="22"/>
      <c r="M2" s="22"/>
      <c r="N2" s="22"/>
      <c r="P2" s="5" t="s">
        <v>14</v>
      </c>
      <c r="Q2" s="5"/>
      <c r="R2" s="5"/>
      <c r="S2" s="5"/>
      <c r="T2" s="5"/>
    </row>
    <row r="3" spans="1:20" x14ac:dyDescent="0.25">
      <c r="A3" t="s">
        <v>0</v>
      </c>
      <c r="B3" t="s">
        <v>5</v>
      </c>
      <c r="C3" t="s">
        <v>63</v>
      </c>
      <c r="D3" t="s">
        <v>4</v>
      </c>
      <c r="E3" t="s">
        <v>3</v>
      </c>
      <c r="G3" t="s">
        <v>17</v>
      </c>
      <c r="H3" t="s">
        <v>5</v>
      </c>
      <c r="I3" t="s">
        <v>15</v>
      </c>
      <c r="P3" t="s">
        <v>8</v>
      </c>
      <c r="Q3" t="s">
        <v>9</v>
      </c>
      <c r="R3" t="s">
        <v>10</v>
      </c>
    </row>
    <row r="4" spans="1:20" x14ac:dyDescent="0.25">
      <c r="A4">
        <v>1947</v>
      </c>
      <c r="B4" s="12">
        <v>1</v>
      </c>
      <c r="C4" s="13">
        <v>1491.5</v>
      </c>
      <c r="D4">
        <f>LN(C4)</f>
        <v>7.3075376039548035</v>
      </c>
      <c r="E4">
        <f>1/C4</f>
        <v>6.7046597385182706E-4</v>
      </c>
      <c r="G4">
        <v>1</v>
      </c>
      <c r="H4">
        <v>1</v>
      </c>
      <c r="I4">
        <f>B4*B4</f>
        <v>1</v>
      </c>
      <c r="P4">
        <f>_xlfn.COVARIANCE.P(B4:B45,C4:C45)</f>
        <v>15156.738095238095</v>
      </c>
      <c r="Q4">
        <f>C46-R4*B46</f>
        <v>1908.893147502903</v>
      </c>
      <c r="R4">
        <f>P4/B47</f>
        <v>103.16554574183617</v>
      </c>
    </row>
    <row r="5" spans="1:20" ht="15.75" x14ac:dyDescent="0.25">
      <c r="A5">
        <v>1948</v>
      </c>
      <c r="B5" s="12">
        <f>B4+1</f>
        <v>2</v>
      </c>
      <c r="C5" s="13">
        <v>1703</v>
      </c>
      <c r="D5">
        <f t="shared" ref="D5:D45" si="0">LN(C5)</f>
        <v>7.4401466806626884</v>
      </c>
      <c r="E5">
        <f t="shared" ref="E5:E45" si="1">1/C5</f>
        <v>5.8719906048150322E-4</v>
      </c>
      <c r="G5">
        <v>1</v>
      </c>
      <c r="H5">
        <f>H4+1</f>
        <v>2</v>
      </c>
      <c r="I5">
        <f>B5*B5</f>
        <v>4</v>
      </c>
      <c r="Q5" s="8"/>
      <c r="R5" s="8"/>
      <c r="S5" s="8"/>
      <c r="T5" s="8"/>
    </row>
    <row r="6" spans="1:20" ht="15.75" x14ac:dyDescent="0.25">
      <c r="A6">
        <v>1949</v>
      </c>
      <c r="B6" s="12">
        <f t="shared" ref="B6:B45" si="2">B5+1</f>
        <v>3</v>
      </c>
      <c r="C6" s="13">
        <v>1646.5</v>
      </c>
      <c r="D6">
        <f t="shared" si="0"/>
        <v>7.406407101816419</v>
      </c>
      <c r="E6">
        <f t="shared" si="1"/>
        <v>6.0734892195566357E-4</v>
      </c>
      <c r="G6">
        <v>1</v>
      </c>
      <c r="H6">
        <f t="shared" ref="H6:H45" si="3">H5+1</f>
        <v>3</v>
      </c>
      <c r="I6">
        <f>B6*B6</f>
        <v>9</v>
      </c>
      <c r="P6" s="7" t="s">
        <v>18</v>
      </c>
      <c r="Q6" s="7"/>
      <c r="R6" s="7"/>
    </row>
    <row r="7" spans="1:20" x14ac:dyDescent="0.25">
      <c r="A7">
        <v>1950</v>
      </c>
      <c r="B7" s="12">
        <f t="shared" si="2"/>
        <v>4</v>
      </c>
      <c r="C7" s="13">
        <v>1974.5</v>
      </c>
      <c r="D7">
        <f t="shared" si="0"/>
        <v>7.5880704807267039</v>
      </c>
      <c r="E7">
        <f t="shared" si="1"/>
        <v>5.0645733096986575E-4</v>
      </c>
      <c r="G7">
        <v>1</v>
      </c>
      <c r="H7">
        <f t="shared" si="3"/>
        <v>4</v>
      </c>
      <c r="I7">
        <f>B7*B7</f>
        <v>16</v>
      </c>
      <c r="P7" t="s">
        <v>9</v>
      </c>
      <c r="Q7">
        <f t="array" ref="Q7:Q9">MMULT(MMULT(MINVERSE(MMULT(TRANSPOSE(G4:I45),G4:I45)),TRANSPOSE(G4:I45)),C4:C45)</f>
        <v>1090.2630662020729</v>
      </c>
    </row>
    <row r="8" spans="1:20" x14ac:dyDescent="0.25">
      <c r="A8">
        <v>1951</v>
      </c>
      <c r="B8" s="12">
        <f t="shared" si="2"/>
        <v>5</v>
      </c>
      <c r="C8" s="13">
        <v>2236.5</v>
      </c>
      <c r="D8">
        <f t="shared" si="0"/>
        <v>7.7126674228729026</v>
      </c>
      <c r="E8">
        <f t="shared" si="1"/>
        <v>4.47127207690588E-4</v>
      </c>
      <c r="G8">
        <v>1</v>
      </c>
      <c r="H8">
        <f t="shared" si="3"/>
        <v>5</v>
      </c>
      <c r="I8">
        <f>B8*B8</f>
        <v>25</v>
      </c>
      <c r="P8" t="s">
        <v>10</v>
      </c>
      <c r="Q8">
        <v>214.79692046467608</v>
      </c>
    </row>
    <row r="9" spans="1:20" x14ac:dyDescent="0.25">
      <c r="A9">
        <v>1952</v>
      </c>
      <c r="B9" s="12">
        <f t="shared" si="2"/>
        <v>6</v>
      </c>
      <c r="C9" s="13">
        <v>2396.5</v>
      </c>
      <c r="D9">
        <f t="shared" si="0"/>
        <v>7.781764618599686</v>
      </c>
      <c r="E9">
        <f t="shared" si="1"/>
        <v>4.1727519298977677E-4</v>
      </c>
      <c r="G9">
        <v>1</v>
      </c>
      <c r="H9">
        <f t="shared" si="3"/>
        <v>6</v>
      </c>
      <c r="I9">
        <f>B9*B9</f>
        <v>36</v>
      </c>
      <c r="P9" t="s">
        <v>16</v>
      </c>
      <c r="Q9">
        <v>-2.5960784819264902</v>
      </c>
    </row>
    <row r="10" spans="1:20" x14ac:dyDescent="0.25">
      <c r="A10">
        <v>1953</v>
      </c>
      <c r="B10" s="12">
        <f t="shared" si="2"/>
        <v>7</v>
      </c>
      <c r="C10" s="13">
        <v>2440.5</v>
      </c>
      <c r="D10">
        <f t="shared" si="0"/>
        <v>7.7999582153272025</v>
      </c>
      <c r="E10">
        <f t="shared" si="1"/>
        <v>4.097520999795124E-4</v>
      </c>
      <c r="G10">
        <v>1</v>
      </c>
      <c r="H10">
        <f t="shared" si="3"/>
        <v>7</v>
      </c>
      <c r="I10">
        <f>B10*B10</f>
        <v>49</v>
      </c>
    </row>
    <row r="11" spans="1:20" ht="15.75" x14ac:dyDescent="0.25">
      <c r="A11">
        <v>1954</v>
      </c>
      <c r="B11" s="12">
        <f t="shared" si="2"/>
        <v>8</v>
      </c>
      <c r="C11" s="13">
        <v>2631.5</v>
      </c>
      <c r="D11">
        <f t="shared" si="0"/>
        <v>7.8753093047938334</v>
      </c>
      <c r="E11">
        <f t="shared" si="1"/>
        <v>3.8001140034201028E-4</v>
      </c>
      <c r="G11">
        <v>1</v>
      </c>
      <c r="H11">
        <f t="shared" si="3"/>
        <v>8</v>
      </c>
      <c r="I11">
        <f t="shared" ref="I11:I45" si="4">B11*B11</f>
        <v>64</v>
      </c>
      <c r="P11" s="5" t="s">
        <v>19</v>
      </c>
      <c r="Q11" s="6"/>
      <c r="R11" s="6"/>
      <c r="S11" s="6"/>
      <c r="T11" s="6"/>
    </row>
    <row r="12" spans="1:20" ht="15.75" x14ac:dyDescent="0.25">
      <c r="A12">
        <v>1955</v>
      </c>
      <c r="B12" s="12">
        <f t="shared" si="2"/>
        <v>9</v>
      </c>
      <c r="C12" s="13">
        <v>2905.5</v>
      </c>
      <c r="D12">
        <f t="shared" si="0"/>
        <v>7.9743607715151601</v>
      </c>
      <c r="E12">
        <f t="shared" si="1"/>
        <v>3.4417484081913615E-4</v>
      </c>
      <c r="G12">
        <v>1</v>
      </c>
      <c r="H12">
        <f t="shared" si="3"/>
        <v>9</v>
      </c>
      <c r="I12">
        <f t="shared" si="4"/>
        <v>81</v>
      </c>
      <c r="P12" s="7" t="s">
        <v>20</v>
      </c>
      <c r="Q12" s="7"/>
      <c r="R12" s="9"/>
      <c r="S12" s="9"/>
      <c r="T12" s="9"/>
    </row>
    <row r="13" spans="1:20" ht="15.75" x14ac:dyDescent="0.25">
      <c r="A13">
        <v>1956</v>
      </c>
      <c r="B13" s="12">
        <f t="shared" si="2"/>
        <v>10</v>
      </c>
      <c r="C13" s="13">
        <v>3079.5</v>
      </c>
      <c r="D13">
        <f t="shared" si="0"/>
        <v>8.0325225251270975</v>
      </c>
      <c r="E13">
        <f t="shared" si="1"/>
        <v>3.2472804026627701E-4</v>
      </c>
      <c r="G13">
        <v>1</v>
      </c>
      <c r="H13">
        <f t="shared" si="3"/>
        <v>10</v>
      </c>
      <c r="I13">
        <f t="shared" si="4"/>
        <v>100</v>
      </c>
      <c r="P13" s="7" t="s">
        <v>21</v>
      </c>
      <c r="Q13" s="7"/>
      <c r="R13" s="7"/>
      <c r="S13" s="7"/>
      <c r="T13" s="7"/>
    </row>
    <row r="14" spans="1:20" x14ac:dyDescent="0.25">
      <c r="A14">
        <v>1957</v>
      </c>
      <c r="B14" s="12">
        <f t="shared" si="2"/>
        <v>11</v>
      </c>
      <c r="C14" s="13">
        <v>3080.5</v>
      </c>
      <c r="D14">
        <f t="shared" si="0"/>
        <v>8.0328472004546256</v>
      </c>
      <c r="E14">
        <f t="shared" si="1"/>
        <v>3.2462262619704593E-4</v>
      </c>
      <c r="G14">
        <v>1</v>
      </c>
      <c r="H14">
        <f t="shared" si="3"/>
        <v>11</v>
      </c>
      <c r="I14">
        <f t="shared" si="4"/>
        <v>121</v>
      </c>
      <c r="P14" t="s">
        <v>8</v>
      </c>
      <c r="Q14" t="s">
        <v>22</v>
      </c>
      <c r="R14" t="s">
        <v>23</v>
      </c>
    </row>
    <row r="15" spans="1:20" x14ac:dyDescent="0.25">
      <c r="A15">
        <v>1958</v>
      </c>
      <c r="B15" s="12">
        <f t="shared" si="2"/>
        <v>12</v>
      </c>
      <c r="C15" s="13">
        <v>3267</v>
      </c>
      <c r="D15">
        <f t="shared" si="0"/>
        <v>8.0916274116010705</v>
      </c>
      <c r="E15">
        <f t="shared" si="1"/>
        <v>3.0609121518212427E-4</v>
      </c>
      <c r="G15">
        <v>1</v>
      </c>
      <c r="H15">
        <f t="shared" si="3"/>
        <v>12</v>
      </c>
      <c r="I15">
        <f t="shared" si="4"/>
        <v>144</v>
      </c>
      <c r="P15">
        <f>_xlfn.COVARIANCE.P(B4:B45,D4:D45)</f>
        <v>4.2343734618646591</v>
      </c>
      <c r="Q15">
        <f>D46-R15*B46</f>
        <v>7.6407508791769319</v>
      </c>
      <c r="R15">
        <f>P15/B47</f>
        <v>2.8821600421086734E-2</v>
      </c>
    </row>
    <row r="16" spans="1:20" x14ac:dyDescent="0.25">
      <c r="A16">
        <v>1959</v>
      </c>
      <c r="B16" s="12">
        <f t="shared" si="2"/>
        <v>13</v>
      </c>
      <c r="C16" s="13">
        <v>3300</v>
      </c>
      <c r="D16">
        <f t="shared" si="0"/>
        <v>8.1016777474545716</v>
      </c>
      <c r="E16">
        <f t="shared" si="1"/>
        <v>3.0303030303030303E-4</v>
      </c>
      <c r="G16">
        <v>1</v>
      </c>
      <c r="H16">
        <f t="shared" si="3"/>
        <v>13</v>
      </c>
      <c r="I16">
        <f t="shared" si="4"/>
        <v>169</v>
      </c>
    </row>
    <row r="17" spans="1:21" ht="15.75" x14ac:dyDescent="0.25">
      <c r="A17">
        <v>1960</v>
      </c>
      <c r="B17" s="12">
        <f t="shared" si="2"/>
        <v>14</v>
      </c>
      <c r="C17" s="13">
        <v>3426.5</v>
      </c>
      <c r="D17">
        <f t="shared" si="0"/>
        <v>8.1392946110258784</v>
      </c>
      <c r="E17">
        <f t="shared" si="1"/>
        <v>2.9184298847220193E-4</v>
      </c>
      <c r="G17">
        <v>1</v>
      </c>
      <c r="H17">
        <f t="shared" si="3"/>
        <v>14</v>
      </c>
      <c r="I17">
        <f t="shared" si="4"/>
        <v>196</v>
      </c>
      <c r="P17" s="5" t="s">
        <v>34</v>
      </c>
      <c r="Q17" s="7"/>
      <c r="R17" s="7"/>
      <c r="S17" s="7"/>
      <c r="T17" s="7"/>
      <c r="U17" s="7"/>
    </row>
    <row r="18" spans="1:21" ht="15.75" x14ac:dyDescent="0.25">
      <c r="A18">
        <v>1961</v>
      </c>
      <c r="B18" s="14">
        <f t="shared" si="2"/>
        <v>15</v>
      </c>
      <c r="C18" s="15">
        <v>3472</v>
      </c>
      <c r="D18">
        <f t="shared" si="0"/>
        <v>8.1524860757802404</v>
      </c>
      <c r="E18">
        <f t="shared" si="1"/>
        <v>2.880184331797235E-4</v>
      </c>
      <c r="G18">
        <v>1</v>
      </c>
      <c r="H18">
        <f t="shared" si="3"/>
        <v>15</v>
      </c>
      <c r="I18">
        <f t="shared" si="4"/>
        <v>225</v>
      </c>
      <c r="P18" s="7" t="s">
        <v>35</v>
      </c>
      <c r="Q18" s="7"/>
      <c r="R18" s="7"/>
      <c r="S18" s="7"/>
      <c r="T18" s="7"/>
      <c r="U18" s="7"/>
    </row>
    <row r="19" spans="1:21" x14ac:dyDescent="0.25">
      <c r="A19">
        <v>1962</v>
      </c>
      <c r="B19" s="14">
        <f t="shared" si="2"/>
        <v>16</v>
      </c>
      <c r="C19" s="15">
        <v>3662</v>
      </c>
      <c r="D19">
        <f t="shared" si="0"/>
        <v>8.2057647252344559</v>
      </c>
      <c r="E19">
        <f t="shared" si="1"/>
        <v>2.7307482250136535E-4</v>
      </c>
      <c r="G19">
        <v>1</v>
      </c>
      <c r="H19">
        <f t="shared" si="3"/>
        <v>16</v>
      </c>
      <c r="I19">
        <f t="shared" si="4"/>
        <v>256</v>
      </c>
    </row>
    <row r="20" spans="1:21" ht="15.75" x14ac:dyDescent="0.25">
      <c r="A20">
        <v>1963</v>
      </c>
      <c r="B20" s="14">
        <f t="shared" si="2"/>
        <v>17</v>
      </c>
      <c r="C20" s="15">
        <v>3736.5</v>
      </c>
      <c r="D20">
        <f t="shared" si="0"/>
        <v>8.2259046233703454</v>
      </c>
      <c r="E20">
        <f t="shared" si="1"/>
        <v>2.6763013515321824E-4</v>
      </c>
      <c r="G20">
        <v>1</v>
      </c>
      <c r="H20">
        <f t="shared" si="3"/>
        <v>17</v>
      </c>
      <c r="I20">
        <f t="shared" si="4"/>
        <v>289</v>
      </c>
      <c r="Q20" s="17" t="s">
        <v>33</v>
      </c>
      <c r="R20" s="17" t="s">
        <v>12</v>
      </c>
      <c r="S20" s="17" t="s">
        <v>13</v>
      </c>
    </row>
    <row r="21" spans="1:21" x14ac:dyDescent="0.25">
      <c r="A21">
        <v>1964</v>
      </c>
      <c r="B21" s="14">
        <f t="shared" si="2"/>
        <v>18</v>
      </c>
      <c r="C21" s="15">
        <v>3752</v>
      </c>
      <c r="D21">
        <f t="shared" si="0"/>
        <v>8.2300443101261145</v>
      </c>
      <c r="E21">
        <f t="shared" si="1"/>
        <v>2.6652452025586353E-4</v>
      </c>
      <c r="G21">
        <v>1</v>
      </c>
      <c r="H21">
        <f t="shared" si="3"/>
        <v>18</v>
      </c>
      <c r="I21">
        <f t="shared" si="4"/>
        <v>324</v>
      </c>
      <c r="O21" t="s">
        <v>5</v>
      </c>
      <c r="P21" s="10" t="s">
        <v>24</v>
      </c>
      <c r="Q21" t="s">
        <v>1</v>
      </c>
      <c r="R21" t="s">
        <v>4</v>
      </c>
      <c r="S21" t="s">
        <v>3</v>
      </c>
    </row>
    <row r="22" spans="1:21" x14ac:dyDescent="0.25">
      <c r="A22">
        <v>1965</v>
      </c>
      <c r="B22" s="14">
        <f t="shared" si="2"/>
        <v>19</v>
      </c>
      <c r="C22" s="15">
        <v>3879</v>
      </c>
      <c r="D22">
        <f t="shared" si="0"/>
        <v>8.2633326674399665</v>
      </c>
      <c r="E22">
        <f t="shared" si="1"/>
        <v>2.5779840164990978E-4</v>
      </c>
      <c r="G22">
        <v>1</v>
      </c>
      <c r="H22">
        <f t="shared" si="3"/>
        <v>19</v>
      </c>
      <c r="I22">
        <f t="shared" si="4"/>
        <v>361</v>
      </c>
      <c r="O22">
        <f>MEDIAN(B4:B17)</f>
        <v>7.5</v>
      </c>
      <c r="P22" t="s">
        <v>25</v>
      </c>
      <c r="Q22">
        <f>MEDIAN(C4:C17)</f>
        <v>2536</v>
      </c>
      <c r="R22">
        <f>MEDIAN(D4:D17)</f>
        <v>7.8376337600605179</v>
      </c>
      <c r="S22">
        <f>MEDIAN(E4:E17)</f>
        <v>3.9488175016076134E-4</v>
      </c>
    </row>
    <row r="23" spans="1:21" x14ac:dyDescent="0.25">
      <c r="A23">
        <v>1966</v>
      </c>
      <c r="B23" s="14">
        <f t="shared" si="2"/>
        <v>20</v>
      </c>
      <c r="C23" s="15">
        <v>3987</v>
      </c>
      <c r="D23">
        <f t="shared" si="0"/>
        <v>8.2907943473813557</v>
      </c>
      <c r="E23">
        <f t="shared" si="1"/>
        <v>2.5081514923501377E-4</v>
      </c>
      <c r="G23">
        <v>1</v>
      </c>
      <c r="H23">
        <f t="shared" si="3"/>
        <v>20</v>
      </c>
      <c r="I23">
        <f t="shared" si="4"/>
        <v>400</v>
      </c>
      <c r="O23">
        <f>MEDIAN(B18:B31)</f>
        <v>21.5</v>
      </c>
      <c r="P23" t="s">
        <v>26</v>
      </c>
      <c r="Q23">
        <f>MEDIAN(C18:C31)</f>
        <v>4231.75</v>
      </c>
      <c r="R23">
        <f>MEDIAN(D18:D31)</f>
        <v>8.3498174624110781</v>
      </c>
      <c r="S23">
        <f>MEDIAN(E18:E31)</f>
        <v>2.3657056398047898E-4</v>
      </c>
    </row>
    <row r="24" spans="1:21" x14ac:dyDescent="0.25">
      <c r="A24">
        <v>1967</v>
      </c>
      <c r="B24" s="14">
        <f t="shared" si="2"/>
        <v>21</v>
      </c>
      <c r="C24" s="15">
        <v>4091</v>
      </c>
      <c r="D24">
        <f t="shared" si="0"/>
        <v>8.3165447179293981</v>
      </c>
      <c r="E24">
        <f t="shared" si="1"/>
        <v>2.4443901246638962E-4</v>
      </c>
      <c r="G24">
        <v>1</v>
      </c>
      <c r="H24">
        <f t="shared" si="3"/>
        <v>21</v>
      </c>
      <c r="I24">
        <f t="shared" si="4"/>
        <v>441</v>
      </c>
      <c r="O24">
        <f>MEDIAN(B32:B45)</f>
        <v>35.5</v>
      </c>
      <c r="P24" t="s">
        <v>27</v>
      </c>
      <c r="Q24">
        <f>MEDIAN(C32:C45)</f>
        <v>5281.75</v>
      </c>
      <c r="R24">
        <f>MEDIAN(D32:D45)</f>
        <v>8.5719885542610577</v>
      </c>
      <c r="S24">
        <f>MEDIAN(E32:E45)</f>
        <v>1.8934035405131629E-4</v>
      </c>
    </row>
    <row r="25" spans="1:21" x14ac:dyDescent="0.25">
      <c r="A25">
        <v>1968</v>
      </c>
      <c r="B25" s="14">
        <f t="shared" si="2"/>
        <v>22</v>
      </c>
      <c r="C25" s="15">
        <v>4372.5</v>
      </c>
      <c r="D25">
        <f t="shared" si="0"/>
        <v>8.3830902068927564</v>
      </c>
      <c r="E25">
        <f t="shared" si="1"/>
        <v>2.2870211549456832E-4</v>
      </c>
      <c r="G25">
        <v>1</v>
      </c>
      <c r="H25">
        <f t="shared" si="3"/>
        <v>22</v>
      </c>
      <c r="I25">
        <f t="shared" si="4"/>
        <v>484</v>
      </c>
    </row>
    <row r="26" spans="1:21" ht="15.75" x14ac:dyDescent="0.25">
      <c r="A26">
        <v>1969</v>
      </c>
      <c r="B26" s="14">
        <f t="shared" si="2"/>
        <v>23</v>
      </c>
      <c r="C26" s="15">
        <v>4501.5</v>
      </c>
      <c r="D26">
        <f t="shared" si="0"/>
        <v>8.4121659535485307</v>
      </c>
      <c r="E26">
        <f t="shared" si="1"/>
        <v>2.2214817283127845E-4</v>
      </c>
      <c r="G26">
        <v>1</v>
      </c>
      <c r="H26">
        <f t="shared" si="3"/>
        <v>23</v>
      </c>
      <c r="I26">
        <f t="shared" si="4"/>
        <v>529</v>
      </c>
      <c r="O26">
        <f>O24-O23</f>
        <v>14</v>
      </c>
      <c r="P26" s="11" t="s">
        <v>28</v>
      </c>
    </row>
    <row r="27" spans="1:21" x14ac:dyDescent="0.25">
      <c r="A27">
        <v>1970</v>
      </c>
      <c r="B27" s="14">
        <f t="shared" si="2"/>
        <v>24</v>
      </c>
      <c r="C27" s="15">
        <v>4636</v>
      </c>
      <c r="D27">
        <f t="shared" si="0"/>
        <v>8.4416072044596415</v>
      </c>
      <c r="E27">
        <f t="shared" si="1"/>
        <v>2.1570319240724764E-4</v>
      </c>
      <c r="G27">
        <v>1</v>
      </c>
      <c r="H27">
        <f t="shared" si="3"/>
        <v>24</v>
      </c>
      <c r="I27">
        <f t="shared" si="4"/>
        <v>576</v>
      </c>
      <c r="P27" t="s">
        <v>29</v>
      </c>
      <c r="Q27">
        <f>(1/$O$26)*LN((Q24-Q23)/(Q23-Q22))</f>
        <v>-3.4238211191044268E-2</v>
      </c>
      <c r="R27">
        <f>(1/$O$26)*LN((R24-R23)/(R23-R22))</f>
        <v>-5.9659684663223141E-2</v>
      </c>
      <c r="S27">
        <f>(1/$O$26)*LN((S24-S23)/(S23-S22))</f>
        <v>-8.6394921435854019E-2</v>
      </c>
    </row>
    <row r="28" spans="1:21" ht="15.75" x14ac:dyDescent="0.25">
      <c r="A28">
        <v>1971</v>
      </c>
      <c r="B28" s="14">
        <f t="shared" si="2"/>
        <v>25</v>
      </c>
      <c r="C28" s="15">
        <v>4856.5</v>
      </c>
      <c r="D28">
        <f t="shared" si="0"/>
        <v>8.488073292842385</v>
      </c>
      <c r="E28">
        <f t="shared" si="1"/>
        <v>2.0590960568310512E-4</v>
      </c>
      <c r="G28">
        <v>1</v>
      </c>
      <c r="H28">
        <f t="shared" si="3"/>
        <v>25</v>
      </c>
      <c r="I28">
        <f t="shared" si="4"/>
        <v>625</v>
      </c>
      <c r="P28" s="11" t="s">
        <v>30</v>
      </c>
      <c r="Q28">
        <f>EXP(Q27)</f>
        <v>0.96634128390982299</v>
      </c>
      <c r="R28">
        <f t="shared" ref="R28:S28" si="5">EXP(R27)</f>
        <v>0.94208508503985455</v>
      </c>
      <c r="S28">
        <f t="shared" si="5"/>
        <v>0.91723192513475471</v>
      </c>
    </row>
    <row r="29" spans="1:21" ht="15.75" x14ac:dyDescent="0.25">
      <c r="A29">
        <v>1972</v>
      </c>
      <c r="B29" s="14">
        <f t="shared" si="2"/>
        <v>26</v>
      </c>
      <c r="C29" s="15">
        <v>5330.5</v>
      </c>
      <c r="D29">
        <f t="shared" si="0"/>
        <v>8.5812003213905292</v>
      </c>
      <c r="E29">
        <f t="shared" si="1"/>
        <v>1.8759966232060783E-4</v>
      </c>
      <c r="G29">
        <v>1</v>
      </c>
      <c r="H29">
        <f t="shared" si="3"/>
        <v>26</v>
      </c>
      <c r="I29">
        <f t="shared" si="4"/>
        <v>676</v>
      </c>
      <c r="P29" s="11" t="s">
        <v>31</v>
      </c>
      <c r="Q29">
        <f>(Q24-Q23)/(Q28^$O$24-Q28^$O$23)</f>
        <v>-5756.7879559410148</v>
      </c>
      <c r="R29">
        <f>(R24-R23)/(R28^$O$24-R28^$O$23)</f>
        <v>-1.4150072548095829</v>
      </c>
      <c r="S29">
        <f>(S24-S23)/(S28^$O$24-S28^$O$23)</f>
        <v>4.3131027094855549E-4</v>
      </c>
    </row>
    <row r="30" spans="1:21" ht="15.75" x14ac:dyDescent="0.25">
      <c r="A30">
        <v>1973</v>
      </c>
      <c r="B30" s="14">
        <f t="shared" si="2"/>
        <v>27</v>
      </c>
      <c r="C30" s="15">
        <v>5643.5</v>
      </c>
      <c r="D30">
        <f t="shared" si="0"/>
        <v>8.6382597193956805</v>
      </c>
      <c r="E30">
        <f t="shared" si="1"/>
        <v>1.7719500310091257E-4</v>
      </c>
      <c r="G30">
        <v>1</v>
      </c>
      <c r="H30">
        <f t="shared" si="3"/>
        <v>27</v>
      </c>
      <c r="I30">
        <f t="shared" si="4"/>
        <v>729</v>
      </c>
      <c r="P30" s="11" t="s">
        <v>32</v>
      </c>
      <c r="Q30">
        <f>Q22-Q29*Q28^$O$22</f>
        <v>6989.0670731707305</v>
      </c>
      <c r="R30">
        <f>R22-R29*R28^$O$22</f>
        <v>8.7421880292722083</v>
      </c>
      <c r="S30">
        <f>S22-S29*S28^$O$22</f>
        <v>1.6925867305393394E-4</v>
      </c>
    </row>
    <row r="31" spans="1:21" x14ac:dyDescent="0.25">
      <c r="A31">
        <v>1974</v>
      </c>
      <c r="B31" s="14">
        <f t="shared" si="2"/>
        <v>28</v>
      </c>
      <c r="C31" s="15">
        <v>5379.5</v>
      </c>
      <c r="D31">
        <f t="shared" si="0"/>
        <v>8.5903507120339633</v>
      </c>
      <c r="E31">
        <f t="shared" si="1"/>
        <v>1.8589088205223534E-4</v>
      </c>
      <c r="G31">
        <v>1</v>
      </c>
      <c r="H31">
        <f t="shared" si="3"/>
        <v>28</v>
      </c>
      <c r="I31">
        <f t="shared" si="4"/>
        <v>784</v>
      </c>
    </row>
    <row r="32" spans="1:21" x14ac:dyDescent="0.25">
      <c r="A32">
        <v>1975</v>
      </c>
      <c r="B32" s="16">
        <f t="shared" si="2"/>
        <v>29</v>
      </c>
      <c r="C32" s="1">
        <v>5203</v>
      </c>
      <c r="D32">
        <f t="shared" si="0"/>
        <v>8.5569906612903033</v>
      </c>
      <c r="E32">
        <f t="shared" si="1"/>
        <v>1.9219680953296174E-4</v>
      </c>
      <c r="G32">
        <v>1</v>
      </c>
      <c r="H32">
        <f t="shared" si="3"/>
        <v>29</v>
      </c>
      <c r="I32">
        <f t="shared" si="4"/>
        <v>841</v>
      </c>
    </row>
    <row r="33" spans="1:9" x14ac:dyDescent="0.25">
      <c r="A33">
        <v>1976</v>
      </c>
      <c r="B33" s="16">
        <f t="shared" si="2"/>
        <v>30</v>
      </c>
      <c r="C33" s="1">
        <v>5733.5</v>
      </c>
      <c r="D33">
        <f t="shared" si="0"/>
        <v>8.6540814434783595</v>
      </c>
      <c r="E33">
        <f t="shared" si="1"/>
        <v>1.7441353449027645E-4</v>
      </c>
      <c r="G33">
        <v>1</v>
      </c>
      <c r="H33">
        <f t="shared" si="3"/>
        <v>30</v>
      </c>
      <c r="I33">
        <f t="shared" si="4"/>
        <v>900</v>
      </c>
    </row>
    <row r="34" spans="1:9" x14ac:dyDescent="0.25">
      <c r="A34">
        <v>1977</v>
      </c>
      <c r="B34" s="16">
        <f t="shared" si="2"/>
        <v>31</v>
      </c>
      <c r="C34" s="1">
        <v>6116.5</v>
      </c>
      <c r="D34">
        <f t="shared" si="0"/>
        <v>8.7187453164869719</v>
      </c>
      <c r="E34">
        <f t="shared" si="1"/>
        <v>1.6349219324777241E-4</v>
      </c>
      <c r="G34">
        <v>1</v>
      </c>
      <c r="H34">
        <f t="shared" si="3"/>
        <v>31</v>
      </c>
      <c r="I34">
        <f t="shared" si="4"/>
        <v>961</v>
      </c>
    </row>
    <row r="35" spans="1:9" x14ac:dyDescent="0.25">
      <c r="A35">
        <v>1978</v>
      </c>
      <c r="B35" s="16">
        <f t="shared" si="2"/>
        <v>32</v>
      </c>
      <c r="C35" s="1">
        <v>6263</v>
      </c>
      <c r="D35">
        <f t="shared" si="0"/>
        <v>8.7424145825254129</v>
      </c>
      <c r="E35">
        <f t="shared" si="1"/>
        <v>1.596678907871627E-4</v>
      </c>
      <c r="G35">
        <v>1</v>
      </c>
      <c r="H35">
        <f t="shared" si="3"/>
        <v>32</v>
      </c>
      <c r="I35">
        <f t="shared" si="4"/>
        <v>1024</v>
      </c>
    </row>
    <row r="36" spans="1:9" x14ac:dyDescent="0.25">
      <c r="A36">
        <v>1979</v>
      </c>
      <c r="B36" s="16">
        <f t="shared" si="2"/>
        <v>33</v>
      </c>
      <c r="C36" s="1">
        <v>6042.5</v>
      </c>
      <c r="D36">
        <f t="shared" si="0"/>
        <v>8.7065731125776384</v>
      </c>
      <c r="E36">
        <f t="shared" si="1"/>
        <v>1.6549441456350849E-4</v>
      </c>
      <c r="G36">
        <v>1</v>
      </c>
      <c r="H36">
        <f t="shared" si="3"/>
        <v>33</v>
      </c>
      <c r="I36">
        <f t="shared" si="4"/>
        <v>1089</v>
      </c>
    </row>
    <row r="37" spans="1:9" x14ac:dyDescent="0.25">
      <c r="A37">
        <v>1980</v>
      </c>
      <c r="B37" s="16">
        <f t="shared" si="2"/>
        <v>34</v>
      </c>
      <c r="C37" s="1">
        <v>5245</v>
      </c>
      <c r="D37">
        <f t="shared" si="0"/>
        <v>8.5650305208303976</v>
      </c>
      <c r="E37">
        <f t="shared" si="1"/>
        <v>1.9065776930409913E-4</v>
      </c>
      <c r="G37">
        <v>1</v>
      </c>
      <c r="H37">
        <f t="shared" si="3"/>
        <v>34</v>
      </c>
      <c r="I37">
        <f t="shared" si="4"/>
        <v>1156</v>
      </c>
    </row>
    <row r="38" spans="1:9" x14ac:dyDescent="0.25">
      <c r="A38">
        <v>1981</v>
      </c>
      <c r="B38" s="16">
        <f t="shared" si="2"/>
        <v>35</v>
      </c>
      <c r="C38" s="1">
        <v>5162.5</v>
      </c>
      <c r="D38">
        <f t="shared" si="0"/>
        <v>8.5491762372692879</v>
      </c>
      <c r="E38">
        <f t="shared" si="1"/>
        <v>1.9370460048426149E-4</v>
      </c>
      <c r="G38">
        <v>1</v>
      </c>
      <c r="H38">
        <f t="shared" si="3"/>
        <v>35</v>
      </c>
      <c r="I38">
        <f t="shared" si="4"/>
        <v>1225</v>
      </c>
    </row>
    <row r="39" spans="1:9" x14ac:dyDescent="0.25">
      <c r="A39">
        <v>1982</v>
      </c>
      <c r="B39" s="16">
        <f t="shared" si="2"/>
        <v>36</v>
      </c>
      <c r="C39" s="1">
        <v>4874.5</v>
      </c>
      <c r="D39">
        <f t="shared" si="0"/>
        <v>8.4917728140693267</v>
      </c>
      <c r="E39">
        <f t="shared" si="1"/>
        <v>2.0514924607652066E-4</v>
      </c>
      <c r="G39">
        <v>1</v>
      </c>
      <c r="H39">
        <f t="shared" si="3"/>
        <v>36</v>
      </c>
      <c r="I39">
        <f t="shared" si="4"/>
        <v>1296</v>
      </c>
    </row>
    <row r="40" spans="1:9" x14ac:dyDescent="0.25">
      <c r="A40">
        <v>1983</v>
      </c>
      <c r="B40" s="16">
        <f t="shared" si="2"/>
        <v>37</v>
      </c>
      <c r="C40" s="1">
        <v>4909.5</v>
      </c>
      <c r="D40">
        <f t="shared" si="0"/>
        <v>8.4989273826093452</v>
      </c>
      <c r="E40">
        <f t="shared" si="1"/>
        <v>2.0368672980955292E-4</v>
      </c>
      <c r="G40">
        <v>1</v>
      </c>
      <c r="H40">
        <f t="shared" si="3"/>
        <v>37</v>
      </c>
      <c r="I40">
        <f t="shared" si="4"/>
        <v>1369</v>
      </c>
    </row>
    <row r="41" spans="1:9" x14ac:dyDescent="0.25">
      <c r="A41">
        <v>1984</v>
      </c>
      <c r="B41" s="16">
        <f t="shared" si="2"/>
        <v>38</v>
      </c>
      <c r="C41" s="1">
        <v>5206</v>
      </c>
      <c r="D41">
        <f t="shared" si="0"/>
        <v>8.5575670855545098</v>
      </c>
      <c r="E41">
        <f t="shared" si="1"/>
        <v>1.920860545524395E-4</v>
      </c>
      <c r="G41">
        <v>1</v>
      </c>
      <c r="H41">
        <f t="shared" si="3"/>
        <v>38</v>
      </c>
      <c r="I41">
        <f t="shared" si="4"/>
        <v>1444</v>
      </c>
    </row>
    <row r="42" spans="1:9" x14ac:dyDescent="0.25">
      <c r="A42">
        <v>1985</v>
      </c>
      <c r="B42" s="16">
        <f t="shared" si="2"/>
        <v>39</v>
      </c>
      <c r="C42" s="1">
        <v>5234</v>
      </c>
      <c r="D42">
        <f t="shared" si="0"/>
        <v>8.562931083090092</v>
      </c>
      <c r="E42">
        <f t="shared" si="1"/>
        <v>1.9105846388995032E-4</v>
      </c>
      <c r="G42">
        <v>1</v>
      </c>
      <c r="H42">
        <f t="shared" si="3"/>
        <v>39</v>
      </c>
      <c r="I42">
        <f t="shared" si="4"/>
        <v>1521</v>
      </c>
    </row>
    <row r="43" spans="1:9" x14ac:dyDescent="0.25">
      <c r="A43">
        <v>1986</v>
      </c>
      <c r="B43" s="16">
        <f t="shared" si="2"/>
        <v>40</v>
      </c>
      <c r="C43" s="1">
        <v>5318.5</v>
      </c>
      <c r="D43">
        <f t="shared" si="0"/>
        <v>8.5789465876917195</v>
      </c>
      <c r="E43">
        <f t="shared" si="1"/>
        <v>1.8802293879853342E-4</v>
      </c>
      <c r="G43">
        <v>1</v>
      </c>
      <c r="H43">
        <f t="shared" si="3"/>
        <v>40</v>
      </c>
      <c r="I43">
        <f t="shared" si="4"/>
        <v>1600</v>
      </c>
    </row>
    <row r="44" spans="1:9" x14ac:dyDescent="0.25">
      <c r="A44">
        <v>1987</v>
      </c>
      <c r="B44" s="16">
        <f t="shared" si="2"/>
        <v>41</v>
      </c>
      <c r="C44" s="1">
        <v>5432</v>
      </c>
      <c r="D44">
        <f t="shared" si="0"/>
        <v>8.6000626692385325</v>
      </c>
      <c r="E44">
        <f t="shared" si="1"/>
        <v>1.8409425625920471E-4</v>
      </c>
      <c r="G44">
        <v>1</v>
      </c>
      <c r="H44">
        <f t="shared" si="3"/>
        <v>41</v>
      </c>
      <c r="I44">
        <f t="shared" si="4"/>
        <v>1681</v>
      </c>
    </row>
    <row r="45" spans="1:9" x14ac:dyDescent="0.25">
      <c r="A45">
        <v>1988</v>
      </c>
      <c r="B45" s="16">
        <f t="shared" si="2"/>
        <v>42</v>
      </c>
      <c r="C45" s="1">
        <v>5712.5</v>
      </c>
      <c r="D45">
        <f t="shared" si="0"/>
        <v>8.6504120352024607</v>
      </c>
      <c r="E45">
        <f t="shared" si="1"/>
        <v>1.75054704595186E-4</v>
      </c>
      <c r="G45">
        <v>1</v>
      </c>
      <c r="H45">
        <f t="shared" si="3"/>
        <v>42</v>
      </c>
      <c r="I45">
        <f t="shared" si="4"/>
        <v>1764</v>
      </c>
    </row>
    <row r="46" spans="1:9" x14ac:dyDescent="0.25">
      <c r="A46" s="3" t="s">
        <v>6</v>
      </c>
      <c r="B46" s="3">
        <f>AVERAGE(B4:B45)</f>
        <v>21.5</v>
      </c>
      <c r="C46" s="3">
        <f>AVERAGE(C4:C45)</f>
        <v>4126.9523809523807</v>
      </c>
      <c r="D46" s="3">
        <f>AVERAGE(D4:D45)</f>
        <v>8.2604152882302966</v>
      </c>
      <c r="E46" s="3"/>
    </row>
    <row r="47" spans="1:9" x14ac:dyDescent="0.25">
      <c r="A47" s="4" t="s">
        <v>7</v>
      </c>
      <c r="B47" s="4">
        <f>_xlfn.VAR.P(B4:B45)</f>
        <v>146.91666666666666</v>
      </c>
    </row>
    <row r="48" spans="1:9" x14ac:dyDescent="0.25">
      <c r="A48" s="25"/>
      <c r="B48" s="25"/>
    </row>
    <row r="49" spans="1:3" x14ac:dyDescent="0.25">
      <c r="A49" s="23"/>
      <c r="B49" s="24" t="s">
        <v>64</v>
      </c>
      <c r="C49" s="23"/>
    </row>
    <row r="50" spans="1:3" x14ac:dyDescent="0.25">
      <c r="A50" t="s">
        <v>0</v>
      </c>
      <c r="B50" t="s">
        <v>5</v>
      </c>
      <c r="C50" t="s">
        <v>1</v>
      </c>
    </row>
    <row r="51" spans="1:3" x14ac:dyDescent="0.25">
      <c r="A51">
        <v>1989</v>
      </c>
      <c r="B51">
        <f>B45+1</f>
        <v>43</v>
      </c>
      <c r="C51" s="1">
        <v>5761</v>
      </c>
    </row>
    <row r="52" spans="1:3" x14ac:dyDescent="0.25">
      <c r="A52">
        <v>1990</v>
      </c>
      <c r="B52">
        <f>B51+1</f>
        <v>44</v>
      </c>
      <c r="C52" s="1">
        <v>5512.5</v>
      </c>
    </row>
    <row r="53" spans="1:3" x14ac:dyDescent="0.25">
      <c r="A53">
        <v>1991</v>
      </c>
      <c r="B53">
        <f>B52+1</f>
        <v>45</v>
      </c>
      <c r="C53" s="1">
        <v>5330.5</v>
      </c>
    </row>
    <row r="54" spans="1:3" x14ac:dyDescent="0.25">
      <c r="A54">
        <v>1992</v>
      </c>
      <c r="B54">
        <f>B53+1</f>
        <v>46</v>
      </c>
      <c r="C54" s="1">
        <v>5451.5</v>
      </c>
    </row>
    <row r="55" spans="1:3" x14ac:dyDescent="0.25">
      <c r="A55">
        <v>1993</v>
      </c>
      <c r="B55">
        <f>B54+1</f>
        <v>47</v>
      </c>
      <c r="C55" s="1">
        <v>5637</v>
      </c>
    </row>
  </sheetData>
  <conditionalFormatting sqref="C3:E3 A1:E1 I3 A3 G3">
    <cfRule type="duplicateValues" dxfId="1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DB300-B4F9-4BE5-8E78-207255564831}">
  <dimension ref="A1:AA50"/>
  <sheetViews>
    <sheetView workbookViewId="0">
      <selection activeCell="K52" sqref="K52"/>
    </sheetView>
  </sheetViews>
  <sheetFormatPr defaultRowHeight="15" x14ac:dyDescent="0.25"/>
  <cols>
    <col min="3" max="3" width="18.85546875" customWidth="1"/>
    <col min="4" max="4" width="14.140625" customWidth="1"/>
    <col min="5" max="5" width="12.42578125" customWidth="1"/>
    <col min="6" max="6" width="11.5703125" customWidth="1"/>
    <col min="7" max="7" width="12.7109375" customWidth="1"/>
    <col min="8" max="9" width="12.42578125" customWidth="1"/>
  </cols>
  <sheetData>
    <row r="1" spans="1:27" x14ac:dyDescent="0.25">
      <c r="A1" t="s">
        <v>0</v>
      </c>
      <c r="B1" t="s">
        <v>5</v>
      </c>
      <c r="C1" s="2" t="s">
        <v>1</v>
      </c>
      <c r="D1" t="s">
        <v>36</v>
      </c>
      <c r="E1" t="s">
        <v>37</v>
      </c>
      <c r="F1" t="s">
        <v>38</v>
      </c>
      <c r="G1" t="s">
        <v>11</v>
      </c>
      <c r="H1" t="s">
        <v>12</v>
      </c>
      <c r="I1" t="s">
        <v>13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</row>
    <row r="2" spans="1:27" x14ac:dyDescent="0.25">
      <c r="A2">
        <v>1947</v>
      </c>
      <c r="B2" s="12">
        <v>1</v>
      </c>
      <c r="C2" s="13">
        <v>1491.5</v>
      </c>
      <c r="D2">
        <f>Sheet1!$Q$4+B2*Sheet1!$R$4</f>
        <v>2012.0586932447393</v>
      </c>
      <c r="E2">
        <f>Sheet1!$Q$7+Sheet2!B2*Sheet1!$Q$8+Sheet1!$Q$9*Sheet2!B2*Sheet2!B2</f>
        <v>1302.4639081848225</v>
      </c>
      <c r="F2">
        <f>EXP(Sheet1!$Q$15+Sheet1!$R$15*B2)</f>
        <v>2142.1654300283572</v>
      </c>
      <c r="G2">
        <f>Sheet1!$Q$29*Sheet1!$Q$28^Sheet2!B2+Sheet1!$Q$30</f>
        <v>1426.0452086300847</v>
      </c>
      <c r="H2">
        <f>EXP(Sheet1!$R$29*Sheet1!$R$28^Sheet2!B2+Sheet1!$R$30)</f>
        <v>1650.9906807467669</v>
      </c>
      <c r="I2">
        <f>1/(Sheet1!$S$29*Sheet1!$S$28^Sheet2!B2+Sheet1!$S$30)</f>
        <v>1770.3181348868552</v>
      </c>
      <c r="J2">
        <f>(C2-D2)^2</f>
        <v>270981.35311267059</v>
      </c>
      <c r="K2">
        <f>(C2-E2)^2</f>
        <v>35734.644008756237</v>
      </c>
      <c r="L2">
        <f>(C2-F2)^2</f>
        <v>423365.50183398696</v>
      </c>
      <c r="M2">
        <f>(C2-G2)^2</f>
        <v>4284.3297132791331</v>
      </c>
      <c r="N2">
        <f>(C2-H2)^2</f>
        <v>25437.277245067118</v>
      </c>
      <c r="O2">
        <f>(C2-I2)^2</f>
        <v>77739.552341784583</v>
      </c>
      <c r="P2">
        <f>ABS(C2-D2)</f>
        <v>520.55869324473929</v>
      </c>
      <c r="Q2">
        <f>ABS(C2-E2)</f>
        <v>189.03609181517754</v>
      </c>
      <c r="R2">
        <f>ABS(C2-F2)</f>
        <v>650.66543002835715</v>
      </c>
      <c r="S2">
        <f>ABS(C2-G2)</f>
        <v>65.454791369915256</v>
      </c>
      <c r="T2">
        <f>ABS(C2-H2)</f>
        <v>159.49068074676688</v>
      </c>
      <c r="U2">
        <f>ABS(C2-I2)</f>
        <v>278.8181348868552</v>
      </c>
      <c r="V2">
        <f>100*ABS(C2-D2)/C2</f>
        <v>34.901689121336858</v>
      </c>
      <c r="W2">
        <f>100*ABS(C2-E2)/C2</f>
        <v>12.674226739200639</v>
      </c>
      <c r="X2">
        <f>100*ABS(C2-F2)/C2</f>
        <v>43.624903119568032</v>
      </c>
      <c r="Y2">
        <f>100*ABS(C2-G2)/C2</f>
        <v>4.3885210439098392</v>
      </c>
      <c r="Z2">
        <f>100*ABS(C2-H2)/C2</f>
        <v>10.693307458717189</v>
      </c>
      <c r="AA2">
        <f>100*ABS(C2-I2)/C2</f>
        <v>18.693807233446542</v>
      </c>
    </row>
    <row r="3" spans="1:27" x14ac:dyDescent="0.25">
      <c r="A3">
        <v>1948</v>
      </c>
      <c r="B3" s="12">
        <f>B2+1</f>
        <v>2</v>
      </c>
      <c r="C3" s="13">
        <v>1703</v>
      </c>
      <c r="D3">
        <f>Sheet1!$Q$4+B3*Sheet1!$R$4</f>
        <v>2115.2242389865755</v>
      </c>
      <c r="E3">
        <f>Sheet1!$Q$7+Sheet2!B3*Sheet1!$Q$8+Sheet1!$Q$9*Sheet2!B3*Sheet2!B3</f>
        <v>1509.472593203719</v>
      </c>
      <c r="F3">
        <f>EXP(Sheet1!$Q$15+Sheet1!$R$15*B3)</f>
        <v>2204.8044078400503</v>
      </c>
      <c r="G3">
        <f>Sheet1!$Q$29*Sheet1!$Q$28^Sheet2!B3+Sheet1!$Q$30</f>
        <v>1613.2893821721054</v>
      </c>
      <c r="H3">
        <f>EXP(Sheet1!$R$29*Sheet1!$R$28^Sheet2!B3+Sheet1!$R$30)</f>
        <v>1783.5030151969638</v>
      </c>
      <c r="I3">
        <f>1/(Sheet1!$S$29*Sheet1!$S$28^Sheet2!B3+Sheet1!$S$30)</f>
        <v>1879.2533959377972</v>
      </c>
      <c r="J3">
        <f t="shared" ref="J3:J43" si="0">(C3-D3)^2</f>
        <v>169928.82320806134</v>
      </c>
      <c r="K3">
        <f t="shared" ref="K3:K43" si="1">(C3-E3)^2</f>
        <v>37452.857181293213</v>
      </c>
      <c r="L3">
        <f t="shared" ref="L3:L43" si="2">(C3-F3)^2</f>
        <v>251807.66372770356</v>
      </c>
      <c r="M3">
        <f t="shared" ref="M3:M43" si="3">(C3-G3)^2</f>
        <v>8047.9949510625547</v>
      </c>
      <c r="N3">
        <f t="shared" ref="N3:N43" si="4">(C3-H3)^2</f>
        <v>6480.7354558025872</v>
      </c>
      <c r="O3">
        <f t="shared" ref="O3:O43" si="5">(C3-I3)^2</f>
        <v>31065.259579605914</v>
      </c>
      <c r="P3">
        <f t="shared" ref="P3:P43" si="6">ABS(C3-D3)</f>
        <v>412.22423898657553</v>
      </c>
      <c r="Q3">
        <f t="shared" ref="Q3:Q43" si="7">ABS(C3-E3)</f>
        <v>193.52740679628096</v>
      </c>
      <c r="R3">
        <f t="shared" ref="R3:R43" si="8">ABS(C3-F3)</f>
        <v>501.80440784005032</v>
      </c>
      <c r="S3">
        <f t="shared" ref="S3:S43" si="9">ABS(C3-G3)</f>
        <v>89.710617827894566</v>
      </c>
      <c r="T3">
        <f t="shared" ref="T3:T43" si="10">ABS(C3-H3)</f>
        <v>80.503015196963815</v>
      </c>
      <c r="U3">
        <f t="shared" ref="U3:U43" si="11">ABS(C3-I3)</f>
        <v>176.25339593779722</v>
      </c>
      <c r="V3">
        <f t="shared" ref="V3:V43" si="12">100*ABS(C3-D3)/C3</f>
        <v>24.205768584061978</v>
      </c>
      <c r="W3">
        <f t="shared" ref="W3:W43" si="13">100*ABS(C3-E3)/C3</f>
        <v>11.363911144819786</v>
      </c>
      <c r="X3">
        <f t="shared" ref="X3:X45" si="14">100*ABS(C3-F3)/C3</f>
        <v>29.465907682915464</v>
      </c>
      <c r="Y3">
        <f t="shared" ref="Y3:Y43" si="15">100*ABS(C3-G3)/C3</f>
        <v>5.2677990503754879</v>
      </c>
      <c r="Z3">
        <f t="shared" ref="Z3:Z43" si="16">100*ABS(C3-H3)/C3</f>
        <v>4.7271294889585329</v>
      </c>
      <c r="AA3">
        <f t="shared" ref="AA3:AA43" si="17">100*ABS(C3-I3)/C3</f>
        <v>10.349582850134892</v>
      </c>
    </row>
    <row r="4" spans="1:27" x14ac:dyDescent="0.25">
      <c r="A4">
        <v>1949</v>
      </c>
      <c r="B4" s="12">
        <f t="shared" ref="B4:B43" si="18">B3+1</f>
        <v>3</v>
      </c>
      <c r="C4" s="13">
        <v>1646.5</v>
      </c>
      <c r="D4">
        <f>Sheet1!$Q$4+B4*Sheet1!$R$4</f>
        <v>2218.3897847284115</v>
      </c>
      <c r="E4">
        <f>Sheet1!$Q$7+Sheet2!B4*Sheet1!$Q$8+Sheet1!$Q$9*Sheet2!B4*Sheet2!B4</f>
        <v>1711.2891212587626</v>
      </c>
      <c r="F4">
        <f>EXP(Sheet1!$Q$15+Sheet1!$R$15*B4)</f>
        <v>2269.2750096179852</v>
      </c>
      <c r="G4">
        <f>Sheet1!$Q$29*Sheet1!$Q$28^Sheet2!B4+Sheet1!$Q$30</f>
        <v>1794.2311572373355</v>
      </c>
      <c r="H4">
        <f>EXP(Sheet1!$R$29*Sheet1!$R$28^Sheet2!B4+Sheet1!$R$30)</f>
        <v>1918.0557743217419</v>
      </c>
      <c r="I4">
        <f>1/(Sheet1!$S$29*Sheet1!$S$28^Sheet2!B4+Sheet1!$S$30)</f>
        <v>1991.6654029873016</v>
      </c>
      <c r="J4">
        <f t="shared" si="0"/>
        <v>327057.92587670888</v>
      </c>
      <c r="K4">
        <f t="shared" si="1"/>
        <v>4197.6302334826487</v>
      </c>
      <c r="L4">
        <f t="shared" si="2"/>
        <v>387848.71260468161</v>
      </c>
      <c r="M4">
        <f t="shared" si="3"/>
        <v>21824.494818682357</v>
      </c>
      <c r="N4">
        <f t="shared" si="4"/>
        <v>73742.538567480791</v>
      </c>
      <c r="O4">
        <f t="shared" si="5"/>
        <v>119139.15541938631</v>
      </c>
      <c r="P4">
        <f t="shared" si="6"/>
        <v>571.88978472841154</v>
      </c>
      <c r="Q4">
        <f t="shared" si="7"/>
        <v>64.789121258762634</v>
      </c>
      <c r="R4">
        <f t="shared" si="8"/>
        <v>622.77500961798523</v>
      </c>
      <c r="S4">
        <f t="shared" si="9"/>
        <v>147.73115723733554</v>
      </c>
      <c r="T4">
        <f t="shared" si="10"/>
        <v>271.55577432174186</v>
      </c>
      <c r="U4">
        <f t="shared" si="11"/>
        <v>345.1654029873016</v>
      </c>
      <c r="V4">
        <f t="shared" si="12"/>
        <v>34.733664423225726</v>
      </c>
      <c r="W4">
        <f t="shared" si="13"/>
        <v>3.9349602950964249</v>
      </c>
      <c r="X4">
        <f t="shared" si="14"/>
        <v>37.824173071241127</v>
      </c>
      <c r="Y4">
        <f t="shared" si="15"/>
        <v>8.9724359087358359</v>
      </c>
      <c r="Z4">
        <f t="shared" si="16"/>
        <v>16.492910678514537</v>
      </c>
      <c r="AA4">
        <f t="shared" si="17"/>
        <v>20.963583540072982</v>
      </c>
    </row>
    <row r="5" spans="1:27" x14ac:dyDescent="0.25">
      <c r="A5">
        <v>1950</v>
      </c>
      <c r="B5" s="12">
        <f t="shared" si="18"/>
        <v>4</v>
      </c>
      <c r="C5" s="13">
        <v>1974.5</v>
      </c>
      <c r="D5">
        <f>Sheet1!$Q$4+B5*Sheet1!$R$4</f>
        <v>2321.5553304702476</v>
      </c>
      <c r="E5">
        <f>Sheet1!$Q$7+Sheet2!B5*Sheet1!$Q$8+Sheet1!$Q$9*Sheet2!B5*Sheet2!B5</f>
        <v>1907.9134923499532</v>
      </c>
      <c r="F5">
        <f>EXP(Sheet1!$Q$15+Sheet1!$R$15*B5)</f>
        <v>2335.6307938088489</v>
      </c>
      <c r="G5">
        <f>Sheet1!$Q$29*Sheet1!$Q$28^Sheet2!B5+Sheet1!$Q$30</f>
        <v>1969.0826644667923</v>
      </c>
      <c r="H5">
        <f>EXP(Sheet1!$R$29*Sheet1!$R$28^Sheet2!B5+Sheet1!$R$30)</f>
        <v>2054.0888957120001</v>
      </c>
      <c r="I5">
        <f>1/(Sheet1!$S$29*Sheet1!$S$28^Sheet2!B5+Sheet1!$S$30)</f>
        <v>2107.2845338369661</v>
      </c>
      <c r="J5">
        <f t="shared" si="0"/>
        <v>120447.40240781274</v>
      </c>
      <c r="K5">
        <f t="shared" si="1"/>
        <v>4433.7630010297371</v>
      </c>
      <c r="L5">
        <f t="shared" si="2"/>
        <v>130415.45023700935</v>
      </c>
      <c r="M5">
        <f t="shared" si="3"/>
        <v>29.34752427935512</v>
      </c>
      <c r="N5">
        <f t="shared" si="4"/>
        <v>6334.3923206556228</v>
      </c>
      <c r="O5">
        <f t="shared" si="5"/>
        <v>17631.732426300408</v>
      </c>
      <c r="P5">
        <f t="shared" si="6"/>
        <v>347.05533047024755</v>
      </c>
      <c r="Q5">
        <f t="shared" si="7"/>
        <v>66.586507650046769</v>
      </c>
      <c r="R5">
        <f t="shared" si="8"/>
        <v>361.13079380884892</v>
      </c>
      <c r="S5">
        <f t="shared" si="9"/>
        <v>5.4173355332077335</v>
      </c>
      <c r="T5">
        <f t="shared" si="10"/>
        <v>79.588895712000067</v>
      </c>
      <c r="U5">
        <f t="shared" si="11"/>
        <v>132.78453383696615</v>
      </c>
      <c r="V5">
        <f t="shared" si="12"/>
        <v>17.576871636882633</v>
      </c>
      <c r="W5">
        <f t="shared" si="13"/>
        <v>3.3723224943047239</v>
      </c>
      <c r="X5">
        <f t="shared" si="14"/>
        <v>18.289733796345853</v>
      </c>
      <c r="Y5">
        <f t="shared" si="15"/>
        <v>0.27436492951166036</v>
      </c>
      <c r="Z5">
        <f t="shared" si="16"/>
        <v>4.030837969713855</v>
      </c>
      <c r="AA5">
        <f t="shared" si="17"/>
        <v>6.7249700601147708</v>
      </c>
    </row>
    <row r="6" spans="1:27" x14ac:dyDescent="0.25">
      <c r="A6">
        <v>1951</v>
      </c>
      <c r="B6" s="12">
        <f t="shared" si="18"/>
        <v>5</v>
      </c>
      <c r="C6" s="13">
        <v>2236.5</v>
      </c>
      <c r="D6">
        <f>Sheet1!$Q$4+B6*Sheet1!$R$4</f>
        <v>2424.720876212084</v>
      </c>
      <c r="E6">
        <f>Sheet1!$Q$7+Sheet2!B6*Sheet1!$Q$8+Sheet1!$Q$9*Sheet2!B6*Sheet2!B6</f>
        <v>2099.3457064772911</v>
      </c>
      <c r="F6">
        <f>EXP(Sheet1!$Q$15+Sheet1!$R$15*B6)</f>
        <v>2403.9268849598293</v>
      </c>
      <c r="G6">
        <f>Sheet1!$Q$29*Sheet1!$Q$28^Sheet2!B6+Sheet1!$Q$30</f>
        <v>2138.0488944564731</v>
      </c>
      <c r="H6">
        <f>EXP(Sheet1!$R$29*Sheet1!$R$28^Sheet2!B6+Sheet1!$R$30)</f>
        <v>2191.0576555179823</v>
      </c>
      <c r="I6">
        <f>1/(Sheet1!$S$29*Sheet1!$S$28^Sheet2!B6+Sheet1!$S$30)</f>
        <v>2225.8010354481612</v>
      </c>
      <c r="J6">
        <f t="shared" si="0"/>
        <v>35427.09824204466</v>
      </c>
      <c r="K6">
        <f t="shared" si="1"/>
        <v>18811.300231713398</v>
      </c>
      <c r="L6">
        <f t="shared" si="2"/>
        <v>28031.761807351912</v>
      </c>
      <c r="M6">
        <f t="shared" si="3"/>
        <v>9692.6201827426667</v>
      </c>
      <c r="N6">
        <f t="shared" si="4"/>
        <v>2065.0066720223635</v>
      </c>
      <c r="O6">
        <f t="shared" si="5"/>
        <v>114.46784248150318</v>
      </c>
      <c r="P6">
        <f t="shared" si="6"/>
        <v>188.22087621208402</v>
      </c>
      <c r="Q6">
        <f t="shared" si="7"/>
        <v>137.15429352270894</v>
      </c>
      <c r="R6">
        <f t="shared" si="8"/>
        <v>167.42688495982929</v>
      </c>
      <c r="S6">
        <f t="shared" si="9"/>
        <v>98.451105543526864</v>
      </c>
      <c r="T6">
        <f t="shared" si="10"/>
        <v>45.442344482017688</v>
      </c>
      <c r="U6">
        <f t="shared" si="11"/>
        <v>10.698964551838799</v>
      </c>
      <c r="V6">
        <f t="shared" si="12"/>
        <v>8.4158674809784948</v>
      </c>
      <c r="W6">
        <f t="shared" si="13"/>
        <v>6.1325416285584149</v>
      </c>
      <c r="X6">
        <f t="shared" si="14"/>
        <v>7.486111556442177</v>
      </c>
      <c r="Y6">
        <f t="shared" si="15"/>
        <v>4.4020167915728532</v>
      </c>
      <c r="Z6">
        <f t="shared" si="16"/>
        <v>2.0318508599158367</v>
      </c>
      <c r="AA6">
        <f t="shared" si="17"/>
        <v>0.47837981452442652</v>
      </c>
    </row>
    <row r="7" spans="1:27" x14ac:dyDescent="0.25">
      <c r="A7">
        <v>1952</v>
      </c>
      <c r="B7" s="12">
        <f t="shared" si="18"/>
        <v>6</v>
      </c>
      <c r="C7" s="13">
        <v>2396.5</v>
      </c>
      <c r="D7">
        <f>Sheet1!$Q$4+B7*Sheet1!$R$4</f>
        <v>2527.88642195392</v>
      </c>
      <c r="E7">
        <f>Sheet1!$Q$7+Sheet2!B7*Sheet1!$Q$8+Sheet1!$Q$9*Sheet2!B7*Sheet2!B7</f>
        <v>2285.5857636407759</v>
      </c>
      <c r="F7">
        <f>EXP(Sheet1!$Q$15+Sheet1!$R$15*B7)</f>
        <v>2474.2200195129058</v>
      </c>
      <c r="G7">
        <f>Sheet1!$Q$29*Sheet1!$Q$28^Sheet2!B7+Sheet1!$Q$30</f>
        <v>2301.3279380821041</v>
      </c>
      <c r="H7">
        <f>EXP(Sheet1!$R$29*Sheet1!$R$28^Sheet2!B7+Sheet1!$R$30)</f>
        <v>2328.4384210520184</v>
      </c>
      <c r="I7">
        <f>1/(Sheet1!$S$29*Sheet1!$S$28^Sheet2!B7+Sheet1!$S$30)</f>
        <v>2346.8673579620954</v>
      </c>
      <c r="J7">
        <f t="shared" si="0"/>
        <v>17262.391873853521</v>
      </c>
      <c r="K7">
        <f t="shared" si="1"/>
        <v>12301.967827149831</v>
      </c>
      <c r="L7">
        <f t="shared" si="2"/>
        <v>6040.4014330864529</v>
      </c>
      <c r="M7">
        <f t="shared" si="3"/>
        <v>9057.7213697038151</v>
      </c>
      <c r="N7">
        <f t="shared" si="4"/>
        <v>4632.3785288923345</v>
      </c>
      <c r="O7">
        <f t="shared" si="5"/>
        <v>2463.3991556627739</v>
      </c>
      <c r="P7">
        <f t="shared" si="6"/>
        <v>131.38642195392003</v>
      </c>
      <c r="Q7">
        <f t="shared" si="7"/>
        <v>110.91423635922411</v>
      </c>
      <c r="R7">
        <f t="shared" si="8"/>
        <v>77.720019512905765</v>
      </c>
      <c r="S7">
        <f t="shared" si="9"/>
        <v>95.172061917895917</v>
      </c>
      <c r="T7">
        <f t="shared" si="10"/>
        <v>68.061578947981616</v>
      </c>
      <c r="U7">
        <f t="shared" si="11"/>
        <v>49.632642037904589</v>
      </c>
      <c r="V7">
        <f t="shared" si="12"/>
        <v>5.4824294577058224</v>
      </c>
      <c r="W7">
        <f t="shared" si="13"/>
        <v>4.6281759382108953</v>
      </c>
      <c r="X7">
        <f t="shared" si="14"/>
        <v>3.2430636141416969</v>
      </c>
      <c r="Y7">
        <f t="shared" si="15"/>
        <v>3.9712940504025003</v>
      </c>
      <c r="Z7">
        <f t="shared" si="16"/>
        <v>2.8400408490707956</v>
      </c>
      <c r="AA7">
        <f t="shared" si="17"/>
        <v>2.0710470284959146</v>
      </c>
    </row>
    <row r="8" spans="1:27" x14ac:dyDescent="0.25">
      <c r="A8">
        <v>1953</v>
      </c>
      <c r="B8" s="12">
        <f t="shared" si="18"/>
        <v>7</v>
      </c>
      <c r="C8" s="13">
        <v>2440.5</v>
      </c>
      <c r="D8">
        <f>Sheet1!$Q$4+B8*Sheet1!$R$4</f>
        <v>2631.0519676957565</v>
      </c>
      <c r="E8">
        <f>Sheet1!$Q$7+Sheet2!B8*Sheet1!$Q$8+Sheet1!$Q$9*Sheet2!B8*Sheet2!B8</f>
        <v>2466.6336638404073</v>
      </c>
      <c r="F8">
        <f>EXP(Sheet1!$Q$15+Sheet1!$R$15*B8)</f>
        <v>2546.5685929381916</v>
      </c>
      <c r="G8">
        <f>Sheet1!$Q$29*Sheet1!$Q$28^Sheet2!B8+Sheet1!$Q$30</f>
        <v>2459.1112187348645</v>
      </c>
      <c r="H8">
        <f>EXP(Sheet1!$R$29*Sheet1!$R$28^Sheet2!B8+Sheet1!$R$30)</f>
        <v>2465.7334113281036</v>
      </c>
      <c r="I8">
        <f>1/(Sheet1!$S$29*Sheet1!$S$28^Sheet2!B8+Sheet1!$S$30)</f>
        <v>2470.1014780102041</v>
      </c>
      <c r="J8">
        <f t="shared" si="0"/>
        <v>36310.052392724632</v>
      </c>
      <c r="K8">
        <f t="shared" si="1"/>
        <v>682.96838572341096</v>
      </c>
      <c r="L8">
        <f t="shared" si="2"/>
        <v>11250.546407887792</v>
      </c>
      <c r="M8">
        <f t="shared" si="3"/>
        <v>346.37746279696955</v>
      </c>
      <c r="N8">
        <f t="shared" si="4"/>
        <v>636.72504725326496</v>
      </c>
      <c r="O8">
        <f t="shared" si="5"/>
        <v>876.24750038859804</v>
      </c>
      <c r="P8">
        <f t="shared" si="6"/>
        <v>190.5519676957565</v>
      </c>
      <c r="Q8">
        <f t="shared" si="7"/>
        <v>26.13366384040728</v>
      </c>
      <c r="R8">
        <f t="shared" si="8"/>
        <v>106.06859293819161</v>
      </c>
      <c r="S8">
        <f t="shared" si="9"/>
        <v>18.611218734864451</v>
      </c>
      <c r="T8">
        <f t="shared" si="10"/>
        <v>25.233411328103557</v>
      </c>
      <c r="U8">
        <f t="shared" si="11"/>
        <v>29.601478010204119</v>
      </c>
      <c r="V8">
        <f t="shared" si="12"/>
        <v>7.8079068918564438</v>
      </c>
      <c r="W8">
        <f t="shared" si="13"/>
        <v>1.0708323638765531</v>
      </c>
      <c r="X8">
        <f t="shared" si="14"/>
        <v>4.346182869829609</v>
      </c>
      <c r="Y8">
        <f t="shared" si="15"/>
        <v>0.76259859597887525</v>
      </c>
      <c r="Z8">
        <f t="shared" si="16"/>
        <v>1.0339443281337248</v>
      </c>
      <c r="AA8">
        <f t="shared" si="17"/>
        <v>1.2129267777178496</v>
      </c>
    </row>
    <row r="9" spans="1:27" x14ac:dyDescent="0.25">
      <c r="A9">
        <v>1954</v>
      </c>
      <c r="B9" s="12">
        <f t="shared" si="18"/>
        <v>8</v>
      </c>
      <c r="C9" s="13">
        <v>2631.5</v>
      </c>
      <c r="D9">
        <f>Sheet1!$Q$4+B9*Sheet1!$R$4</f>
        <v>2734.2175134375925</v>
      </c>
      <c r="E9">
        <f>Sheet1!$Q$7+Sheet2!B9*Sheet1!$Q$8+Sheet1!$Q$9*Sheet2!B9*Sheet2!B9</f>
        <v>2642.4894070761861</v>
      </c>
      <c r="F9">
        <f>EXP(Sheet1!$Q$15+Sheet1!$R$15*B9)</f>
        <v>2621.0327082455233</v>
      </c>
      <c r="G9">
        <f>Sheet1!$Q$29*Sheet1!$Q$28^Sheet2!B9+Sheet1!$Q$30</f>
        <v>2611.5837167403561</v>
      </c>
      <c r="H9">
        <f>EXP(Sheet1!$R$29*Sheet1!$R$28^Sheet2!B9+Sheet1!$R$30)</f>
        <v>2602.4744897706</v>
      </c>
      <c r="I9">
        <f>1/(Sheet1!$S$29*Sheet1!$S$28^Sheet2!B9+Sheet1!$S$30)</f>
        <v>2595.0911725195706</v>
      </c>
      <c r="J9">
        <f t="shared" si="0"/>
        <v>10550.887566801999</v>
      </c>
      <c r="K9">
        <f t="shared" si="1"/>
        <v>120.76706788612969</v>
      </c>
      <c r="L9">
        <f t="shared" si="2"/>
        <v>109.56419667333631</v>
      </c>
      <c r="M9">
        <f t="shared" si="3"/>
        <v>396.65833887837317</v>
      </c>
      <c r="N9">
        <f t="shared" si="4"/>
        <v>842.48024407700234</v>
      </c>
      <c r="O9">
        <f t="shared" si="5"/>
        <v>1325.6027184996717</v>
      </c>
      <c r="P9">
        <f t="shared" si="6"/>
        <v>102.71751343759252</v>
      </c>
      <c r="Q9">
        <f t="shared" si="7"/>
        <v>10.989407076186126</v>
      </c>
      <c r="R9">
        <f t="shared" si="8"/>
        <v>10.467291754476719</v>
      </c>
      <c r="S9">
        <f t="shared" si="9"/>
        <v>19.916283259643933</v>
      </c>
      <c r="T9">
        <f t="shared" si="10"/>
        <v>29.02551022939997</v>
      </c>
      <c r="U9">
        <f t="shared" si="11"/>
        <v>36.408827480429409</v>
      </c>
      <c r="V9">
        <f t="shared" si="12"/>
        <v>3.9033826121068786</v>
      </c>
      <c r="W9">
        <f t="shared" si="13"/>
        <v>0.41760999719498865</v>
      </c>
      <c r="X9">
        <f t="shared" si="14"/>
        <v>0.39776901974070755</v>
      </c>
      <c r="Y9">
        <f t="shared" si="15"/>
        <v>0.75684146911054273</v>
      </c>
      <c r="Z9">
        <f t="shared" si="16"/>
        <v>1.1030024787915627</v>
      </c>
      <c r="AA9">
        <f t="shared" si="17"/>
        <v>1.3835769515648644</v>
      </c>
    </row>
    <row r="10" spans="1:27" x14ac:dyDescent="0.25">
      <c r="A10">
        <v>1955</v>
      </c>
      <c r="B10" s="12">
        <f t="shared" si="18"/>
        <v>9</v>
      </c>
      <c r="C10" s="13">
        <v>2905.5</v>
      </c>
      <c r="D10">
        <f>Sheet1!$Q$4+B10*Sheet1!$R$4</f>
        <v>2837.3830591794285</v>
      </c>
      <c r="E10">
        <f>Sheet1!$Q$7+Sheet2!B10*Sheet1!$Q$8+Sheet1!$Q$9*Sheet2!B10*Sheet2!B10</f>
        <v>2813.152993348112</v>
      </c>
      <c r="F10">
        <f>EXP(Sheet1!$Q$15+Sheet1!$R$15*B10)</f>
        <v>2697.6742259145581</v>
      </c>
      <c r="G10">
        <f>Sheet1!$Q$29*Sheet1!$Q$28^Sheet2!B10+Sheet1!$Q$30</f>
        <v>2758.9241862239214</v>
      </c>
      <c r="H10">
        <f>EXP(Sheet1!$R$29*Sheet1!$R$28^Sheet2!B10+Sheet1!$R$30)</f>
        <v>2738.2260369138676</v>
      </c>
      <c r="I10">
        <f>1/(Sheet1!$S$29*Sheet1!$S$28^Sheet2!B10+Sheet1!$S$30)</f>
        <v>2721.3991613457383</v>
      </c>
      <c r="J10">
        <f t="shared" si="0"/>
        <v>4639.9176267532357</v>
      </c>
      <c r="K10">
        <f t="shared" si="1"/>
        <v>8527.9696375638505</v>
      </c>
      <c r="L10">
        <f t="shared" si="2"/>
        <v>43191.552374213148</v>
      </c>
      <c r="M10">
        <f t="shared" si="3"/>
        <v>21484.469184119665</v>
      </c>
      <c r="N10">
        <f t="shared" si="4"/>
        <v>27980.578726540793</v>
      </c>
      <c r="O10">
        <f t="shared" si="5"/>
        <v>33893.118793202491</v>
      </c>
      <c r="P10">
        <f t="shared" si="6"/>
        <v>68.116940820571472</v>
      </c>
      <c r="Q10">
        <f t="shared" si="7"/>
        <v>92.347006651888023</v>
      </c>
      <c r="R10">
        <f t="shared" si="8"/>
        <v>207.82577408544194</v>
      </c>
      <c r="S10">
        <f t="shared" si="9"/>
        <v>146.57581377607858</v>
      </c>
      <c r="T10">
        <f t="shared" si="10"/>
        <v>167.27396308613243</v>
      </c>
      <c r="U10">
        <f t="shared" si="11"/>
        <v>184.10083865426168</v>
      </c>
      <c r="V10">
        <f t="shared" si="12"/>
        <v>2.3444137264006701</v>
      </c>
      <c r="W10">
        <f t="shared" si="13"/>
        <v>3.1783516314537263</v>
      </c>
      <c r="X10">
        <f t="shared" si="14"/>
        <v>7.1528402713970731</v>
      </c>
      <c r="Y10">
        <f t="shared" si="15"/>
        <v>5.0447707374317181</v>
      </c>
      <c r="Z10">
        <f t="shared" si="16"/>
        <v>5.7571489618355676</v>
      </c>
      <c r="AA10">
        <f t="shared" si="17"/>
        <v>6.3362876838499975</v>
      </c>
    </row>
    <row r="11" spans="1:27" x14ac:dyDescent="0.25">
      <c r="A11">
        <v>1956</v>
      </c>
      <c r="B11" s="12">
        <f t="shared" si="18"/>
        <v>10</v>
      </c>
      <c r="C11" s="13">
        <v>3079.5</v>
      </c>
      <c r="D11">
        <f>Sheet1!$Q$4+B11*Sheet1!$R$4</f>
        <v>2940.548604921265</v>
      </c>
      <c r="E11">
        <f>Sheet1!$Q$7+Sheet2!B11*Sheet1!$Q$8+Sheet1!$Q$9*Sheet2!B11*Sheet2!B11</f>
        <v>2978.6244226561848</v>
      </c>
      <c r="F11">
        <f>EXP(Sheet1!$Q$15+Sheet1!$R$15*B11)</f>
        <v>2776.5568152848859</v>
      </c>
      <c r="G11">
        <f>Sheet1!$Q$29*Sheet1!$Q$28^Sheet2!B11+Sheet1!$Q$30</f>
        <v>2901.3053646765452</v>
      </c>
      <c r="H11">
        <f>EXP(Sheet1!$R$29*Sheet1!$R$28^Sheet2!B11+Sheet1!$R$30)</f>
        <v>2872.5869685267853</v>
      </c>
      <c r="I11">
        <f>1/(Sheet1!$S$29*Sheet1!$S$28^Sheet2!B11+Sheet1!$S$30)</f>
        <v>2848.5689955287703</v>
      </c>
      <c r="J11">
        <f t="shared" si="0"/>
        <v>19307.490194326703</v>
      </c>
      <c r="K11">
        <f t="shared" si="1"/>
        <v>10175.882104448036</v>
      </c>
      <c r="L11">
        <f t="shared" si="2"/>
        <v>91774.573165335722</v>
      </c>
      <c r="M11">
        <f t="shared" si="3"/>
        <v>31753.328058059047</v>
      </c>
      <c r="N11">
        <f t="shared" si="4"/>
        <v>42813.002593435529</v>
      </c>
      <c r="O11">
        <f t="shared" si="5"/>
        <v>53329.12882609111</v>
      </c>
      <c r="P11">
        <f t="shared" si="6"/>
        <v>138.951395078735</v>
      </c>
      <c r="Q11">
        <f t="shared" si="7"/>
        <v>100.87557734381517</v>
      </c>
      <c r="R11">
        <f t="shared" si="8"/>
        <v>302.94318471511406</v>
      </c>
      <c r="S11">
        <f t="shared" si="9"/>
        <v>178.1946353234548</v>
      </c>
      <c r="T11">
        <f t="shared" si="10"/>
        <v>206.91303147321469</v>
      </c>
      <c r="U11">
        <f t="shared" si="11"/>
        <v>230.9310044712297</v>
      </c>
      <c r="V11">
        <f t="shared" si="12"/>
        <v>4.5121414216182822</v>
      </c>
      <c r="W11">
        <f t="shared" si="13"/>
        <v>3.2757128541586349</v>
      </c>
      <c r="X11">
        <f t="shared" si="14"/>
        <v>9.8374146684563737</v>
      </c>
      <c r="Y11">
        <f t="shared" si="15"/>
        <v>5.7864794714549372</v>
      </c>
      <c r="Z11">
        <f t="shared" si="16"/>
        <v>6.7190463215851501</v>
      </c>
      <c r="AA11">
        <f t="shared" si="17"/>
        <v>7.4989772518665267</v>
      </c>
    </row>
    <row r="12" spans="1:27" x14ac:dyDescent="0.25">
      <c r="A12">
        <v>1957</v>
      </c>
      <c r="B12" s="12">
        <f t="shared" si="18"/>
        <v>11</v>
      </c>
      <c r="C12" s="13">
        <v>3080.5</v>
      </c>
      <c r="D12">
        <f>Sheet1!$Q$4+B12*Sheet1!$R$4</f>
        <v>3043.714150663101</v>
      </c>
      <c r="E12">
        <f>Sheet1!$Q$7+Sheet2!B12*Sheet1!$Q$8+Sheet1!$Q$9*Sheet2!B12*Sheet2!B12</f>
        <v>3138.9036950004042</v>
      </c>
      <c r="F12">
        <f>EXP(Sheet1!$Q$15+Sheet1!$R$15*B12)</f>
        <v>2857.7460074488326</v>
      </c>
      <c r="G12">
        <f>Sheet1!$Q$29*Sheet1!$Q$28^Sheet2!B12+Sheet1!$Q$30</f>
        <v>3038.8941754670486</v>
      </c>
      <c r="H12">
        <f>EXP(Sheet1!$R$29*Sheet1!$R$28^Sheet2!B12+Sheet1!$R$30)</f>
        <v>3005.1919767702361</v>
      </c>
      <c r="I12">
        <f>1/(Sheet1!$S$29*Sheet1!$S$28^Sheet2!B12+Sheet1!$S$30)</f>
        <v>2976.1315306922484</v>
      </c>
      <c r="J12">
        <f t="shared" si="0"/>
        <v>1353.198711437032</v>
      </c>
      <c r="K12">
        <f t="shared" si="1"/>
        <v>3410.9915897002434</v>
      </c>
      <c r="L12">
        <f t="shared" si="2"/>
        <v>49619.341197485519</v>
      </c>
      <c r="M12">
        <f t="shared" si="3"/>
        <v>1731.0446350667385</v>
      </c>
      <c r="N12">
        <f t="shared" si="4"/>
        <v>5671.2983627746553</v>
      </c>
      <c r="O12">
        <f t="shared" si="5"/>
        <v>10892.777385643096</v>
      </c>
      <c r="P12">
        <f t="shared" si="6"/>
        <v>36.785849336898991</v>
      </c>
      <c r="Q12">
        <f t="shared" si="7"/>
        <v>58.403695000404241</v>
      </c>
      <c r="R12">
        <f t="shared" si="8"/>
        <v>222.75399255116736</v>
      </c>
      <c r="S12">
        <f t="shared" si="9"/>
        <v>41.605824532951374</v>
      </c>
      <c r="T12">
        <f t="shared" si="10"/>
        <v>75.308023229763876</v>
      </c>
      <c r="U12">
        <f t="shared" si="11"/>
        <v>104.36846930775164</v>
      </c>
      <c r="V12">
        <f t="shared" si="12"/>
        <v>1.1941519018633011</v>
      </c>
      <c r="W12">
        <f t="shared" si="13"/>
        <v>1.8959160850642507</v>
      </c>
      <c r="X12">
        <f t="shared" si="14"/>
        <v>7.2310986057837159</v>
      </c>
      <c r="Y12">
        <f t="shared" si="15"/>
        <v>1.3506192024980157</v>
      </c>
      <c r="Z12">
        <f t="shared" si="16"/>
        <v>2.4446688274554091</v>
      </c>
      <c r="AA12">
        <f t="shared" si="17"/>
        <v>3.3880366598848122</v>
      </c>
    </row>
    <row r="13" spans="1:27" x14ac:dyDescent="0.25">
      <c r="A13">
        <v>1958</v>
      </c>
      <c r="B13" s="12">
        <f t="shared" si="18"/>
        <v>12</v>
      </c>
      <c r="C13" s="13">
        <v>3267</v>
      </c>
      <c r="D13">
        <f>Sheet1!$Q$4+B13*Sheet1!$R$4</f>
        <v>3146.879696404937</v>
      </c>
      <c r="E13">
        <f>Sheet1!$Q$7+Sheet2!B13*Sheet1!$Q$8+Sheet1!$Q$9*Sheet2!B13*Sheet2!B13</f>
        <v>3293.9908103807711</v>
      </c>
      <c r="F13">
        <f>EXP(Sheet1!$Q$15+Sheet1!$R$15*B13)</f>
        <v>2941.3092496909003</v>
      </c>
      <c r="G13">
        <f>Sheet1!$Q$29*Sheet1!$Q$28^Sheet2!B13+Sheet1!$Q$30</f>
        <v>3171.8519235379686</v>
      </c>
      <c r="H13">
        <f>EXP(Sheet1!$R$29*Sheet1!$R$28^Sheet2!B13+Sheet1!$R$30)</f>
        <v>3135.7120793963918</v>
      </c>
      <c r="I13">
        <f>1/(Sheet1!$S$29*Sheet1!$S$28^Sheet2!B13+Sheet1!$S$30)</f>
        <v>3103.6117948699698</v>
      </c>
      <c r="J13">
        <f t="shared" si="0"/>
        <v>14428.8873357701</v>
      </c>
      <c r="K13">
        <f t="shared" si="1"/>
        <v>728.50384501074143</v>
      </c>
      <c r="L13">
        <f t="shared" si="2"/>
        <v>106074.46483690433</v>
      </c>
      <c r="M13">
        <f t="shared" si="3"/>
        <v>9053.1564544245812</v>
      </c>
      <c r="N13">
        <f t="shared" si="4"/>
        <v>17236.518096419331</v>
      </c>
      <c r="O13">
        <f t="shared" si="5"/>
        <v>26695.705575612828</v>
      </c>
      <c r="P13">
        <f t="shared" si="6"/>
        <v>120.12030359506298</v>
      </c>
      <c r="Q13">
        <f t="shared" si="7"/>
        <v>26.990810380771109</v>
      </c>
      <c r="R13">
        <f t="shared" si="8"/>
        <v>325.69075030909971</v>
      </c>
      <c r="S13">
        <f t="shared" si="9"/>
        <v>95.14807646203144</v>
      </c>
      <c r="T13">
        <f t="shared" si="10"/>
        <v>131.2879206036082</v>
      </c>
      <c r="U13">
        <f t="shared" si="11"/>
        <v>163.3882051300302</v>
      </c>
      <c r="V13">
        <f t="shared" si="12"/>
        <v>3.6767769695458519</v>
      </c>
      <c r="W13">
        <f t="shared" si="13"/>
        <v>0.82616499482005235</v>
      </c>
      <c r="X13">
        <f t="shared" si="14"/>
        <v>9.9691077535690145</v>
      </c>
      <c r="Y13">
        <f t="shared" si="15"/>
        <v>2.912399034650488</v>
      </c>
      <c r="Z13">
        <f t="shared" si="16"/>
        <v>4.0186079156292687</v>
      </c>
      <c r="AA13">
        <f t="shared" si="17"/>
        <v>5.0011694254677135</v>
      </c>
    </row>
    <row r="14" spans="1:27" x14ac:dyDescent="0.25">
      <c r="A14">
        <v>1959</v>
      </c>
      <c r="B14" s="12">
        <f t="shared" si="18"/>
        <v>13</v>
      </c>
      <c r="C14" s="13">
        <v>3300</v>
      </c>
      <c r="D14">
        <f>Sheet1!$Q$4+B14*Sheet1!$R$4</f>
        <v>3250.0452421467735</v>
      </c>
      <c r="E14">
        <f>Sheet1!$Q$7+Sheet2!B14*Sheet1!$Q$8+Sheet1!$Q$9*Sheet2!B14*Sheet2!B14</f>
        <v>3443.885768797285</v>
      </c>
      <c r="F14">
        <f>EXP(Sheet1!$Q$15+Sheet1!$R$15*B14)</f>
        <v>3027.3159615190675</v>
      </c>
      <c r="G14">
        <f>Sheet1!$Q$29*Sheet1!$Q$28^Sheet2!B14+Sheet1!$Q$30</f>
        <v>3300.3344845145803</v>
      </c>
      <c r="H14">
        <f>EXP(Sheet1!$R$29*Sheet1!$R$28^Sheet2!B14+Sheet1!$R$30)</f>
        <v>3263.8545653491906</v>
      </c>
      <c r="I14">
        <f>1/(Sheet1!$S$29*Sheet1!$S$28^Sheet2!B14+Sheet1!$S$30)</f>
        <v>3230.5360392019002</v>
      </c>
      <c r="J14">
        <f t="shared" si="0"/>
        <v>2495.4778321744957</v>
      </c>
      <c r="K14">
        <f t="shared" si="1"/>
        <v>20703.114462385747</v>
      </c>
      <c r="L14">
        <f t="shared" si="2"/>
        <v>74356.584842270662</v>
      </c>
      <c r="M14">
        <f t="shared" si="3"/>
        <v>0.11187989049398799</v>
      </c>
      <c r="N14">
        <f t="shared" si="4"/>
        <v>1306.4924460959344</v>
      </c>
      <c r="O14">
        <f t="shared" si="5"/>
        <v>4825.2418497599501</v>
      </c>
      <c r="P14">
        <f t="shared" si="6"/>
        <v>49.954757853226511</v>
      </c>
      <c r="Q14">
        <f t="shared" si="7"/>
        <v>143.88576879728498</v>
      </c>
      <c r="R14">
        <f t="shared" si="8"/>
        <v>272.68403848093249</v>
      </c>
      <c r="S14">
        <f t="shared" si="9"/>
        <v>0.33448451458025374</v>
      </c>
      <c r="T14">
        <f t="shared" si="10"/>
        <v>36.14543465080942</v>
      </c>
      <c r="U14">
        <f t="shared" si="11"/>
        <v>69.463960798099833</v>
      </c>
      <c r="V14">
        <f t="shared" si="12"/>
        <v>1.5137805410068639</v>
      </c>
      <c r="W14">
        <f t="shared" si="13"/>
        <v>4.360174812038939</v>
      </c>
      <c r="X14">
        <f t="shared" si="14"/>
        <v>8.2631526812403795</v>
      </c>
      <c r="Y14">
        <f t="shared" si="15"/>
        <v>1.013589438121981E-2</v>
      </c>
      <c r="Z14">
        <f t="shared" si="16"/>
        <v>1.0953162015396793</v>
      </c>
      <c r="AA14">
        <f t="shared" si="17"/>
        <v>2.1049685090333283</v>
      </c>
    </row>
    <row r="15" spans="1:27" x14ac:dyDescent="0.25">
      <c r="A15">
        <v>1960</v>
      </c>
      <c r="B15" s="12">
        <f t="shared" si="18"/>
        <v>14</v>
      </c>
      <c r="C15" s="13">
        <v>3426.5</v>
      </c>
      <c r="D15">
        <f>Sheet1!$Q$4+B15*Sheet1!$R$4</f>
        <v>3353.2107878886095</v>
      </c>
      <c r="E15">
        <f>Sheet1!$Q$7+Sheet2!B15*Sheet1!$Q$8+Sheet1!$Q$9*Sheet2!B15*Sheet2!B15</f>
        <v>3588.5885702499459</v>
      </c>
      <c r="F15">
        <f>EXP(Sheet1!$Q$15+Sheet1!$R$15*B15)</f>
        <v>3115.8375923345147</v>
      </c>
      <c r="G15">
        <f>Sheet1!$Q$29*Sheet1!$Q$28^Sheet2!B15+Sheet1!$Q$30</f>
        <v>3424.4924874487415</v>
      </c>
      <c r="H15">
        <f>EXP(Sheet1!$R$29*Sheet1!$R$28^Sheet2!B15+Sheet1!$R$30)</f>
        <v>3389.3624251571368</v>
      </c>
      <c r="I15">
        <f>1/(Sheet1!$S$29*Sheet1!$S$28^Sheet2!B15+Sheet1!$S$30)</f>
        <v>3356.4387501550455</v>
      </c>
      <c r="J15">
        <f t="shared" si="0"/>
        <v>5371.3086119083873</v>
      </c>
      <c r="K15">
        <f t="shared" si="1"/>
        <v>26272.704605671635</v>
      </c>
      <c r="L15">
        <f t="shared" si="2"/>
        <v>96511.131536516157</v>
      </c>
      <c r="M15">
        <f t="shared" si="3"/>
        <v>4.0301066434604698</v>
      </c>
      <c r="N15">
        <f t="shared" si="4"/>
        <v>1379.1994652092626</v>
      </c>
      <c r="O15">
        <f t="shared" si="5"/>
        <v>4908.5787298371433</v>
      </c>
      <c r="P15">
        <f t="shared" si="6"/>
        <v>73.289212111390498</v>
      </c>
      <c r="Q15">
        <f t="shared" si="7"/>
        <v>162.08857024994586</v>
      </c>
      <c r="R15">
        <f t="shared" si="8"/>
        <v>310.66240766548526</v>
      </c>
      <c r="S15">
        <f t="shared" si="9"/>
        <v>2.0075125512585146</v>
      </c>
      <c r="T15">
        <f t="shared" si="10"/>
        <v>37.13757484286316</v>
      </c>
      <c r="U15">
        <f t="shared" si="11"/>
        <v>70.061249844954546</v>
      </c>
      <c r="V15">
        <f t="shared" si="12"/>
        <v>2.1388942685361303</v>
      </c>
      <c r="W15">
        <f t="shared" si="13"/>
        <v>4.7304412738930646</v>
      </c>
      <c r="X15">
        <f t="shared" si="14"/>
        <v>9.0664645459064719</v>
      </c>
      <c r="Y15">
        <f t="shared" si="15"/>
        <v>5.8587846235473938E-2</v>
      </c>
      <c r="Z15">
        <f t="shared" si="16"/>
        <v>1.0838340826751249</v>
      </c>
      <c r="AA15">
        <f t="shared" si="17"/>
        <v>2.044688453084913</v>
      </c>
    </row>
    <row r="16" spans="1:27" x14ac:dyDescent="0.25">
      <c r="A16">
        <v>1961</v>
      </c>
      <c r="B16" s="14">
        <f t="shared" si="18"/>
        <v>15</v>
      </c>
      <c r="C16" s="15">
        <v>3472</v>
      </c>
      <c r="D16">
        <f>Sheet1!$Q$4+B16*Sheet1!$R$4</f>
        <v>3456.3763336304455</v>
      </c>
      <c r="E16">
        <f>Sheet1!$Q$7+Sheet2!B16*Sheet1!$Q$8+Sheet1!$Q$9*Sheet2!B16*Sheet2!B16</f>
        <v>3728.0992147387537</v>
      </c>
      <c r="F16">
        <f>EXP(Sheet1!$Q$15+Sheet1!$R$15*B16)</f>
        <v>3206.9476807876235</v>
      </c>
      <c r="G16">
        <f>Sheet1!$Q$29*Sheet1!$Q$28^Sheet2!B16+Sheet1!$Q$30</f>
        <v>3544.4714914118185</v>
      </c>
      <c r="H16">
        <f>EXP(Sheet1!$R$29*Sheet1!$R$28^Sheet2!B16+Sheet1!$R$30)</f>
        <v>3512.0133519236006</v>
      </c>
      <c r="I16">
        <f>1/(Sheet1!$S$29*Sheet1!$S$28^Sheet2!B16+Sheet1!$S$30)</f>
        <v>3480.8694039901502</v>
      </c>
      <c r="J16">
        <f t="shared" si="0"/>
        <v>244.0989508271478</v>
      </c>
      <c r="K16">
        <f t="shared" si="1"/>
        <v>65586.807789806306</v>
      </c>
      <c r="L16">
        <f t="shared" si="2"/>
        <v>70252.731919859507</v>
      </c>
      <c r="M16">
        <f t="shared" si="3"/>
        <v>5252.1170674532877</v>
      </c>
      <c r="N16">
        <f t="shared" si="4"/>
        <v>1601.0683321619092</v>
      </c>
      <c r="O16">
        <f t="shared" si="5"/>
        <v>78.666327140492356</v>
      </c>
      <c r="P16">
        <f t="shared" si="6"/>
        <v>15.623666369554485</v>
      </c>
      <c r="Q16">
        <f t="shared" si="7"/>
        <v>256.09921473875374</v>
      </c>
      <c r="R16">
        <f t="shared" si="8"/>
        <v>265.05231921237646</v>
      </c>
      <c r="S16">
        <f t="shared" si="9"/>
        <v>72.471491411818533</v>
      </c>
      <c r="T16">
        <f t="shared" si="10"/>
        <v>40.013351923600567</v>
      </c>
      <c r="U16">
        <f t="shared" si="11"/>
        <v>8.8694039901502038</v>
      </c>
      <c r="V16">
        <f t="shared" si="12"/>
        <v>0.44999039082818215</v>
      </c>
      <c r="W16">
        <f t="shared" si="13"/>
        <v>7.3761294567613405</v>
      </c>
      <c r="X16">
        <f t="shared" si="14"/>
        <v>7.6339953690200595</v>
      </c>
      <c r="Y16">
        <f t="shared" si="15"/>
        <v>2.087312540662976</v>
      </c>
      <c r="Z16">
        <f t="shared" si="16"/>
        <v>1.152458292730431</v>
      </c>
      <c r="AA16">
        <f t="shared" si="17"/>
        <v>0.25545518404810497</v>
      </c>
    </row>
    <row r="17" spans="1:27" x14ac:dyDescent="0.25">
      <c r="A17">
        <v>1962</v>
      </c>
      <c r="B17" s="14">
        <f t="shared" si="18"/>
        <v>16</v>
      </c>
      <c r="C17" s="15">
        <v>3662</v>
      </c>
      <c r="D17">
        <f>Sheet1!$Q$4+B17*Sheet1!$R$4</f>
        <v>3559.541879372282</v>
      </c>
      <c r="E17">
        <f>Sheet1!$Q$7+Sheet2!B17*Sheet1!$Q$8+Sheet1!$Q$9*Sheet2!B17*Sheet2!B17</f>
        <v>3862.4177022637086</v>
      </c>
      <c r="F17">
        <f>EXP(Sheet1!$Q$15+Sheet1!$R$15*B17)</f>
        <v>3300.7219158696748</v>
      </c>
      <c r="G17">
        <f>Sheet1!$Q$29*Sheet1!$Q$28^Sheet2!B17+Sheet1!$Q$30</f>
        <v>3660.4121561437191</v>
      </c>
      <c r="H17">
        <f>EXP(Sheet1!$R$29*Sheet1!$R$28^Sheet2!B17+Sheet1!$R$30)</f>
        <v>3631.6183941616941</v>
      </c>
      <c r="I17">
        <f>1/(Sheet1!$S$29*Sheet1!$S$28^Sheet2!B17+Sheet1!$S$30)</f>
        <v>3603.398757943432</v>
      </c>
      <c r="J17">
        <f t="shared" si="0"/>
        <v>10497.666482564016</v>
      </c>
      <c r="K17">
        <f t="shared" si="1"/>
        <v>40167.255380664559</v>
      </c>
      <c r="L17">
        <f t="shared" si="2"/>
        <v>130521.85407287831</v>
      </c>
      <c r="M17">
        <f t="shared" si="3"/>
        <v>2.521248111928903</v>
      </c>
      <c r="N17">
        <f t="shared" si="4"/>
        <v>923.04197331418061</v>
      </c>
      <c r="O17">
        <f t="shared" si="5"/>
        <v>3434.1055705724771</v>
      </c>
      <c r="P17">
        <f t="shared" si="6"/>
        <v>102.45812062771802</v>
      </c>
      <c r="Q17">
        <f t="shared" si="7"/>
        <v>200.41770226370863</v>
      </c>
      <c r="R17">
        <f t="shared" si="8"/>
        <v>361.27808413032517</v>
      </c>
      <c r="S17">
        <f t="shared" si="9"/>
        <v>1.5878438562808697</v>
      </c>
      <c r="T17">
        <f t="shared" si="10"/>
        <v>30.381605838305859</v>
      </c>
      <c r="U17">
        <f t="shared" si="11"/>
        <v>58.601242056568026</v>
      </c>
      <c r="V17">
        <f t="shared" si="12"/>
        <v>2.7978733104237579</v>
      </c>
      <c r="W17">
        <f t="shared" si="13"/>
        <v>5.4729028471793733</v>
      </c>
      <c r="X17">
        <f t="shared" si="14"/>
        <v>9.8655948697521882</v>
      </c>
      <c r="Y17">
        <f t="shared" si="15"/>
        <v>4.3360017921378197E-2</v>
      </c>
      <c r="Z17">
        <f t="shared" si="16"/>
        <v>0.8296451621601818</v>
      </c>
      <c r="AA17">
        <f t="shared" si="17"/>
        <v>1.600252377295686</v>
      </c>
    </row>
    <row r="18" spans="1:27" x14ac:dyDescent="0.25">
      <c r="A18">
        <v>1963</v>
      </c>
      <c r="B18" s="14">
        <f t="shared" si="18"/>
        <v>17</v>
      </c>
      <c r="C18" s="15">
        <v>3736.5</v>
      </c>
      <c r="D18">
        <f>Sheet1!$Q$4+B18*Sheet1!$R$4</f>
        <v>3662.707425114118</v>
      </c>
      <c r="E18">
        <f>Sheet1!$Q$7+Sheet2!B18*Sheet1!$Q$8+Sheet1!$Q$9*Sheet2!B18*Sheet2!B18</f>
        <v>3991.5440328248105</v>
      </c>
      <c r="F18">
        <f>EXP(Sheet1!$Q$15+Sheet1!$R$15*B18)</f>
        <v>3397.238199790841</v>
      </c>
      <c r="G18">
        <f>Sheet1!$Q$29*Sheet1!$Q$28^Sheet2!B18+Sheet1!$Q$30</f>
        <v>3772.450406958103</v>
      </c>
      <c r="H18">
        <f>EXP(Sheet1!$R$29*Sheet1!$R$28^Sheet2!B18+Sheet1!$R$30)</f>
        <v>3748.0203357639261</v>
      </c>
      <c r="I18">
        <f>1/(Sheet1!$S$29*Sheet1!$S$28^Sheet2!B18+Sheet1!$S$30)</f>
        <v>3723.6244969128438</v>
      </c>
      <c r="J18">
        <f t="shared" si="0"/>
        <v>5445.3441082885038</v>
      </c>
      <c r="K18">
        <f t="shared" si="1"/>
        <v>65047.45867954303</v>
      </c>
      <c r="L18">
        <f t="shared" si="2"/>
        <v>115098.56908115931</v>
      </c>
      <c r="M18">
        <f t="shared" si="3"/>
        <v>1292.4317604532228</v>
      </c>
      <c r="N18">
        <f t="shared" si="4"/>
        <v>132.7181361135957</v>
      </c>
      <c r="O18">
        <f t="shared" si="5"/>
        <v>165.77857974736821</v>
      </c>
      <c r="P18">
        <f t="shared" si="6"/>
        <v>73.792574885882004</v>
      </c>
      <c r="Q18">
        <f t="shared" si="7"/>
        <v>255.04403282481053</v>
      </c>
      <c r="R18">
        <f t="shared" si="8"/>
        <v>339.26180020915899</v>
      </c>
      <c r="S18">
        <f t="shared" si="9"/>
        <v>35.950406958103031</v>
      </c>
      <c r="T18">
        <f t="shared" si="10"/>
        <v>11.520335763926141</v>
      </c>
      <c r="U18">
        <f t="shared" si="11"/>
        <v>12.875503087156176</v>
      </c>
      <c r="V18">
        <f t="shared" si="12"/>
        <v>1.974911679001258</v>
      </c>
      <c r="W18">
        <f t="shared" si="13"/>
        <v>6.8257468974925875</v>
      </c>
      <c r="X18">
        <f t="shared" si="14"/>
        <v>9.0796681442301352</v>
      </c>
      <c r="Y18">
        <f t="shared" si="15"/>
        <v>0.96214122730103124</v>
      </c>
      <c r="Z18">
        <f t="shared" si="16"/>
        <v>0.30831890175100068</v>
      </c>
      <c r="AA18">
        <f t="shared" si="17"/>
        <v>0.3445872631381286</v>
      </c>
    </row>
    <row r="19" spans="1:27" x14ac:dyDescent="0.25">
      <c r="A19">
        <v>1964</v>
      </c>
      <c r="B19" s="14">
        <f t="shared" si="18"/>
        <v>18</v>
      </c>
      <c r="C19" s="15">
        <v>3752</v>
      </c>
      <c r="D19">
        <f>Sheet1!$Q$4+B19*Sheet1!$R$4</f>
        <v>3765.872970855954</v>
      </c>
      <c r="E19">
        <f>Sheet1!$Q$7+Sheet2!B19*Sheet1!$Q$8+Sheet1!$Q$9*Sheet2!B19*Sheet2!B19</f>
        <v>4115.4782064220599</v>
      </c>
      <c r="F19">
        <f>EXP(Sheet1!$Q$15+Sheet1!$R$15*B19)</f>
        <v>3496.576712696874</v>
      </c>
      <c r="G19">
        <f>Sheet1!$Q$29*Sheet1!$Q$28^Sheet2!B19+Sheet1!$Q$30</f>
        <v>3880.7175940970856</v>
      </c>
      <c r="H19">
        <f>EXP(Sheet1!$R$29*Sheet1!$R$28^Sheet2!B19+Sheet1!$R$30)</f>
        <v>3861.0918715360085</v>
      </c>
      <c r="I19">
        <f>1/(Sheet1!$S$29*Sheet1!$S$28^Sheet2!B19+Sheet1!$S$30)</f>
        <v>3841.176087402866</v>
      </c>
      <c r="J19">
        <f t="shared" si="0"/>
        <v>192.4593203701493</v>
      </c>
      <c r="K19">
        <f t="shared" si="1"/>
        <v>132116.40654379758</v>
      </c>
      <c r="L19">
        <f t="shared" si="2"/>
        <v>65241.055696735253</v>
      </c>
      <c r="M19">
        <f t="shared" si="3"/>
        <v>16568.219030142078</v>
      </c>
      <c r="N19">
        <f t="shared" si="4"/>
        <v>11901.036435228983</v>
      </c>
      <c r="O19">
        <f t="shared" si="5"/>
        <v>7952.374564483589</v>
      </c>
      <c r="P19">
        <f t="shared" si="6"/>
        <v>13.872970855954009</v>
      </c>
      <c r="Q19">
        <f t="shared" si="7"/>
        <v>363.47820642205988</v>
      </c>
      <c r="R19">
        <f t="shared" si="8"/>
        <v>255.42328730312602</v>
      </c>
      <c r="S19">
        <f t="shared" si="9"/>
        <v>128.71759409708557</v>
      </c>
      <c r="T19">
        <f t="shared" si="10"/>
        <v>109.09187153600851</v>
      </c>
      <c r="U19">
        <f t="shared" si="11"/>
        <v>89.17608740286596</v>
      </c>
      <c r="V19">
        <f t="shared" si="12"/>
        <v>0.36974869019067186</v>
      </c>
      <c r="W19">
        <f t="shared" si="13"/>
        <v>9.6875854590101245</v>
      </c>
      <c r="X19">
        <f t="shared" si="14"/>
        <v>6.8076569110641261</v>
      </c>
      <c r="Y19">
        <f t="shared" si="15"/>
        <v>3.4306395015214703</v>
      </c>
      <c r="Z19">
        <f t="shared" si="16"/>
        <v>2.9075658724948963</v>
      </c>
      <c r="AA19">
        <f t="shared" si="17"/>
        <v>2.3767613913343806</v>
      </c>
    </row>
    <row r="20" spans="1:27" x14ac:dyDescent="0.25">
      <c r="A20">
        <v>1965</v>
      </c>
      <c r="B20" s="14">
        <f t="shared" si="18"/>
        <v>19</v>
      </c>
      <c r="C20" s="15">
        <v>3879</v>
      </c>
      <c r="D20">
        <f>Sheet1!$Q$4+B20*Sheet1!$R$4</f>
        <v>3869.0385165977905</v>
      </c>
      <c r="E20">
        <f>Sheet1!$Q$7+Sheet2!B20*Sheet1!$Q$8+Sheet1!$Q$9*Sheet2!B20*Sheet2!B20</f>
        <v>4234.2202230554558</v>
      </c>
      <c r="F20">
        <f>EXP(Sheet1!$Q$15+Sheet1!$R$15*B20)</f>
        <v>3598.8199792781156</v>
      </c>
      <c r="G20">
        <f>Sheet1!$Q$29*Sheet1!$Q$28^Sheet2!B20+Sheet1!$Q$30</f>
        <v>3985.3406467222749</v>
      </c>
      <c r="H20">
        <f>EXP(Sheet1!$R$29*Sheet1!$R$28^Sheet2!B20+Sheet1!$R$30)</f>
        <v>3970.7336393711885</v>
      </c>
      <c r="I20">
        <f>1/(Sheet1!$S$29*Sheet1!$S$28^Sheet2!B20+Sheet1!$S$30)</f>
        <v>3955.7187295599451</v>
      </c>
      <c r="J20">
        <f t="shared" si="0"/>
        <v>99.231151572495833</v>
      </c>
      <c r="K20">
        <f t="shared" si="1"/>
        <v>126181.40686756777</v>
      </c>
      <c r="L20">
        <f t="shared" si="2"/>
        <v>78500.844011715555</v>
      </c>
      <c r="M20">
        <f t="shared" si="3"/>
        <v>11308.333145311668</v>
      </c>
      <c r="N20">
        <f t="shared" si="4"/>
        <v>8415.0605922832601</v>
      </c>
      <c r="O20">
        <f t="shared" si="5"/>
        <v>5885.7634652919987</v>
      </c>
      <c r="P20">
        <f t="shared" si="6"/>
        <v>9.9614834022095238</v>
      </c>
      <c r="Q20">
        <f t="shared" si="7"/>
        <v>355.22022305545579</v>
      </c>
      <c r="R20">
        <f t="shared" si="8"/>
        <v>280.18002072188438</v>
      </c>
      <c r="S20">
        <f t="shared" si="9"/>
        <v>106.34064672227487</v>
      </c>
      <c r="T20">
        <f t="shared" si="10"/>
        <v>91.733639371188474</v>
      </c>
      <c r="U20">
        <f t="shared" si="11"/>
        <v>76.718729559945132</v>
      </c>
      <c r="V20">
        <f t="shared" si="12"/>
        <v>0.25680544991517207</v>
      </c>
      <c r="W20">
        <f t="shared" si="13"/>
        <v>9.1575205737420937</v>
      </c>
      <c r="X20">
        <f t="shared" si="14"/>
        <v>7.2229961516340389</v>
      </c>
      <c r="Y20">
        <f t="shared" si="15"/>
        <v>2.7414448755420175</v>
      </c>
      <c r="Z20">
        <f t="shared" si="16"/>
        <v>2.3648785607421621</v>
      </c>
      <c r="AA20">
        <f t="shared" si="17"/>
        <v>1.977796585716554</v>
      </c>
    </row>
    <row r="21" spans="1:27" x14ac:dyDescent="0.25">
      <c r="A21">
        <v>1966</v>
      </c>
      <c r="B21" s="14">
        <f t="shared" si="18"/>
        <v>20</v>
      </c>
      <c r="C21" s="15">
        <v>3987</v>
      </c>
      <c r="D21">
        <f>Sheet1!$Q$4+B21*Sheet1!$R$4</f>
        <v>3972.2040623396265</v>
      </c>
      <c r="E21">
        <f>Sheet1!$Q$7+Sheet2!B21*Sheet1!$Q$8+Sheet1!$Q$9*Sheet2!B21*Sheet2!B21</f>
        <v>4347.7700827249982</v>
      </c>
      <c r="F21">
        <f>EXP(Sheet1!$Q$15+Sheet1!$R$15*B21)</f>
        <v>3704.0529373262198</v>
      </c>
      <c r="G21">
        <f>Sheet1!$Q$29*Sheet1!$Q$28^Sheet2!B21+Sheet1!$Q$30</f>
        <v>4086.4422217226656</v>
      </c>
      <c r="H21">
        <f>EXP(Sheet1!$R$29*Sheet1!$R$28^Sheet2!B21+Sheet1!$R$30)</f>
        <v>4076.872162632153</v>
      </c>
      <c r="I21">
        <f>1/(Sheet1!$S$29*Sheet1!$S$28^Sheet2!B21+Sheet1!$S$30)</f>
        <v>4066.9563404588657</v>
      </c>
      <c r="J21">
        <f t="shared" si="0"/>
        <v>218.91977124965916</v>
      </c>
      <c r="K21">
        <f t="shared" si="1"/>
        <v>130155.05258940208</v>
      </c>
      <c r="L21">
        <f t="shared" si="2"/>
        <v>80059.040275720123</v>
      </c>
      <c r="M21">
        <f t="shared" si="3"/>
        <v>9888.7554611397936</v>
      </c>
      <c r="N21">
        <f t="shared" si="4"/>
        <v>8077.0056161801667</v>
      </c>
      <c r="O21">
        <f t="shared" si="5"/>
        <v>6393.0163795740482</v>
      </c>
      <c r="P21">
        <f t="shared" si="6"/>
        <v>14.795937660373511</v>
      </c>
      <c r="Q21">
        <f t="shared" si="7"/>
        <v>360.77008272499825</v>
      </c>
      <c r="R21">
        <f t="shared" si="8"/>
        <v>282.94706267378024</v>
      </c>
      <c r="S21">
        <f t="shared" si="9"/>
        <v>99.442221722665636</v>
      </c>
      <c r="T21">
        <f t="shared" si="10"/>
        <v>89.872162632153049</v>
      </c>
      <c r="U21">
        <f t="shared" si="11"/>
        <v>79.956340458865725</v>
      </c>
      <c r="V21">
        <f t="shared" si="12"/>
        <v>0.3711045312358543</v>
      </c>
      <c r="W21">
        <f t="shared" si="13"/>
        <v>9.0486602138198702</v>
      </c>
      <c r="X21">
        <f t="shared" si="14"/>
        <v>7.096740975013299</v>
      </c>
      <c r="Y21">
        <f t="shared" si="15"/>
        <v>2.4941615681631712</v>
      </c>
      <c r="Z21">
        <f t="shared" si="16"/>
        <v>2.2541299882656896</v>
      </c>
      <c r="AA21">
        <f t="shared" si="17"/>
        <v>2.005426146447598</v>
      </c>
    </row>
    <row r="22" spans="1:27" x14ac:dyDescent="0.25">
      <c r="A22">
        <v>1967</v>
      </c>
      <c r="B22" s="14">
        <f t="shared" si="18"/>
        <v>21</v>
      </c>
      <c r="C22" s="15">
        <v>4091</v>
      </c>
      <c r="D22">
        <f>Sheet1!$Q$4+B22*Sheet1!$R$4</f>
        <v>4075.3696080814625</v>
      </c>
      <c r="E22">
        <f>Sheet1!$Q$7+Sheet2!B22*Sheet1!$Q$8+Sheet1!$Q$9*Sheet2!B22*Sheet2!B22</f>
        <v>4456.1277854306882</v>
      </c>
      <c r="F22">
        <f>EXP(Sheet1!$Q$15+Sheet1!$R$15*B22)</f>
        <v>3812.3630082955992</v>
      </c>
      <c r="G22">
        <f>Sheet1!$Q$29*Sheet1!$Q$28^Sheet2!B22+Sheet1!$Q$30</f>
        <v>4184.1408475138487</v>
      </c>
      <c r="H22">
        <f>EXP(Sheet1!$R$29*Sheet1!$R$28^Sheet2!B22+Sheet1!$R$30)</f>
        <v>4179.4577489025278</v>
      </c>
      <c r="I22">
        <f>1/(Sheet1!$S$29*Sheet1!$S$28^Sheet2!B22+Sheet1!$S$30)</f>
        <v>4174.6335444710721</v>
      </c>
      <c r="J22">
        <f t="shared" si="0"/>
        <v>244.30915152708232</v>
      </c>
      <c r="K22">
        <f t="shared" si="1"/>
        <v>133318.29969351867</v>
      </c>
      <c r="L22">
        <f t="shared" si="2"/>
        <v>77638.573146078299</v>
      </c>
      <c r="M22">
        <f t="shared" si="3"/>
        <v>8675.2174755980177</v>
      </c>
      <c r="N22">
        <f t="shared" si="4"/>
        <v>7824.773340902655</v>
      </c>
      <c r="O22">
        <f t="shared" si="5"/>
        <v>6994.5697607947995</v>
      </c>
      <c r="P22">
        <f t="shared" si="6"/>
        <v>15.630391918537498</v>
      </c>
      <c r="Q22">
        <f t="shared" si="7"/>
        <v>365.12778543068816</v>
      </c>
      <c r="R22">
        <f t="shared" si="8"/>
        <v>278.63699170440077</v>
      </c>
      <c r="S22">
        <f t="shared" si="9"/>
        <v>93.140847513848712</v>
      </c>
      <c r="T22">
        <f t="shared" si="10"/>
        <v>88.457748902527783</v>
      </c>
      <c r="U22">
        <f t="shared" si="11"/>
        <v>83.633544471072128</v>
      </c>
      <c r="V22">
        <f t="shared" si="12"/>
        <v>0.38206775650299435</v>
      </c>
      <c r="W22">
        <f t="shared" si="13"/>
        <v>8.9251475294717224</v>
      </c>
      <c r="X22">
        <f t="shared" si="14"/>
        <v>6.8109751088829329</v>
      </c>
      <c r="Y22">
        <f t="shared" si="15"/>
        <v>2.276725678656776</v>
      </c>
      <c r="Z22">
        <f t="shared" si="16"/>
        <v>2.1622524786733752</v>
      </c>
      <c r="AA22">
        <f t="shared" si="17"/>
        <v>2.044330101957275</v>
      </c>
    </row>
    <row r="23" spans="1:27" x14ac:dyDescent="0.25">
      <c r="A23">
        <v>1968</v>
      </c>
      <c r="B23" s="14">
        <f t="shared" si="18"/>
        <v>22</v>
      </c>
      <c r="C23" s="15">
        <v>4372.5</v>
      </c>
      <c r="D23">
        <f>Sheet1!$Q$4+B23*Sheet1!$R$4</f>
        <v>4178.535153823299</v>
      </c>
      <c r="E23">
        <f>Sheet1!$Q$7+Sheet2!B23*Sheet1!$Q$8+Sheet1!$Q$9*Sheet2!B23*Sheet2!B23</f>
        <v>4559.2933311725255</v>
      </c>
      <c r="F23">
        <f>EXP(Sheet1!$Q$15+Sheet1!$R$15*B23)</f>
        <v>3923.8401699280598</v>
      </c>
      <c r="G23">
        <f>Sheet1!$Q$29*Sheet1!$Q$28^Sheet2!B23+Sheet1!$Q$30</f>
        <v>4278.551062997125</v>
      </c>
      <c r="H23">
        <f>EXP(Sheet1!$R$29*Sheet1!$R$28^Sheet2!B23+Sheet1!$R$30)</f>
        <v>4278.4623841672974</v>
      </c>
      <c r="I23">
        <f>1/(Sheet1!$S$29*Sheet1!$S$28^Sheet2!B23+Sheet1!$S$30)</f>
        <v>4278.5366868760811</v>
      </c>
      <c r="J23">
        <f t="shared" si="0"/>
        <v>37622.361552351293</v>
      </c>
      <c r="K23">
        <f t="shared" si="1"/>
        <v>34891.748570528805</v>
      </c>
      <c r="L23">
        <f t="shared" si="2"/>
        <v>201295.64312018224</v>
      </c>
      <c r="M23">
        <f t="shared" si="3"/>
        <v>8826.4027639701799</v>
      </c>
      <c r="N23">
        <f t="shared" si="4"/>
        <v>8843.073191498961</v>
      </c>
      <c r="O23">
        <f t="shared" si="5"/>
        <v>8829.1042132236198</v>
      </c>
      <c r="P23">
        <f t="shared" si="6"/>
        <v>193.96484617670103</v>
      </c>
      <c r="Q23">
        <f t="shared" si="7"/>
        <v>186.79333117252554</v>
      </c>
      <c r="R23">
        <f t="shared" si="8"/>
        <v>448.65983007194018</v>
      </c>
      <c r="S23">
        <f t="shared" si="9"/>
        <v>93.948937002875027</v>
      </c>
      <c r="T23">
        <f t="shared" si="10"/>
        <v>94.037615832702613</v>
      </c>
      <c r="U23">
        <f t="shared" si="11"/>
        <v>93.963313123918851</v>
      </c>
      <c r="V23">
        <f t="shared" si="12"/>
        <v>4.4360170652190059</v>
      </c>
      <c r="W23">
        <f t="shared" si="13"/>
        <v>4.2720029999434086</v>
      </c>
      <c r="X23">
        <f t="shared" si="14"/>
        <v>10.260945227488627</v>
      </c>
      <c r="Y23">
        <f t="shared" si="15"/>
        <v>2.1486320641023449</v>
      </c>
      <c r="Z23">
        <f t="shared" si="16"/>
        <v>2.15066016770046</v>
      </c>
      <c r="AA23">
        <f t="shared" si="17"/>
        <v>2.1489608490318779</v>
      </c>
    </row>
    <row r="24" spans="1:27" x14ac:dyDescent="0.25">
      <c r="A24">
        <v>1969</v>
      </c>
      <c r="B24" s="14">
        <f t="shared" si="18"/>
        <v>23</v>
      </c>
      <c r="C24" s="15">
        <v>4501.5</v>
      </c>
      <c r="D24">
        <f>Sheet1!$Q$4+B24*Sheet1!$R$4</f>
        <v>4281.7006995651354</v>
      </c>
      <c r="E24">
        <f>Sheet1!$Q$7+Sheet2!B24*Sheet1!$Q$8+Sheet1!$Q$9*Sheet2!B24*Sheet2!B24</f>
        <v>4657.2667199505095</v>
      </c>
      <c r="F24">
        <f>EXP(Sheet1!$Q$15+Sheet1!$R$15*B24)</f>
        <v>4038.5770310011603</v>
      </c>
      <c r="G24">
        <f>Sheet1!$Q$29*Sheet1!$Q$28^Sheet2!B24+Sheet1!$Q$30</f>
        <v>4369.7835518414377</v>
      </c>
      <c r="H24">
        <f>EXP(Sheet1!$R$29*Sheet1!$R$28^Sheet2!B24+Sheet1!$R$30)</f>
        <v>4373.8776548209244</v>
      </c>
      <c r="I24">
        <f>1/(Sheet1!$S$29*Sheet1!$S$28^Sheet2!B24+Sheet1!$S$30)</f>
        <v>4378.4939226268498</v>
      </c>
      <c r="J24">
        <f t="shared" si="0"/>
        <v>48311.732471655851</v>
      </c>
      <c r="K24">
        <f t="shared" si="1"/>
        <v>24263.271044140445</v>
      </c>
      <c r="L24">
        <f t="shared" si="2"/>
        <v>214297.6752267007</v>
      </c>
      <c r="M24">
        <f t="shared" si="3"/>
        <v>17349.22271550724</v>
      </c>
      <c r="N24">
        <f t="shared" si="4"/>
        <v>16287.46298900713</v>
      </c>
      <c r="O24">
        <f t="shared" si="5"/>
        <v>15130.495070729419</v>
      </c>
      <c r="P24">
        <f t="shared" si="6"/>
        <v>219.79930043486456</v>
      </c>
      <c r="Q24">
        <f t="shared" si="7"/>
        <v>155.76671995050947</v>
      </c>
      <c r="R24">
        <f t="shared" si="8"/>
        <v>462.92296899883968</v>
      </c>
      <c r="S24">
        <f t="shared" si="9"/>
        <v>131.71644815856234</v>
      </c>
      <c r="T24">
        <f t="shared" si="10"/>
        <v>127.62234517907564</v>
      </c>
      <c r="U24">
        <f t="shared" si="11"/>
        <v>123.00607737315022</v>
      </c>
      <c r="V24">
        <f t="shared" si="12"/>
        <v>4.8828012981198397</v>
      </c>
      <c r="W24">
        <f t="shared" si="13"/>
        <v>3.4603292224927129</v>
      </c>
      <c r="X24">
        <f t="shared" si="14"/>
        <v>10.283749172472278</v>
      </c>
      <c r="Y24">
        <f t="shared" si="15"/>
        <v>2.9260568290250437</v>
      </c>
      <c r="Z24">
        <f t="shared" si="16"/>
        <v>2.8351070793974373</v>
      </c>
      <c r="AA24">
        <f t="shared" si="17"/>
        <v>2.7325575335588188</v>
      </c>
    </row>
    <row r="25" spans="1:27" x14ac:dyDescent="0.25">
      <c r="A25">
        <v>1970</v>
      </c>
      <c r="B25" s="14">
        <f t="shared" si="18"/>
        <v>24</v>
      </c>
      <c r="C25" s="15">
        <v>4636</v>
      </c>
      <c r="D25">
        <f>Sheet1!$Q$4+B25*Sheet1!$R$4</f>
        <v>4384.866245306971</v>
      </c>
      <c r="E25">
        <f>Sheet1!$Q$7+Sheet2!B25*Sheet1!$Q$8+Sheet1!$Q$9*Sheet2!B25*Sheet2!B25</f>
        <v>4750.0479517646399</v>
      </c>
      <c r="F25">
        <f>EXP(Sheet1!$Q$15+Sheet1!$R$15*B25)</f>
        <v>4156.6689082621706</v>
      </c>
      <c r="G25">
        <f>Sheet1!$Q$29*Sheet1!$Q$28^Sheet2!B25+Sheet1!$Q$30</f>
        <v>4457.9452722455389</v>
      </c>
      <c r="H25">
        <f>EXP(Sheet1!$R$29*Sheet1!$R$28^Sheet2!B25+Sheet1!$R$30)</f>
        <v>4465.7127237770528</v>
      </c>
      <c r="I25">
        <f>1/(Sheet1!$S$29*Sheet1!$S$28^Sheet2!B25+Sheet1!$S$30)</f>
        <v>4474.3744616987997</v>
      </c>
      <c r="J25">
        <f t="shared" si="0"/>
        <v>63068.16274621847</v>
      </c>
      <c r="K25">
        <f t="shared" si="1"/>
        <v>13006.93530170964</v>
      </c>
      <c r="L25">
        <f t="shared" si="2"/>
        <v>229758.29550657942</v>
      </c>
      <c r="M25">
        <f t="shared" si="3"/>
        <v>31703.486075715246</v>
      </c>
      <c r="N25">
        <f t="shared" si="4"/>
        <v>28997.756443430313</v>
      </c>
      <c r="O25">
        <f t="shared" si="5"/>
        <v>26122.814631152771</v>
      </c>
      <c r="P25">
        <f t="shared" si="6"/>
        <v>251.133754693029</v>
      </c>
      <c r="Q25">
        <f t="shared" si="7"/>
        <v>114.04795176463995</v>
      </c>
      <c r="R25">
        <f t="shared" si="8"/>
        <v>479.33109173782941</v>
      </c>
      <c r="S25">
        <f t="shared" si="9"/>
        <v>178.05472775446106</v>
      </c>
      <c r="T25">
        <f t="shared" si="10"/>
        <v>170.28727622294718</v>
      </c>
      <c r="U25">
        <f t="shared" si="11"/>
        <v>161.62553830120032</v>
      </c>
      <c r="V25">
        <f t="shared" si="12"/>
        <v>5.4170352608504961</v>
      </c>
      <c r="W25">
        <f t="shared" si="13"/>
        <v>2.4600507283140627</v>
      </c>
      <c r="X25">
        <f t="shared" si="14"/>
        <v>10.339324670790107</v>
      </c>
      <c r="Y25">
        <f t="shared" si="15"/>
        <v>3.8406973199840606</v>
      </c>
      <c r="Z25">
        <f t="shared" si="16"/>
        <v>3.67315091076245</v>
      </c>
      <c r="AA25">
        <f t="shared" si="17"/>
        <v>3.4863144586108783</v>
      </c>
    </row>
    <row r="26" spans="1:27" x14ac:dyDescent="0.25">
      <c r="A26">
        <v>1971</v>
      </c>
      <c r="B26" s="14">
        <f t="shared" si="18"/>
        <v>25</v>
      </c>
      <c r="C26" s="15">
        <v>4856.5</v>
      </c>
      <c r="D26">
        <f>Sheet1!$Q$4+B26*Sheet1!$R$4</f>
        <v>4488.0317910488075</v>
      </c>
      <c r="E26">
        <f>Sheet1!$Q$7+Sheet2!B26*Sheet1!$Q$8+Sheet1!$Q$9*Sheet2!B26*Sheet2!B26</f>
        <v>4837.6370266149188</v>
      </c>
      <c r="F26">
        <f>EXP(Sheet1!$Q$15+Sheet1!$R$15*B26)</f>
        <v>4278.2139056117685</v>
      </c>
      <c r="G26">
        <f>Sheet1!$Q$29*Sheet1!$Q$28^Sheet2!B26+Sheet1!$Q$30</f>
        <v>4543.1395823325383</v>
      </c>
      <c r="H26">
        <f>EXP(Sheet1!$R$29*Sheet1!$R$28^Sheet2!B26+Sheet1!$R$30)</f>
        <v>4553.9923814178301</v>
      </c>
      <c r="I26">
        <f>1/(Sheet1!$S$29*Sheet1!$S$28^Sheet2!B26+Sheet1!$S$30)</f>
        <v>4566.0870747466279</v>
      </c>
      <c r="J26">
        <f t="shared" si="0"/>
        <v>135768.82100769968</v>
      </c>
      <c r="K26">
        <f t="shared" si="1"/>
        <v>355.81176492628185</v>
      </c>
      <c r="L26">
        <f t="shared" si="2"/>
        <v>334414.80696279462</v>
      </c>
      <c r="M26">
        <f t="shared" si="3"/>
        <v>98194.751360726019</v>
      </c>
      <c r="N26">
        <f t="shared" si="4"/>
        <v>91510.859300255601</v>
      </c>
      <c r="O26">
        <f t="shared" si="5"/>
        <v>84339.667154220704</v>
      </c>
      <c r="P26">
        <f t="shared" si="6"/>
        <v>368.46820895119254</v>
      </c>
      <c r="Q26">
        <f t="shared" si="7"/>
        <v>18.862973385081204</v>
      </c>
      <c r="R26">
        <f t="shared" si="8"/>
        <v>578.2860943882315</v>
      </c>
      <c r="S26">
        <f t="shared" si="9"/>
        <v>313.36041766746166</v>
      </c>
      <c r="T26">
        <f t="shared" si="10"/>
        <v>302.50761858216993</v>
      </c>
      <c r="U26">
        <f t="shared" si="11"/>
        <v>290.41292525337212</v>
      </c>
      <c r="V26">
        <f t="shared" si="12"/>
        <v>7.5871143611900029</v>
      </c>
      <c r="W26">
        <f t="shared" si="13"/>
        <v>0.38840674117329771</v>
      </c>
      <c r="X26">
        <f t="shared" si="14"/>
        <v>11.907466166750366</v>
      </c>
      <c r="Y26">
        <f t="shared" si="15"/>
        <v>6.452392003860016</v>
      </c>
      <c r="Z26">
        <f t="shared" si="16"/>
        <v>6.2289224458389771</v>
      </c>
      <c r="AA26">
        <f t="shared" si="17"/>
        <v>5.9798810924198937</v>
      </c>
    </row>
    <row r="27" spans="1:27" x14ac:dyDescent="0.25">
      <c r="A27">
        <v>1972</v>
      </c>
      <c r="B27" s="14">
        <f t="shared" si="18"/>
        <v>26</v>
      </c>
      <c r="C27" s="15">
        <v>5330.5</v>
      </c>
      <c r="D27">
        <f>Sheet1!$Q$4+B27*Sheet1!$R$4</f>
        <v>4591.197336790643</v>
      </c>
      <c r="E27">
        <f>Sheet1!$Q$7+Sheet2!B27*Sheet1!$Q$8+Sheet1!$Q$9*Sheet2!B27*Sheet2!B27</f>
        <v>4920.0339445013433</v>
      </c>
      <c r="F27">
        <f>EXP(Sheet1!$Q$15+Sheet1!$R$15*B27)</f>
        <v>4403.3129956030298</v>
      </c>
      <c r="G27">
        <f>Sheet1!$Q$29*Sheet1!$Q$28^Sheet2!B27+Sheet1!$Q$30</f>
        <v>4625.466361323819</v>
      </c>
      <c r="H27">
        <f>EXP(Sheet1!$R$29*Sheet1!$R$28^Sheet2!B27+Sheet1!$R$30)</f>
        <v>4638.7551871973437</v>
      </c>
      <c r="I27">
        <f>1/(Sheet1!$S$29*Sheet1!$S$28^Sheet2!B27+Sheet1!$S$30)</f>
        <v>4653.5779775174224</v>
      </c>
      <c r="J27">
        <f t="shared" si="0"/>
        <v>546568.42782844789</v>
      </c>
      <c r="K27">
        <f t="shared" si="1"/>
        <v>168482.38271662634</v>
      </c>
      <c r="L27">
        <f t="shared" si="2"/>
        <v>859675.74112262728</v>
      </c>
      <c r="M27">
        <f t="shared" si="3"/>
        <v>497072.43166497577</v>
      </c>
      <c r="N27">
        <f t="shared" si="4"/>
        <v>478510.88603938196</v>
      </c>
      <c r="O27">
        <f t="shared" si="5"/>
        <v>458223.42452190333</v>
      </c>
      <c r="P27">
        <f t="shared" si="6"/>
        <v>739.30266320935698</v>
      </c>
      <c r="Q27">
        <f t="shared" si="7"/>
        <v>410.46605549865671</v>
      </c>
      <c r="R27">
        <f t="shared" si="8"/>
        <v>927.18700439697022</v>
      </c>
      <c r="S27">
        <f t="shared" si="9"/>
        <v>705.033638676181</v>
      </c>
      <c r="T27">
        <f t="shared" si="10"/>
        <v>691.74481280265627</v>
      </c>
      <c r="U27">
        <f t="shared" si="11"/>
        <v>676.92202248257763</v>
      </c>
      <c r="V27">
        <f t="shared" si="12"/>
        <v>13.869292997080143</v>
      </c>
      <c r="W27">
        <f t="shared" si="13"/>
        <v>7.7003293405619866</v>
      </c>
      <c r="X27">
        <f t="shared" si="14"/>
        <v>17.393996893292751</v>
      </c>
      <c r="Y27">
        <f t="shared" si="15"/>
        <v>13.226407254032098</v>
      </c>
      <c r="Z27">
        <f t="shared" si="16"/>
        <v>12.977109329381038</v>
      </c>
      <c r="AA27">
        <f t="shared" si="17"/>
        <v>12.699034283511445</v>
      </c>
    </row>
    <row r="28" spans="1:27" x14ac:dyDescent="0.25">
      <c r="A28">
        <v>1973</v>
      </c>
      <c r="B28" s="14">
        <f t="shared" si="18"/>
        <v>27</v>
      </c>
      <c r="C28" s="15">
        <v>5643.5</v>
      </c>
      <c r="D28">
        <f>Sheet1!$Q$4+B28*Sheet1!$R$4</f>
        <v>4694.3628825324795</v>
      </c>
      <c r="E28">
        <f>Sheet1!$Q$7+Sheet2!B28*Sheet1!$Q$8+Sheet1!$Q$9*Sheet2!B28*Sheet2!B28</f>
        <v>4997.2387054239161</v>
      </c>
      <c r="F28">
        <f>EXP(Sheet1!$Q$15+Sheet1!$R$15*B28)</f>
        <v>4532.070103323631</v>
      </c>
      <c r="G28">
        <f>Sheet1!$Q$29*Sheet1!$Q$28^Sheet2!B28+Sheet1!$Q$30</f>
        <v>4705.0221266344151</v>
      </c>
      <c r="H28">
        <f>EXP(Sheet1!$R$29*Sheet1!$R$28^Sheet2!B28+Sheet1!$R$30)</f>
        <v>4720.05171339968</v>
      </c>
      <c r="I28">
        <f>1/(Sheet1!$S$29*Sheet1!$S$28^Sheet2!B28+Sheet1!$S$30)</f>
        <v>4736.8282198544675</v>
      </c>
      <c r="J28">
        <f t="shared" si="0"/>
        <v>900861.26775455382</v>
      </c>
      <c r="K28">
        <f t="shared" si="1"/>
        <v>417653.66086715582</v>
      </c>
      <c r="L28">
        <f t="shared" si="2"/>
        <v>1235276.4152260444</v>
      </c>
      <c r="M28">
        <f t="shared" si="3"/>
        <v>880740.71879679069</v>
      </c>
      <c r="N28">
        <f t="shared" si="4"/>
        <v>852756.73802506668</v>
      </c>
      <c r="O28">
        <f t="shared" si="5"/>
        <v>822053.71691226878</v>
      </c>
      <c r="P28">
        <f t="shared" si="6"/>
        <v>949.13711746752051</v>
      </c>
      <c r="Q28">
        <f t="shared" si="7"/>
        <v>646.26129457608386</v>
      </c>
      <c r="R28">
        <f t="shared" si="8"/>
        <v>1111.429896676369</v>
      </c>
      <c r="S28">
        <f t="shared" si="9"/>
        <v>938.47787336558486</v>
      </c>
      <c r="T28">
        <f t="shared" si="10"/>
        <v>923.44828660031999</v>
      </c>
      <c r="U28">
        <f t="shared" si="11"/>
        <v>906.67178014553247</v>
      </c>
      <c r="V28">
        <f t="shared" si="12"/>
        <v>16.818235447284852</v>
      </c>
      <c r="W28">
        <f t="shared" si="13"/>
        <v>11.451427209640896</v>
      </c>
      <c r="X28">
        <f t="shared" si="14"/>
        <v>19.693982398801612</v>
      </c>
      <c r="Y28">
        <f t="shared" si="15"/>
        <v>16.629358968115262</v>
      </c>
      <c r="Z28">
        <f t="shared" si="16"/>
        <v>16.363042200767609</v>
      </c>
      <c r="AA28">
        <f t="shared" si="17"/>
        <v>16.065770889439751</v>
      </c>
    </row>
    <row r="29" spans="1:27" x14ac:dyDescent="0.25">
      <c r="A29">
        <v>1974</v>
      </c>
      <c r="B29" s="14">
        <f t="shared" si="18"/>
        <v>28</v>
      </c>
      <c r="C29" s="15">
        <v>5379.5</v>
      </c>
      <c r="D29">
        <f>Sheet1!$Q$4+B29*Sheet1!$R$4</f>
        <v>4797.528428274316</v>
      </c>
      <c r="E29">
        <f>Sheet1!$Q$7+Sheet2!B29*Sheet1!$Q$8+Sheet1!$Q$9*Sheet2!B29*Sheet2!B29</f>
        <v>5069.2513093826346</v>
      </c>
      <c r="F29">
        <f>EXP(Sheet1!$Q$15+Sheet1!$R$15*B29)</f>
        <v>4664.5921927307872</v>
      </c>
      <c r="G29">
        <f>Sheet1!$Q$29*Sheet1!$Q$28^Sheet2!B29+Sheet1!$Q$30</f>
        <v>4781.900147027085</v>
      </c>
      <c r="H29">
        <f>EXP(Sheet1!$R$29*Sheet1!$R$28^Sheet2!B29+Sheet1!$R$30)</f>
        <v>4797.9428988292129</v>
      </c>
      <c r="I29">
        <f>1/(Sheet1!$S$29*Sheet1!$S$28^Sheet2!B29+Sheet1!$S$30)</f>
        <v>4815.8507058672958</v>
      </c>
      <c r="J29">
        <f t="shared" si="0"/>
        <v>338690.910296863</v>
      </c>
      <c r="K29">
        <f t="shared" si="1"/>
        <v>96254.250029789691</v>
      </c>
      <c r="L29">
        <f t="shared" si="2"/>
        <v>511093.17289447383</v>
      </c>
      <c r="M29">
        <f t="shared" si="3"/>
        <v>357125.58427324955</v>
      </c>
      <c r="N29">
        <f t="shared" si="4"/>
        <v>338208.66192216903</v>
      </c>
      <c r="O29">
        <f t="shared" si="5"/>
        <v>317700.52677629568</v>
      </c>
      <c r="P29">
        <f t="shared" si="6"/>
        <v>581.97157172568404</v>
      </c>
      <c r="Q29">
        <f t="shared" si="7"/>
        <v>310.24869061736536</v>
      </c>
      <c r="R29">
        <f t="shared" si="8"/>
        <v>714.90780726921275</v>
      </c>
      <c r="S29">
        <f t="shared" si="9"/>
        <v>597.59985297291496</v>
      </c>
      <c r="T29">
        <f t="shared" si="10"/>
        <v>581.55710117078706</v>
      </c>
      <c r="U29">
        <f t="shared" si="11"/>
        <v>563.6492941327042</v>
      </c>
      <c r="V29">
        <f t="shared" si="12"/>
        <v>10.818320879741314</v>
      </c>
      <c r="W29">
        <f t="shared" si="13"/>
        <v>5.7672402754413117</v>
      </c>
      <c r="X29">
        <f t="shared" si="14"/>
        <v>13.289484287930343</v>
      </c>
      <c r="Y29">
        <f t="shared" si="15"/>
        <v>11.108836378342131</v>
      </c>
      <c r="Z29">
        <f t="shared" si="16"/>
        <v>10.810616250037867</v>
      </c>
      <c r="AA29">
        <f t="shared" si="17"/>
        <v>10.477726445444823</v>
      </c>
    </row>
    <row r="30" spans="1:27" x14ac:dyDescent="0.25">
      <c r="A30">
        <v>1975</v>
      </c>
      <c r="B30" s="16">
        <f t="shared" si="18"/>
        <v>29</v>
      </c>
      <c r="C30" s="1">
        <v>5203</v>
      </c>
      <c r="D30">
        <f>Sheet1!$Q$4+B30*Sheet1!$R$4</f>
        <v>4900.6939740161524</v>
      </c>
      <c r="E30">
        <f>Sheet1!$Q$7+Sheet2!B30*Sheet1!$Q$8+Sheet1!$Q$9*Sheet2!B30*Sheet2!B30</f>
        <v>5136.0717563775006</v>
      </c>
      <c r="F30">
        <f>EXP(Sheet1!$Q$15+Sheet1!$R$15*B30)</f>
        <v>4800.9893555106873</v>
      </c>
      <c r="G30">
        <f>Sheet1!$Q$29*Sheet1!$Q$28^Sheet2!B30+Sheet1!$Q$30</f>
        <v>4856.1905519577822</v>
      </c>
      <c r="H30">
        <f>EXP(Sheet1!$R$29*Sheet1!$R$28^Sheet2!B30+Sheet1!$R$30)</f>
        <v>4872.498517045241</v>
      </c>
      <c r="I30">
        <f>1/(Sheet1!$S$29*Sheet1!$S$28^Sheet2!B30+Sheet1!$S$30)</f>
        <v>4890.6869669590706</v>
      </c>
      <c r="J30">
        <f t="shared" si="0"/>
        <v>91388.933346146732</v>
      </c>
      <c r="K30">
        <f t="shared" si="1"/>
        <v>4479.3897943926313</v>
      </c>
      <c r="L30">
        <f t="shared" si="2"/>
        <v>161612.55828271253</v>
      </c>
      <c r="M30">
        <f t="shared" si="3"/>
        <v>120276.79325134777</v>
      </c>
      <c r="N30">
        <f t="shared" si="4"/>
        <v>109231.23023529486</v>
      </c>
      <c r="O30">
        <f t="shared" si="5"/>
        <v>97539.430607224684</v>
      </c>
      <c r="P30">
        <f t="shared" si="6"/>
        <v>302.30602598384758</v>
      </c>
      <c r="Q30">
        <f t="shared" si="7"/>
        <v>66.928243622499394</v>
      </c>
      <c r="R30">
        <f t="shared" si="8"/>
        <v>402.01064448931265</v>
      </c>
      <c r="S30">
        <f t="shared" si="9"/>
        <v>346.80944804221781</v>
      </c>
      <c r="T30">
        <f t="shared" si="10"/>
        <v>330.50148295475901</v>
      </c>
      <c r="U30">
        <f t="shared" si="11"/>
        <v>312.31303304092944</v>
      </c>
      <c r="V30">
        <f t="shared" si="12"/>
        <v>5.8102253696684141</v>
      </c>
      <c r="W30">
        <f t="shared" si="13"/>
        <v>1.2863394891889177</v>
      </c>
      <c r="X30">
        <f t="shared" si="14"/>
        <v>7.726516326913563</v>
      </c>
      <c r="Y30">
        <f t="shared" si="15"/>
        <v>6.665566942960174</v>
      </c>
      <c r="Z30">
        <f t="shared" si="16"/>
        <v>6.3521330569817218</v>
      </c>
      <c r="AA30">
        <f t="shared" si="17"/>
        <v>6.0025568526029103</v>
      </c>
    </row>
    <row r="31" spans="1:27" x14ac:dyDescent="0.25">
      <c r="A31">
        <v>1976</v>
      </c>
      <c r="B31" s="16">
        <f t="shared" si="18"/>
        <v>30</v>
      </c>
      <c r="C31" s="1">
        <v>5733.5</v>
      </c>
      <c r="D31">
        <f>Sheet1!$Q$4+B31*Sheet1!$R$4</f>
        <v>5003.859519757988</v>
      </c>
      <c r="E31">
        <f>Sheet1!$Q$7+Sheet2!B31*Sheet1!$Q$8+Sheet1!$Q$9*Sheet2!B31*Sheet2!B31</f>
        <v>5197.700046408514</v>
      </c>
      <c r="F31">
        <f>EXP(Sheet1!$Q$15+Sheet1!$R$15*B31)</f>
        <v>4941.3749025363613</v>
      </c>
      <c r="G31">
        <f>Sheet1!$Q$29*Sheet1!$Q$28^Sheet2!B31+Sheet1!$Q$30</f>
        <v>4927.9804372406934</v>
      </c>
      <c r="H31">
        <f>EXP(Sheet1!$R$29*Sheet1!$R$28^Sheet2!B31+Sheet1!$R$30)</f>
        <v>4943.795761104011</v>
      </c>
      <c r="I31">
        <f>1/(Sheet1!$S$29*Sheet1!$S$28^Sheet2!B31+Sheet1!$S$30)</f>
        <v>4961.4038000962091</v>
      </c>
      <c r="J31">
        <f t="shared" si="0"/>
        <v>532375.23040779389</v>
      </c>
      <c r="K31">
        <f t="shared" si="1"/>
        <v>287081.59026863851</v>
      </c>
      <c r="L31">
        <f t="shared" si="2"/>
        <v>627462.1700317791</v>
      </c>
      <c r="M31">
        <f t="shared" si="3"/>
        <v>648861.76598794456</v>
      </c>
      <c r="N31">
        <f t="shared" si="4"/>
        <v>623632.78493029322</v>
      </c>
      <c r="O31">
        <f t="shared" si="5"/>
        <v>596132.54190587462</v>
      </c>
      <c r="P31">
        <f t="shared" si="6"/>
        <v>729.64048024201202</v>
      </c>
      <c r="Q31">
        <f t="shared" si="7"/>
        <v>535.79995359148597</v>
      </c>
      <c r="R31">
        <f t="shared" si="8"/>
        <v>792.12509746363867</v>
      </c>
      <c r="S31">
        <f t="shared" si="9"/>
        <v>805.51956275930661</v>
      </c>
      <c r="T31">
        <f t="shared" si="10"/>
        <v>789.70423889598896</v>
      </c>
      <c r="U31">
        <f t="shared" si="11"/>
        <v>772.09619990379088</v>
      </c>
      <c r="V31">
        <f t="shared" si="12"/>
        <v>12.725917506619203</v>
      </c>
      <c r="W31">
        <f t="shared" si="13"/>
        <v>9.3450763685617151</v>
      </c>
      <c r="X31">
        <f t="shared" si="14"/>
        <v>13.815733800708793</v>
      </c>
      <c r="Y31">
        <f t="shared" si="15"/>
        <v>14.049351404191272</v>
      </c>
      <c r="Z31">
        <f t="shared" si="16"/>
        <v>13.773510750780309</v>
      </c>
      <c r="AA31">
        <f t="shared" si="17"/>
        <v>13.46640271917312</v>
      </c>
    </row>
    <row r="32" spans="1:27" x14ac:dyDescent="0.25">
      <c r="A32">
        <v>1977</v>
      </c>
      <c r="B32" s="16">
        <f t="shared" si="18"/>
        <v>31</v>
      </c>
      <c r="C32" s="1">
        <v>6116.5</v>
      </c>
      <c r="D32">
        <f>Sheet1!$Q$4+B32*Sheet1!$R$4</f>
        <v>5107.0250654998244</v>
      </c>
      <c r="E32">
        <f>Sheet1!$Q$7+Sheet2!B32*Sheet1!$Q$8+Sheet1!$Q$9*Sheet2!B32*Sheet2!B32</f>
        <v>5254.136179475674</v>
      </c>
      <c r="F32">
        <f>EXP(Sheet1!$Q$15+Sheet1!$R$15*B32)</f>
        <v>5085.8654579997301</v>
      </c>
      <c r="G32">
        <f>Sheet1!$Q$29*Sheet1!$Q$28^Sheet2!B32+Sheet1!$Q$30</f>
        <v>4997.3539671567205</v>
      </c>
      <c r="H32">
        <f>EXP(Sheet1!$R$29*Sheet1!$R$28^Sheet2!B32+Sheet1!$R$30)</f>
        <v>5011.9179445928485</v>
      </c>
      <c r="I32">
        <f>1/(Sheet1!$S$29*Sheet1!$S$28^Sheet2!B32+Sheet1!$S$30)</f>
        <v>5028.0898712376847</v>
      </c>
      <c r="J32">
        <f t="shared" si="0"/>
        <v>1019039.6433841337</v>
      </c>
      <c r="K32">
        <f t="shared" si="1"/>
        <v>743671.35894931189</v>
      </c>
      <c r="L32">
        <f t="shared" si="2"/>
        <v>1062207.5591641061</v>
      </c>
      <c r="M32">
        <f t="shared" si="3"/>
        <v>1252487.8428288507</v>
      </c>
      <c r="N32">
        <f t="shared" si="4"/>
        <v>1220101.5171274876</v>
      </c>
      <c r="O32">
        <f t="shared" si="5"/>
        <v>1184636.6083923997</v>
      </c>
      <c r="P32">
        <f t="shared" si="6"/>
        <v>1009.4749345001756</v>
      </c>
      <c r="Q32">
        <f t="shared" si="7"/>
        <v>862.363820524326</v>
      </c>
      <c r="R32">
        <f t="shared" si="8"/>
        <v>1030.6345420002699</v>
      </c>
      <c r="S32">
        <f t="shared" si="9"/>
        <v>1119.1460328432795</v>
      </c>
      <c r="T32">
        <f t="shared" si="10"/>
        <v>1104.5820554071515</v>
      </c>
      <c r="U32">
        <f t="shared" si="11"/>
        <v>1088.4101287623153</v>
      </c>
      <c r="V32">
        <f t="shared" si="12"/>
        <v>16.504127107008511</v>
      </c>
      <c r="W32">
        <f t="shared" si="13"/>
        <v>14.098975239505044</v>
      </c>
      <c r="X32">
        <f t="shared" si="14"/>
        <v>16.850070170853755</v>
      </c>
      <c r="Y32">
        <f t="shared" si="15"/>
        <v>18.297163947409132</v>
      </c>
      <c r="Z32">
        <f t="shared" si="16"/>
        <v>18.059054286064768</v>
      </c>
      <c r="AA32">
        <f t="shared" si="17"/>
        <v>17.794655910444131</v>
      </c>
    </row>
    <row r="33" spans="1:27" x14ac:dyDescent="0.25">
      <c r="A33">
        <v>1978</v>
      </c>
      <c r="B33" s="16">
        <f t="shared" si="18"/>
        <v>32</v>
      </c>
      <c r="C33" s="1">
        <v>6263</v>
      </c>
      <c r="D33">
        <f>Sheet1!$Q$4+B33*Sheet1!$R$4</f>
        <v>5210.19061124166</v>
      </c>
      <c r="E33">
        <f>Sheet1!$Q$7+Sheet2!B33*Sheet1!$Q$8+Sheet1!$Q$9*Sheet2!B33*Sheet2!B33</f>
        <v>5305.3801555789814</v>
      </c>
      <c r="F33">
        <f>EXP(Sheet1!$Q$15+Sheet1!$R$15*B33)</f>
        <v>5234.5810562963079</v>
      </c>
      <c r="G33">
        <f>Sheet1!$Q$29*Sheet1!$Q$28^Sheet2!B33+Sheet1!$Q$30</f>
        <v>5064.39247312513</v>
      </c>
      <c r="H33">
        <f>EXP(Sheet1!$R$29*Sheet1!$R$28^Sheet2!B33+Sheet1!$R$30)</f>
        <v>5076.9533169838751</v>
      </c>
      <c r="I33">
        <f>1/(Sheet1!$S$29*Sheet1!$S$28^Sheet2!B33+Sheet1!$S$30)</f>
        <v>5090.8523694239739</v>
      </c>
      <c r="J33">
        <f t="shared" si="0"/>
        <v>1108407.6090577096</v>
      </c>
      <c r="K33">
        <f t="shared" si="1"/>
        <v>917035.76642893581</v>
      </c>
      <c r="L33">
        <f t="shared" si="2"/>
        <v>1057645.5237686178</v>
      </c>
      <c r="M33">
        <f t="shared" si="3"/>
        <v>1436660.0034810922</v>
      </c>
      <c r="N33">
        <f t="shared" si="4"/>
        <v>1406706.7342935523</v>
      </c>
      <c r="O33">
        <f t="shared" si="5"/>
        <v>1373930.0678649922</v>
      </c>
      <c r="P33">
        <f t="shared" si="6"/>
        <v>1052.80938875834</v>
      </c>
      <c r="Q33">
        <f t="shared" si="7"/>
        <v>957.61984442101857</v>
      </c>
      <c r="R33">
        <f t="shared" si="8"/>
        <v>1028.4189437036921</v>
      </c>
      <c r="S33">
        <f t="shared" si="9"/>
        <v>1198.60752687487</v>
      </c>
      <c r="T33">
        <f t="shared" si="10"/>
        <v>1186.0466830161249</v>
      </c>
      <c r="U33">
        <f t="shared" si="11"/>
        <v>1172.1476305760261</v>
      </c>
      <c r="V33">
        <f t="shared" si="12"/>
        <v>16.809985450396614</v>
      </c>
      <c r="W33">
        <f t="shared" si="13"/>
        <v>15.290114073463492</v>
      </c>
      <c r="X33">
        <f t="shared" si="14"/>
        <v>16.420548358673035</v>
      </c>
      <c r="Y33">
        <f t="shared" si="15"/>
        <v>19.137913569772792</v>
      </c>
      <c r="Z33">
        <f t="shared" si="16"/>
        <v>18.937357225229519</v>
      </c>
      <c r="AA33">
        <f t="shared" si="17"/>
        <v>18.715433986524449</v>
      </c>
    </row>
    <row r="34" spans="1:27" x14ac:dyDescent="0.25">
      <c r="A34">
        <v>1979</v>
      </c>
      <c r="B34" s="16">
        <f t="shared" si="18"/>
        <v>33</v>
      </c>
      <c r="C34" s="1">
        <v>6042.5</v>
      </c>
      <c r="D34">
        <f>Sheet1!$Q$4+B34*Sheet1!$R$4</f>
        <v>5313.3561569834965</v>
      </c>
      <c r="E34">
        <f>Sheet1!$Q$7+Sheet2!B34*Sheet1!$Q$8+Sheet1!$Q$9*Sheet2!B34*Sheet2!B34</f>
        <v>5351.4319747184354</v>
      </c>
      <c r="F34">
        <f>EXP(Sheet1!$Q$15+Sheet1!$R$15*B34)</f>
        <v>5387.6452417427618</v>
      </c>
      <c r="G34">
        <f>Sheet1!$Q$29*Sheet1!$Q$28^Sheet2!B34+Sheet1!$Q$30</f>
        <v>5129.1745490540407</v>
      </c>
      <c r="H34">
        <f>EXP(Sheet1!$R$29*Sheet1!$R$28^Sheet2!B34+Sheet1!$R$30)</f>
        <v>5138.9939899507144</v>
      </c>
      <c r="I34">
        <f>1/(Sheet1!$S$29*Sheet1!$S$28^Sheet2!B34+Sheet1!$S$30)</f>
        <v>5149.813781742926</v>
      </c>
      <c r="J34">
        <f t="shared" si="0"/>
        <v>531650.74380887556</v>
      </c>
      <c r="K34">
        <f t="shared" si="1"/>
        <v>477575.0155665612</v>
      </c>
      <c r="L34">
        <f t="shared" si="2"/>
        <v>428834.75441214594</v>
      </c>
      <c r="M34">
        <f t="shared" si="3"/>
        <v>834163.37934563996</v>
      </c>
      <c r="N34">
        <f t="shared" si="4"/>
        <v>816323.1101951797</v>
      </c>
      <c r="O34">
        <f t="shared" si="5"/>
        <v>796888.68426611624</v>
      </c>
      <c r="P34">
        <f t="shared" si="6"/>
        <v>729.14384301650352</v>
      </c>
      <c r="Q34">
        <f t="shared" si="7"/>
        <v>691.06802528156459</v>
      </c>
      <c r="R34">
        <f t="shared" si="8"/>
        <v>654.85475825723825</v>
      </c>
      <c r="S34">
        <f t="shared" si="9"/>
        <v>913.32545094595935</v>
      </c>
      <c r="T34">
        <f t="shared" si="10"/>
        <v>903.50601004928558</v>
      </c>
      <c r="U34">
        <f t="shared" si="11"/>
        <v>892.68621825707396</v>
      </c>
      <c r="V34">
        <f t="shared" si="12"/>
        <v>12.066923343260298</v>
      </c>
      <c r="W34">
        <f t="shared" si="13"/>
        <v>11.436789826753241</v>
      </c>
      <c r="X34">
        <f t="shared" si="14"/>
        <v>10.837480484190952</v>
      </c>
      <c r="Y34">
        <f t="shared" si="15"/>
        <v>15.115026081025391</v>
      </c>
      <c r="Z34">
        <f t="shared" si="16"/>
        <v>14.952519818771792</v>
      </c>
      <c r="AA34">
        <f t="shared" si="17"/>
        <v>14.77345830793668</v>
      </c>
    </row>
    <row r="35" spans="1:27" x14ac:dyDescent="0.25">
      <c r="A35">
        <v>1980</v>
      </c>
      <c r="B35" s="16">
        <f t="shared" si="18"/>
        <v>34</v>
      </c>
      <c r="C35" s="1">
        <v>5245</v>
      </c>
      <c r="D35">
        <f>Sheet1!$Q$4+B35*Sheet1!$R$4</f>
        <v>5416.5217027253329</v>
      </c>
      <c r="E35">
        <f>Sheet1!$Q$7+Sheet2!B35*Sheet1!$Q$8+Sheet1!$Q$9*Sheet2!B35*Sheet2!B35</f>
        <v>5392.2916368940369</v>
      </c>
      <c r="F35">
        <f>EXP(Sheet1!$Q$15+Sheet1!$R$15*B35)</f>
        <v>5545.1851712104608</v>
      </c>
      <c r="G35">
        <f>Sheet1!$Q$29*Sheet1!$Q$28^Sheet2!B35+Sheet1!$Q$30</f>
        <v>5191.7761434815266</v>
      </c>
      <c r="H35">
        <f>EXP(Sheet1!$R$29*Sheet1!$R$28^Sheet2!B35+Sheet1!$R$30)</f>
        <v>5198.1349702323723</v>
      </c>
      <c r="I35">
        <f>1/(Sheet1!$S$29*Sheet1!$S$28^Sheet2!B35+Sheet1!$S$30)</f>
        <v>5205.1088441508018</v>
      </c>
      <c r="J35">
        <f t="shared" si="0"/>
        <v>29419.694505797488</v>
      </c>
      <c r="K35">
        <f t="shared" si="1"/>
        <v>21694.8262989248</v>
      </c>
      <c r="L35">
        <f t="shared" si="2"/>
        <v>90111.137014653665</v>
      </c>
      <c r="M35">
        <f t="shared" si="3"/>
        <v>2832.7789026990476</v>
      </c>
      <c r="N35">
        <f t="shared" si="4"/>
        <v>2196.3310151206283</v>
      </c>
      <c r="O35">
        <f t="shared" si="5"/>
        <v>1591.3043149850187</v>
      </c>
      <c r="P35">
        <f t="shared" si="6"/>
        <v>171.52170272533294</v>
      </c>
      <c r="Q35">
        <f t="shared" si="7"/>
        <v>147.29163689403686</v>
      </c>
      <c r="R35">
        <f t="shared" si="8"/>
        <v>300.18517121046079</v>
      </c>
      <c r="S35">
        <f t="shared" si="9"/>
        <v>53.22385651847344</v>
      </c>
      <c r="T35">
        <f t="shared" si="10"/>
        <v>46.865029767627675</v>
      </c>
      <c r="U35">
        <f t="shared" si="11"/>
        <v>39.891155849198185</v>
      </c>
      <c r="V35">
        <f t="shared" si="12"/>
        <v>3.27019452288528</v>
      </c>
      <c r="W35">
        <f t="shared" si="13"/>
        <v>2.8082294927366416</v>
      </c>
      <c r="X35">
        <f t="shared" si="14"/>
        <v>5.7232635121155537</v>
      </c>
      <c r="Y35">
        <f t="shared" si="15"/>
        <v>1.0147541757573582</v>
      </c>
      <c r="Z35">
        <f t="shared" si="16"/>
        <v>0.89351820338660959</v>
      </c>
      <c r="AA35">
        <f t="shared" si="17"/>
        <v>0.76055587891702925</v>
      </c>
    </row>
    <row r="36" spans="1:27" x14ac:dyDescent="0.25">
      <c r="A36">
        <v>1981</v>
      </c>
      <c r="B36" s="16">
        <f t="shared" si="18"/>
        <v>35</v>
      </c>
      <c r="C36" s="1">
        <v>5162.5</v>
      </c>
      <c r="D36">
        <f>Sheet1!$Q$4+B36*Sheet1!$R$4</f>
        <v>5519.6872484671694</v>
      </c>
      <c r="E36">
        <f>Sheet1!$Q$7+Sheet2!B36*Sheet1!$Q$8+Sheet1!$Q$9*Sheet2!B36*Sheet2!B36</f>
        <v>5427.9591421057848</v>
      </c>
      <c r="F36">
        <f>EXP(Sheet1!$Q$15+Sheet1!$R$15*B36)</f>
        <v>5707.3317197599699</v>
      </c>
      <c r="G36">
        <f>Sheet1!$Q$29*Sheet1!$Q$28^Sheet2!B36+Sheet1!$Q$30</f>
        <v>5252.2706486153857</v>
      </c>
      <c r="H36">
        <f>EXP(Sheet1!$R$29*Sheet1!$R$28^Sheet2!B36+Sheet1!$R$30)</f>
        <v>5254.4732938499528</v>
      </c>
      <c r="I36">
        <f>1/(Sheet1!$S$29*Sheet1!$S$28^Sheet2!B36+Sheet1!$S$30)</f>
        <v>5256.881708642105</v>
      </c>
      <c r="J36">
        <f t="shared" si="0"/>
        <v>127582.73046754742</v>
      </c>
      <c r="K36">
        <f t="shared" si="1"/>
        <v>70468.556127539268</v>
      </c>
      <c r="L36">
        <f t="shared" si="2"/>
        <v>296841.60285660642</v>
      </c>
      <c r="M36">
        <f t="shared" si="3"/>
        <v>8058.769352827042</v>
      </c>
      <c r="N36">
        <f t="shared" si="4"/>
        <v>8459.0867816097707</v>
      </c>
      <c r="O36">
        <f t="shared" si="5"/>
        <v>8907.9069262031917</v>
      </c>
      <c r="P36">
        <f t="shared" si="6"/>
        <v>357.18724846716941</v>
      </c>
      <c r="Q36">
        <f t="shared" si="7"/>
        <v>265.45914210578485</v>
      </c>
      <c r="R36">
        <f t="shared" si="8"/>
        <v>544.83171975996993</v>
      </c>
      <c r="S36">
        <f t="shared" si="9"/>
        <v>89.770648615385653</v>
      </c>
      <c r="T36">
        <f t="shared" si="10"/>
        <v>91.973293849952825</v>
      </c>
      <c r="U36">
        <f t="shared" si="11"/>
        <v>94.381708642104968</v>
      </c>
      <c r="V36">
        <f t="shared" si="12"/>
        <v>6.9188813262405695</v>
      </c>
      <c r="W36">
        <f t="shared" si="13"/>
        <v>5.1420657066495856</v>
      </c>
      <c r="X36">
        <f t="shared" si="14"/>
        <v>10.553641060725809</v>
      </c>
      <c r="Y36">
        <f t="shared" si="15"/>
        <v>1.73889876252563</v>
      </c>
      <c r="Z36">
        <f t="shared" si="16"/>
        <v>1.7815650140426698</v>
      </c>
      <c r="AA36">
        <f t="shared" si="17"/>
        <v>1.8282171165540915</v>
      </c>
    </row>
    <row r="37" spans="1:27" x14ac:dyDescent="0.25">
      <c r="A37">
        <v>1982</v>
      </c>
      <c r="B37" s="16">
        <f t="shared" si="18"/>
        <v>36</v>
      </c>
      <c r="C37" s="1">
        <v>4874.5</v>
      </c>
      <c r="D37">
        <f>Sheet1!$Q$4+B37*Sheet1!$R$4</f>
        <v>5622.852794209005</v>
      </c>
      <c r="E37">
        <f>Sheet1!$Q$7+Sheet2!B37*Sheet1!$Q$8+Sheet1!$Q$9*Sheet2!B37*Sheet2!B37</f>
        <v>5458.4344903536803</v>
      </c>
      <c r="F37">
        <f>EXP(Sheet1!$Q$15+Sheet1!$R$15*B37)</f>
        <v>5874.2195893645476</v>
      </c>
      <c r="G37">
        <f>Sheet1!$Q$29*Sheet1!$Q$28^Sheet2!B37+Sheet1!$Q$30</f>
        <v>5310.7289863759288</v>
      </c>
      <c r="H37">
        <f>EXP(Sheet1!$R$29*Sheet1!$R$28^Sheet2!B37+Sheet1!$R$30)</f>
        <v>5308.1072559411023</v>
      </c>
      <c r="I37">
        <f>1/(Sheet1!$S$29*Sheet1!$S$28^Sheet2!B37+Sheet1!$S$30)</f>
        <v>5305.2833540425045</v>
      </c>
      <c r="J37">
        <f t="shared" si="0"/>
        <v>560031.90460042539</v>
      </c>
      <c r="K37">
        <f t="shared" si="1"/>
        <v>340979.48902461235</v>
      </c>
      <c r="L37">
        <f t="shared" si="2"/>
        <v>999439.2573592196</v>
      </c>
      <c r="M37">
        <f t="shared" si="3"/>
        <v>190295.72855457026</v>
      </c>
      <c r="N37">
        <f t="shared" si="4"/>
        <v>188015.25240477256</v>
      </c>
      <c r="O37">
        <f t="shared" si="5"/>
        <v>185574.29812010974</v>
      </c>
      <c r="P37">
        <f t="shared" si="6"/>
        <v>748.35279420900497</v>
      </c>
      <c r="Q37">
        <f t="shared" si="7"/>
        <v>583.9344903536803</v>
      </c>
      <c r="R37">
        <f t="shared" si="8"/>
        <v>999.71958936454757</v>
      </c>
      <c r="S37">
        <f t="shared" si="9"/>
        <v>436.2289863759288</v>
      </c>
      <c r="T37">
        <f t="shared" si="10"/>
        <v>433.60725594110227</v>
      </c>
      <c r="U37">
        <f t="shared" si="11"/>
        <v>430.78335404250447</v>
      </c>
      <c r="V37">
        <f t="shared" si="12"/>
        <v>15.352401153123498</v>
      </c>
      <c r="W37">
        <f t="shared" si="13"/>
        <v>11.979372045413484</v>
      </c>
      <c r="X37">
        <f t="shared" si="14"/>
        <v>20.509172004606576</v>
      </c>
      <c r="Y37">
        <f t="shared" si="15"/>
        <v>8.9492047671746597</v>
      </c>
      <c r="Z37">
        <f t="shared" si="16"/>
        <v>8.8954201649626068</v>
      </c>
      <c r="AA37">
        <f t="shared" si="17"/>
        <v>8.8374880304134678</v>
      </c>
    </row>
    <row r="38" spans="1:27" x14ac:dyDescent="0.25">
      <c r="A38">
        <v>1983</v>
      </c>
      <c r="B38" s="16">
        <f t="shared" si="18"/>
        <v>37</v>
      </c>
      <c r="C38" s="1">
        <v>4909.5</v>
      </c>
      <c r="D38">
        <f>Sheet1!$Q$4+B38*Sheet1!$R$4</f>
        <v>5726.0183399508414</v>
      </c>
      <c r="E38">
        <f>Sheet1!$Q$7+Sheet2!B38*Sheet1!$Q$8+Sheet1!$Q$9*Sheet2!B38*Sheet2!B38</f>
        <v>5483.7176816377223</v>
      </c>
      <c r="F38">
        <f>EXP(Sheet1!$Q$15+Sheet1!$R$15*B38)</f>
        <v>6045.9874208127285</v>
      </c>
      <c r="G38">
        <f>Sheet1!$Q$29*Sheet1!$Q$28^Sheet2!B38+Sheet1!$Q$30</f>
        <v>5367.2196915426857</v>
      </c>
      <c r="H38">
        <f>EXP(Sheet1!$R$29*Sheet1!$R$28^Sheet2!B38+Sheet1!$R$30)</f>
        <v>5359.1357301367025</v>
      </c>
      <c r="I38">
        <f>1/(Sheet1!$S$29*Sheet1!$S$28^Sheet2!B38+Sheet1!$S$30)</f>
        <v>5350.4692560710073</v>
      </c>
      <c r="J38">
        <f t="shared" si="0"/>
        <v>666702.19947607792</v>
      </c>
      <c r="K38">
        <f t="shared" si="1"/>
        <v>329725.94590540061</v>
      </c>
      <c r="L38">
        <f t="shared" si="2"/>
        <v>1291603.6576655677</v>
      </c>
      <c r="M38">
        <f t="shared" si="3"/>
        <v>209507.31602593136</v>
      </c>
      <c r="N38">
        <f t="shared" si="4"/>
        <v>202172.28981556554</v>
      </c>
      <c r="O38">
        <f t="shared" si="5"/>
        <v>194453.88479981761</v>
      </c>
      <c r="P38">
        <f t="shared" si="6"/>
        <v>816.51833995084144</v>
      </c>
      <c r="Q38">
        <f t="shared" si="7"/>
        <v>574.21768163772231</v>
      </c>
      <c r="R38">
        <f t="shared" si="8"/>
        <v>1136.4874208127285</v>
      </c>
      <c r="S38">
        <f t="shared" si="9"/>
        <v>457.71969154268572</v>
      </c>
      <c r="T38">
        <f t="shared" si="10"/>
        <v>449.63573013670248</v>
      </c>
      <c r="U38">
        <f t="shared" si="11"/>
        <v>440.96925607100729</v>
      </c>
      <c r="V38">
        <f t="shared" si="12"/>
        <v>16.631395049411172</v>
      </c>
      <c r="W38">
        <f t="shared" si="13"/>
        <v>11.696052177161061</v>
      </c>
      <c r="X38">
        <f t="shared" si="14"/>
        <v>23.148740621503791</v>
      </c>
      <c r="Y38">
        <f t="shared" si="15"/>
        <v>9.3231427139766936</v>
      </c>
      <c r="Z38">
        <f t="shared" si="16"/>
        <v>9.1584831477075568</v>
      </c>
      <c r="AA38">
        <f t="shared" si="17"/>
        <v>8.9819585715654799</v>
      </c>
    </row>
    <row r="39" spans="1:27" x14ac:dyDescent="0.25">
      <c r="A39">
        <v>1984</v>
      </c>
      <c r="B39" s="16">
        <f t="shared" si="18"/>
        <v>38</v>
      </c>
      <c r="C39" s="1">
        <v>5206</v>
      </c>
      <c r="D39">
        <f>Sheet1!$Q$4+B39*Sheet1!$R$4</f>
        <v>5829.183885692677</v>
      </c>
      <c r="E39">
        <f>Sheet1!$Q$7+Sheet2!B39*Sheet1!$Q$8+Sheet1!$Q$9*Sheet2!B39*Sheet2!B39</f>
        <v>5503.8087159579118</v>
      </c>
      <c r="F39">
        <f>EXP(Sheet1!$Q$15+Sheet1!$R$15*B39)</f>
        <v>6222.7779088830366</v>
      </c>
      <c r="G39">
        <f>Sheet1!$Q$29*Sheet1!$Q$28^Sheet2!B39+Sheet1!$Q$30</f>
        <v>5421.8089921025012</v>
      </c>
      <c r="H39">
        <f>EXP(Sheet1!$R$29*Sheet1!$R$28^Sheet2!B39+Sheet1!$R$30)</f>
        <v>5407.6575712292261</v>
      </c>
      <c r="I39">
        <f>1/(Sheet1!$S$29*Sheet1!$S$28^Sheet2!B39+Sheet1!$S$30)</f>
        <v>5392.5973224460504</v>
      </c>
      <c r="J39">
        <f t="shared" si="0"/>
        <v>388358.15538702352</v>
      </c>
      <c r="K39">
        <f t="shared" si="1"/>
        <v>88690.031300500181</v>
      </c>
      <c r="L39">
        <f t="shared" si="2"/>
        <v>1033837.3159925607</v>
      </c>
      <c r="M39">
        <f t="shared" si="3"/>
        <v>46573.521072297415</v>
      </c>
      <c r="N39">
        <f t="shared" si="4"/>
        <v>40665.776034070375</v>
      </c>
      <c r="O39">
        <f t="shared" si="5"/>
        <v>34818.560744035298</v>
      </c>
      <c r="P39">
        <f t="shared" si="6"/>
        <v>623.18388569267699</v>
      </c>
      <c r="Q39">
        <f t="shared" si="7"/>
        <v>297.80871595791177</v>
      </c>
      <c r="R39">
        <f t="shared" si="8"/>
        <v>1016.7779088830366</v>
      </c>
      <c r="S39">
        <f t="shared" si="9"/>
        <v>215.80899210250118</v>
      </c>
      <c r="T39">
        <f t="shared" si="10"/>
        <v>201.65757122922605</v>
      </c>
      <c r="U39">
        <f t="shared" si="11"/>
        <v>186.59732244605038</v>
      </c>
      <c r="V39">
        <f t="shared" si="12"/>
        <v>11.970493386336477</v>
      </c>
      <c r="W39">
        <f t="shared" si="13"/>
        <v>5.7204901259683396</v>
      </c>
      <c r="X39">
        <f t="shared" si="14"/>
        <v>19.530885687342231</v>
      </c>
      <c r="Y39">
        <f t="shared" si="15"/>
        <v>4.1453897829908026</v>
      </c>
      <c r="Z39">
        <f t="shared" si="16"/>
        <v>3.8735607228049567</v>
      </c>
      <c r="AA39">
        <f t="shared" si="17"/>
        <v>3.5842743458711177</v>
      </c>
    </row>
    <row r="40" spans="1:27" x14ac:dyDescent="0.25">
      <c r="A40">
        <v>1985</v>
      </c>
      <c r="B40" s="16">
        <f t="shared" si="18"/>
        <v>39</v>
      </c>
      <c r="C40" s="1">
        <v>5234</v>
      </c>
      <c r="D40">
        <f>Sheet1!$Q$4+B40*Sheet1!$R$4</f>
        <v>5932.3494314345135</v>
      </c>
      <c r="E40">
        <f>Sheet1!$Q$7+Sheet2!B40*Sheet1!$Q$8+Sheet1!$Q$9*Sheet2!B40*Sheet2!B40</f>
        <v>5518.7075933142487</v>
      </c>
      <c r="F40">
        <f>EXP(Sheet1!$Q$15+Sheet1!$R$15*B40)</f>
        <v>6404.737920886625</v>
      </c>
      <c r="G40">
        <f>Sheet1!$Q$29*Sheet1!$Q$28^Sheet2!B40+Sheet1!$Q$30</f>
        <v>5474.5608868932122</v>
      </c>
      <c r="H40">
        <f>EXP(Sheet1!$R$29*Sheet1!$R$28^Sheet2!B40+Sheet1!$R$30)</f>
        <v>5453.7710948418571</v>
      </c>
      <c r="I40">
        <f>1/(Sheet1!$S$29*Sheet1!$S$28^Sheet2!B40+Sheet1!$S$30)</f>
        <v>5431.8260907305366</v>
      </c>
      <c r="J40">
        <f t="shared" si="0"/>
        <v>487691.92838490824</v>
      </c>
      <c r="K40">
        <f t="shared" si="1"/>
        <v>81058.413690791625</v>
      </c>
      <c r="L40">
        <f t="shared" si="2"/>
        <v>1370627.2794019375</v>
      </c>
      <c r="M40">
        <f t="shared" si="3"/>
        <v>57869.540302848844</v>
      </c>
      <c r="N40">
        <f t="shared" si="4"/>
        <v>48299.334127988557</v>
      </c>
      <c r="O40">
        <f t="shared" si="5"/>
        <v>39135.162173726516</v>
      </c>
      <c r="P40">
        <f t="shared" si="6"/>
        <v>698.34943143451346</v>
      </c>
      <c r="Q40">
        <f t="shared" si="7"/>
        <v>284.7075933142487</v>
      </c>
      <c r="R40">
        <f t="shared" si="8"/>
        <v>1170.737920886625</v>
      </c>
      <c r="S40">
        <f t="shared" si="9"/>
        <v>240.56088689321223</v>
      </c>
      <c r="T40">
        <f t="shared" si="10"/>
        <v>219.77109484185712</v>
      </c>
      <c r="U40">
        <f t="shared" si="11"/>
        <v>197.82609073053663</v>
      </c>
      <c r="V40">
        <f t="shared" si="12"/>
        <v>13.342556962829834</v>
      </c>
      <c r="W40">
        <f t="shared" si="13"/>
        <v>5.4395795436425045</v>
      </c>
      <c r="X40">
        <f t="shared" si="14"/>
        <v>22.367938878231278</v>
      </c>
      <c r="Y40">
        <f t="shared" si="15"/>
        <v>4.5961193521821215</v>
      </c>
      <c r="Z40">
        <f t="shared" si="16"/>
        <v>4.1989127787897811</v>
      </c>
      <c r="AA40">
        <f t="shared" si="17"/>
        <v>3.779634901233027</v>
      </c>
    </row>
    <row r="41" spans="1:27" x14ac:dyDescent="0.25">
      <c r="A41">
        <v>1986</v>
      </c>
      <c r="B41" s="16">
        <f t="shared" si="18"/>
        <v>40</v>
      </c>
      <c r="C41" s="1">
        <v>5318.5</v>
      </c>
      <c r="D41">
        <f>Sheet1!$Q$4+B41*Sheet1!$R$4</f>
        <v>6035.5149771763499</v>
      </c>
      <c r="E41">
        <f>Sheet1!$Q$7+Sheet2!B41*Sheet1!$Q$8+Sheet1!$Q$9*Sheet2!B41*Sheet2!B41</f>
        <v>5528.4143137067313</v>
      </c>
      <c r="F41">
        <f>EXP(Sheet1!$Q$15+Sheet1!$R$15*B41)</f>
        <v>6592.0186186760602</v>
      </c>
      <c r="G41">
        <f>Sheet1!$Q$29*Sheet1!$Q$28^Sheet2!B41+Sheet1!$Q$30</f>
        <v>5525.5372206339434</v>
      </c>
      <c r="H41">
        <f>EXP(Sheet1!$R$29*Sheet1!$R$28^Sheet2!B41+Sheet1!$R$30)</f>
        <v>5497.5736278755694</v>
      </c>
      <c r="I41">
        <f>1/(Sheet1!$S$29*Sheet1!$S$28^Sheet2!B41+Sheet1!$S$30)</f>
        <v>5468.3131802590833</v>
      </c>
      <c r="J41">
        <f t="shared" si="0"/>
        <v>514110.47749520163</v>
      </c>
      <c r="K41">
        <f t="shared" si="1"/>
        <v>44064.019098967983</v>
      </c>
      <c r="L41">
        <f t="shared" si="2"/>
        <v>1621849.6721145804</v>
      </c>
      <c r="M41">
        <f t="shared" si="3"/>
        <v>42864.410727828174</v>
      </c>
      <c r="N41">
        <f t="shared" si="4"/>
        <v>32067.364200517906</v>
      </c>
      <c r="O41">
        <f t="shared" si="5"/>
        <v>22443.988979340589</v>
      </c>
      <c r="P41">
        <f t="shared" si="6"/>
        <v>717.01497717634993</v>
      </c>
      <c r="Q41">
        <f t="shared" si="7"/>
        <v>209.91431370673126</v>
      </c>
      <c r="R41">
        <f t="shared" si="8"/>
        <v>1273.5186186760602</v>
      </c>
      <c r="S41">
        <f t="shared" si="9"/>
        <v>207.03722063394343</v>
      </c>
      <c r="T41">
        <f t="shared" si="10"/>
        <v>179.0736278755694</v>
      </c>
      <c r="U41">
        <f t="shared" si="11"/>
        <v>149.81318025908331</v>
      </c>
      <c r="V41">
        <f t="shared" si="12"/>
        <v>13.481526317126068</v>
      </c>
      <c r="W41">
        <f t="shared" si="13"/>
        <v>3.946870615901688</v>
      </c>
      <c r="X41">
        <f t="shared" si="14"/>
        <v>23.945071329812169</v>
      </c>
      <c r="Y41">
        <f t="shared" si="15"/>
        <v>3.8927746664274405</v>
      </c>
      <c r="Z41">
        <f t="shared" si="16"/>
        <v>3.3669949774479533</v>
      </c>
      <c r="AA41">
        <f t="shared" si="17"/>
        <v>2.8168314423067278</v>
      </c>
    </row>
    <row r="42" spans="1:27" x14ac:dyDescent="0.25">
      <c r="A42">
        <v>1987</v>
      </c>
      <c r="B42" s="16">
        <f t="shared" si="18"/>
        <v>41</v>
      </c>
      <c r="C42" s="1">
        <v>5432</v>
      </c>
      <c r="D42">
        <f>Sheet1!$Q$4+B42*Sheet1!$R$4</f>
        <v>6138.6805229181864</v>
      </c>
      <c r="E42">
        <f>Sheet1!$Q$7+Sheet2!B42*Sheet1!$Q$8+Sheet1!$Q$9*Sheet2!B42*Sheet2!B42</f>
        <v>5532.9288771353622</v>
      </c>
      <c r="F42">
        <f>EXP(Sheet1!$Q$15+Sheet1!$R$15*B42)</f>
        <v>6784.7755842219303</v>
      </c>
      <c r="G42">
        <f>Sheet1!$Q$29*Sheet1!$Q$28^Sheet2!B42+Sheet1!$Q$30</f>
        <v>5574.7977564299781</v>
      </c>
      <c r="H42">
        <f>EXP(Sheet1!$R$29*Sheet1!$R$28^Sheet2!B42+Sheet1!$R$30)</f>
        <v>5539.1611236631343</v>
      </c>
      <c r="I42">
        <f>1/(Sheet1!$S$29*Sheet1!$S$28^Sheet2!B42+Sheet1!$S$30)</f>
        <v>5502.2139847332965</v>
      </c>
      <c r="J42">
        <f t="shared" si="0"/>
        <v>499397.36147192138</v>
      </c>
      <c r="K42">
        <f t="shared" si="1"/>
        <v>10186.638239805039</v>
      </c>
      <c r="L42">
        <f t="shared" si="2"/>
        <v>1830001.781266985</v>
      </c>
      <c r="M42">
        <f t="shared" si="3"/>
        <v>20391.199241435355</v>
      </c>
      <c r="N42">
        <f t="shared" si="4"/>
        <v>11483.506424745558</v>
      </c>
      <c r="O42">
        <f t="shared" si="5"/>
        <v>4930.0036521275879</v>
      </c>
      <c r="P42">
        <f t="shared" si="6"/>
        <v>706.6805229181864</v>
      </c>
      <c r="Q42">
        <f t="shared" si="7"/>
        <v>100.9288771353622</v>
      </c>
      <c r="R42">
        <f t="shared" si="8"/>
        <v>1352.7755842219303</v>
      </c>
      <c r="S42">
        <f t="shared" si="9"/>
        <v>142.79775642997811</v>
      </c>
      <c r="T42">
        <f t="shared" si="10"/>
        <v>107.16112366313428</v>
      </c>
      <c r="U42">
        <f t="shared" si="11"/>
        <v>70.213984733296456</v>
      </c>
      <c r="V42">
        <f t="shared" si="12"/>
        <v>13.009582527948938</v>
      </c>
      <c r="W42">
        <f t="shared" si="13"/>
        <v>1.8580426571311155</v>
      </c>
      <c r="X42">
        <f t="shared" si="14"/>
        <v>24.903821506294744</v>
      </c>
      <c r="Y42">
        <f t="shared" si="15"/>
        <v>2.6288246765459888</v>
      </c>
      <c r="Z42">
        <f t="shared" si="16"/>
        <v>1.9727747360665369</v>
      </c>
      <c r="AA42">
        <f t="shared" si="17"/>
        <v>1.2925991298471364</v>
      </c>
    </row>
    <row r="43" spans="1:27" x14ac:dyDescent="0.25">
      <c r="A43">
        <v>1988</v>
      </c>
      <c r="B43" s="16">
        <f t="shared" si="18"/>
        <v>42</v>
      </c>
      <c r="C43" s="1">
        <v>5712.5</v>
      </c>
      <c r="D43">
        <f>Sheet1!$Q$4+B43*Sheet1!$R$4</f>
        <v>6241.846068660022</v>
      </c>
      <c r="E43">
        <f>Sheet1!$Q$7+Sheet2!B43*Sheet1!$Q$8+Sheet1!$Q$9*Sheet2!B43*Sheet2!B43</f>
        <v>5532.2512836001397</v>
      </c>
      <c r="F43">
        <f>EXP(Sheet1!$Q$15+Sheet1!$R$15*B43)</f>
        <v>6983.168948861261</v>
      </c>
      <c r="G43">
        <f>Sheet1!$Q$29*Sheet1!$Q$28^Sheet2!B43+Sheet1!$Q$30</f>
        <v>5622.4002458372033</v>
      </c>
      <c r="H43">
        <f>EXP(Sheet1!$R$29*Sheet1!$R$28^Sheet2!B43+Sheet1!$R$30)</f>
        <v>5578.6278359764383</v>
      </c>
      <c r="I43">
        <f>1/(Sheet1!$S$29*Sheet1!$S$28^Sheet2!B43+Sheet1!$S$30)</f>
        <v>5533.6805887306782</v>
      </c>
      <c r="J43">
        <f t="shared" si="0"/>
        <v>280207.26040582068</v>
      </c>
      <c r="K43">
        <f t="shared" si="1"/>
        <v>32489.599763797272</v>
      </c>
      <c r="L43">
        <f t="shared" si="2"/>
        <v>1614599.577600182</v>
      </c>
      <c r="M43">
        <f t="shared" si="3"/>
        <v>8117.965700196396</v>
      </c>
      <c r="N43">
        <f t="shared" si="4"/>
        <v>17921.756300351411</v>
      </c>
      <c r="O43">
        <f t="shared" si="5"/>
        <v>31976.381846706849</v>
      </c>
      <c r="P43">
        <f t="shared" si="6"/>
        <v>529.34606866002196</v>
      </c>
      <c r="Q43">
        <f t="shared" si="7"/>
        <v>180.24871639986031</v>
      </c>
      <c r="R43">
        <f t="shared" si="8"/>
        <v>1270.668948861261</v>
      </c>
      <c r="S43">
        <f t="shared" si="9"/>
        <v>90.099754162796671</v>
      </c>
      <c r="T43">
        <f t="shared" si="10"/>
        <v>133.87216402356171</v>
      </c>
      <c r="U43">
        <f t="shared" si="11"/>
        <v>178.81941126932179</v>
      </c>
      <c r="V43">
        <f t="shared" si="12"/>
        <v>9.266451967790319</v>
      </c>
      <c r="W43">
        <f t="shared" si="13"/>
        <v>3.1553385803039005</v>
      </c>
      <c r="X43">
        <f t="shared" si="14"/>
        <v>22.243657748118355</v>
      </c>
      <c r="Y43">
        <f t="shared" si="15"/>
        <v>1.5772385849067252</v>
      </c>
      <c r="Z43">
        <f t="shared" si="16"/>
        <v>2.343495212666288</v>
      </c>
      <c r="AA43">
        <f t="shared" si="17"/>
        <v>3.1303179215636199</v>
      </c>
    </row>
    <row r="47" spans="1:27" x14ac:dyDescent="0.25">
      <c r="C47" t="s">
        <v>58</v>
      </c>
      <c r="D47" t="s">
        <v>36</v>
      </c>
      <c r="E47" t="s">
        <v>37</v>
      </c>
      <c r="F47" t="s">
        <v>38</v>
      </c>
      <c r="G47" t="s">
        <v>57</v>
      </c>
      <c r="H47" t="s">
        <v>12</v>
      </c>
      <c r="I47" t="s">
        <v>13</v>
      </c>
    </row>
    <row r="48" spans="1:27" ht="25.5" customHeight="1" x14ac:dyDescent="0.25">
      <c r="C48" s="18" t="s">
        <v>59</v>
      </c>
      <c r="D48" s="18">
        <f>SQRT(AVERAGE(J2:J43))</f>
        <v>486.9672864681545</v>
      </c>
      <c r="E48" s="18">
        <f>SQRT(AVERAGE(K2:K43))</f>
        <v>347.79018211173468</v>
      </c>
      <c r="F48" s="18">
        <f>SQRT(AVERAGE(L2:L43))</f>
        <v>679.46399595206674</v>
      </c>
      <c r="G48" s="18">
        <f>SQRT(AVERAGE(M2:M43))</f>
        <v>406.51441994848636</v>
      </c>
      <c r="H48" s="18">
        <f>SQRT(AVERAGE(N2:N43))</f>
        <v>402.30954796131772</v>
      </c>
      <c r="I48" s="18">
        <f>SQRT(AVERAGE(O2:O43))</f>
        <v>400.03460614186736</v>
      </c>
    </row>
    <row r="49" spans="3:9" ht="27" customHeight="1" x14ac:dyDescent="0.25">
      <c r="C49" s="18" t="s">
        <v>60</v>
      </c>
      <c r="D49" s="18">
        <f>AVERAGE(P2:P43)</f>
        <v>373.6491794675897</v>
      </c>
      <c r="E49" s="18">
        <f>AVERAGE(Q2:Q43)</f>
        <v>265.25279705034455</v>
      </c>
      <c r="F49" s="18">
        <f>AVERAGE(R2:R43)</f>
        <v>569.04451681793103</v>
      </c>
      <c r="G49" s="18">
        <f>AVERAGE(S2:S43)</f>
        <v>257.54356383822136</v>
      </c>
      <c r="H49" s="18">
        <f>AVERAGE(T2:T43)</f>
        <v>260.55238792528047</v>
      </c>
      <c r="I49" s="18">
        <f>AVERAGE(U2:U43)</f>
        <v>265.11208534185579</v>
      </c>
    </row>
    <row r="50" spans="3:9" ht="27.75" customHeight="1" x14ac:dyDescent="0.25">
      <c r="C50" s="18" t="s">
        <v>61</v>
      </c>
      <c r="D50" s="18">
        <f>AVERAGE(V2:V43)</f>
        <v>9.2857076225084452</v>
      </c>
      <c r="E50" s="18">
        <f>AVERAGE(W2:W43)</f>
        <v>6.1204323259551563</v>
      </c>
      <c r="F50" s="18">
        <f>AVERAGE(X2:X43)</f>
        <v>13.868120026042648</v>
      </c>
      <c r="G50" s="18">
        <f>AVERAGE(Y2:Y43)</f>
        <v>5.3680571352696527</v>
      </c>
      <c r="H50" s="18">
        <f>AVERAGE(Z2:Z43)</f>
        <v>5.705923908546259</v>
      </c>
      <c r="I50" s="18">
        <f>AVERAGE(AA2:AA43)</f>
        <v>6.14788671324209</v>
      </c>
    </row>
  </sheetData>
  <conditionalFormatting sqref="C1 A1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0545B-3E6C-4FB6-8E2B-E042FF5B9E69}">
  <dimension ref="A1:P48"/>
  <sheetViews>
    <sheetView tabSelected="1" workbookViewId="0">
      <selection activeCell="L14" sqref="L14"/>
    </sheetView>
  </sheetViews>
  <sheetFormatPr defaultRowHeight="15" x14ac:dyDescent="0.25"/>
  <cols>
    <col min="2" max="2" width="16" customWidth="1"/>
    <col min="3" max="3" width="13.28515625" customWidth="1"/>
    <col min="4" max="4" width="13.140625" customWidth="1"/>
  </cols>
  <sheetData>
    <row r="1" spans="1:16" x14ac:dyDescent="0.25">
      <c r="A1" t="s">
        <v>0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61</v>
      </c>
      <c r="M1" s="32" t="s">
        <v>73</v>
      </c>
      <c r="N1" s="32"/>
      <c r="O1" s="32"/>
      <c r="P1" s="32"/>
    </row>
    <row r="2" spans="1:16" ht="15.75" x14ac:dyDescent="0.25">
      <c r="A2">
        <v>1947</v>
      </c>
      <c r="B2" s="1">
        <v>1491.5</v>
      </c>
      <c r="E2">
        <f>B2</f>
        <v>1491.5</v>
      </c>
      <c r="F2">
        <v>0</v>
      </c>
      <c r="I2" s="26" t="s">
        <v>61</v>
      </c>
      <c r="J2" s="26">
        <f>AVERAGE(H3:H43)</f>
        <v>21.191310759602271</v>
      </c>
      <c r="M2" t="s">
        <v>22</v>
      </c>
      <c r="N2">
        <v>0.1</v>
      </c>
    </row>
    <row r="3" spans="1:16" x14ac:dyDescent="0.25">
      <c r="A3">
        <v>1948</v>
      </c>
      <c r="B3" s="1">
        <v>1703</v>
      </c>
      <c r="C3">
        <f>B3-B2</f>
        <v>211.5</v>
      </c>
      <c r="E3">
        <f>$N$2*B3+(1-$N$2)*(E2+$N$4*F2)</f>
        <v>1512.65</v>
      </c>
      <c r="F3">
        <f>$N$3*(E3-E2)+(1-$N$3)*$N$4*F2</f>
        <v>4.2300000000000182</v>
      </c>
      <c r="G3">
        <f>E2+$N$4*F2</f>
        <v>1491.5</v>
      </c>
      <c r="H3">
        <f>100*ABS(G3-B3)/B3</f>
        <v>12.419260129183794</v>
      </c>
      <c r="M3" t="s">
        <v>71</v>
      </c>
      <c r="N3">
        <v>0.2</v>
      </c>
    </row>
    <row r="4" spans="1:16" x14ac:dyDescent="0.25">
      <c r="A4">
        <v>1949</v>
      </c>
      <c r="B4" s="1">
        <v>1646.5</v>
      </c>
      <c r="C4">
        <f t="shared" ref="C4:C48" si="0">B4-B3</f>
        <v>-56.5</v>
      </c>
      <c r="D4">
        <f>B4-2*B3+B2</f>
        <v>-268</v>
      </c>
      <c r="E4">
        <f>$N$2*B4+(1-$N$2)*(E3+$N$4*F3)</f>
        <v>1527.1771000000001</v>
      </c>
      <c r="F4">
        <f>$N$3*(E4-E3)+(1-$N$3)*$N$4*F3</f>
        <v>3.9206200000000084</v>
      </c>
      <c r="G4">
        <f>E3+$N$4*F3</f>
        <v>1513.9190000000001</v>
      </c>
      <c r="H4">
        <f t="shared" ref="H4:H43" si="1">100*ABS(G4-B4)/B4</f>
        <v>8.0522927421803772</v>
      </c>
      <c r="M4" t="s">
        <v>72</v>
      </c>
      <c r="N4">
        <v>0.3</v>
      </c>
    </row>
    <row r="5" spans="1:16" x14ac:dyDescent="0.25">
      <c r="A5">
        <v>1950</v>
      </c>
      <c r="B5" s="1">
        <v>1974.5</v>
      </c>
      <c r="C5">
        <f t="shared" si="0"/>
        <v>328</v>
      </c>
      <c r="D5">
        <f t="shared" ref="D5:D43" si="2">B5-2*B4+B3</f>
        <v>384.5</v>
      </c>
      <c r="E5">
        <f>$N$2*B5+(1-$N$2)*(E4+$N$4*F4)</f>
        <v>1572.9679574000002</v>
      </c>
      <c r="F5">
        <f t="shared" ref="F4:F43" si="3">$N$3*(E5-E4)+(1-$N$3)*$N$4*F4</f>
        <v>10.099120280000013</v>
      </c>
      <c r="G5">
        <f t="shared" ref="G4:G43" si="4">E4+$N$4*F4</f>
        <v>1528.353286</v>
      </c>
      <c r="H5">
        <f t="shared" si="1"/>
        <v>22.595427399341606</v>
      </c>
      <c r="M5" t="s">
        <v>75</v>
      </c>
      <c r="N5" s="33" t="s">
        <v>77</v>
      </c>
    </row>
    <row r="6" spans="1:16" x14ac:dyDescent="0.25">
      <c r="A6">
        <v>1951</v>
      </c>
      <c r="B6" s="1">
        <v>2236.5</v>
      </c>
      <c r="C6">
        <f t="shared" si="0"/>
        <v>262</v>
      </c>
      <c r="D6">
        <f t="shared" si="2"/>
        <v>-66</v>
      </c>
      <c r="E6">
        <f>$N$2*B6+(1-$N$2)*(E5+$N$4*F5)</f>
        <v>1642.0479241356002</v>
      </c>
      <c r="F6">
        <f t="shared" si="3"/>
        <v>16.239782214320005</v>
      </c>
      <c r="G6">
        <f t="shared" si="4"/>
        <v>1575.9976934840001</v>
      </c>
      <c r="H6">
        <f t="shared" si="1"/>
        <v>29.532855198569184</v>
      </c>
      <c r="M6" t="s">
        <v>76</v>
      </c>
      <c r="N6">
        <v>0</v>
      </c>
    </row>
    <row r="7" spans="1:16" x14ac:dyDescent="0.25">
      <c r="A7">
        <v>1952</v>
      </c>
      <c r="B7" s="1">
        <v>2396.5</v>
      </c>
      <c r="C7">
        <f t="shared" si="0"/>
        <v>160</v>
      </c>
      <c r="D7">
        <f t="shared" si="2"/>
        <v>-102</v>
      </c>
      <c r="E7">
        <f t="shared" ref="E4:E43" si="5">$N$2*B7+(1-$N$2)*(E6+$N$4*F6)</f>
        <v>1721.8778729199068</v>
      </c>
      <c r="F7">
        <f t="shared" si="3"/>
        <v>19.863537488298139</v>
      </c>
      <c r="G7">
        <f t="shared" si="4"/>
        <v>1646.9198587998962</v>
      </c>
      <c r="H7">
        <f t="shared" si="1"/>
        <v>31.278119808057738</v>
      </c>
    </row>
    <row r="8" spans="1:16" x14ac:dyDescent="0.25">
      <c r="A8">
        <v>1953</v>
      </c>
      <c r="B8" s="1">
        <v>2440.5</v>
      </c>
      <c r="C8">
        <f t="shared" si="0"/>
        <v>44</v>
      </c>
      <c r="D8">
        <f t="shared" si="2"/>
        <v>-116</v>
      </c>
      <c r="E8">
        <f>$N$2*B8+(1-$N$2)*(E7+$N$4*F7)</f>
        <v>1799.1032407497567</v>
      </c>
      <c r="F8">
        <f t="shared" si="3"/>
        <v>20.212322563161514</v>
      </c>
      <c r="G8">
        <f t="shared" si="4"/>
        <v>1727.8369341663963</v>
      </c>
      <c r="H8">
        <f t="shared" si="1"/>
        <v>29.201518780315663</v>
      </c>
    </row>
    <row r="9" spans="1:16" x14ac:dyDescent="0.25">
      <c r="A9">
        <v>1954</v>
      </c>
      <c r="B9" s="1">
        <v>2631.5</v>
      </c>
      <c r="C9">
        <f t="shared" si="0"/>
        <v>191</v>
      </c>
      <c r="D9">
        <f t="shared" si="2"/>
        <v>147</v>
      </c>
      <c r="E9">
        <f t="shared" si="5"/>
        <v>1887.8002437668347</v>
      </c>
      <c r="F9">
        <f t="shared" si="3"/>
        <v>22.590358018574371</v>
      </c>
      <c r="G9">
        <f t="shared" si="4"/>
        <v>1805.166937518705</v>
      </c>
      <c r="H9">
        <f t="shared" si="1"/>
        <v>31.401598422241875</v>
      </c>
    </row>
    <row r="10" spans="1:16" x14ac:dyDescent="0.25">
      <c r="A10">
        <v>1955</v>
      </c>
      <c r="B10" s="1">
        <v>2905.5</v>
      </c>
      <c r="C10">
        <f t="shared" si="0"/>
        <v>274</v>
      </c>
      <c r="D10">
        <f t="shared" si="2"/>
        <v>83</v>
      </c>
      <c r="E10">
        <f t="shared" si="5"/>
        <v>1995.6696160551662</v>
      </c>
      <c r="F10">
        <f t="shared" si="3"/>
        <v>26.995560382124154</v>
      </c>
      <c r="G10">
        <f t="shared" si="4"/>
        <v>1894.5773511724069</v>
      </c>
      <c r="H10">
        <f t="shared" si="1"/>
        <v>34.793414174069632</v>
      </c>
    </row>
    <row r="11" spans="1:16" x14ac:dyDescent="0.25">
      <c r="A11">
        <v>1956</v>
      </c>
      <c r="B11" s="1">
        <v>3079.5</v>
      </c>
      <c r="C11">
        <f t="shared" si="0"/>
        <v>174</v>
      </c>
      <c r="D11">
        <f t="shared" si="2"/>
        <v>-100</v>
      </c>
      <c r="E11">
        <f t="shared" si="5"/>
        <v>2111.3414557528231</v>
      </c>
      <c r="F11">
        <f t="shared" si="3"/>
        <v>29.613302431241173</v>
      </c>
      <c r="G11">
        <f t="shared" si="4"/>
        <v>2003.7682841698036</v>
      </c>
      <c r="H11">
        <f t="shared" si="1"/>
        <v>34.932025193381925</v>
      </c>
    </row>
    <row r="12" spans="1:16" x14ac:dyDescent="0.25">
      <c r="A12">
        <v>1957</v>
      </c>
      <c r="B12" s="1">
        <v>3080.5</v>
      </c>
      <c r="C12">
        <f t="shared" si="0"/>
        <v>1</v>
      </c>
      <c r="D12">
        <f t="shared" si="2"/>
        <v>-173</v>
      </c>
      <c r="E12">
        <f t="shared" si="5"/>
        <v>2216.252901833976</v>
      </c>
      <c r="F12">
        <f t="shared" si="3"/>
        <v>28.089481799728464</v>
      </c>
      <c r="G12">
        <f t="shared" si="4"/>
        <v>2120.2254464821954</v>
      </c>
      <c r="H12">
        <f t="shared" si="1"/>
        <v>31.172684743314548</v>
      </c>
    </row>
    <row r="13" spans="1:16" x14ac:dyDescent="0.25">
      <c r="A13">
        <v>1958</v>
      </c>
      <c r="B13" s="1">
        <v>3267</v>
      </c>
      <c r="C13">
        <f t="shared" si="0"/>
        <v>186.5</v>
      </c>
      <c r="D13">
        <f t="shared" si="2"/>
        <v>185.5</v>
      </c>
      <c r="E13">
        <f t="shared" si="5"/>
        <v>2328.9117717365052</v>
      </c>
      <c r="F13">
        <f t="shared" si="3"/>
        <v>29.273249612440672</v>
      </c>
      <c r="G13">
        <f t="shared" si="4"/>
        <v>2224.6797463738944</v>
      </c>
      <c r="H13">
        <f t="shared" si="1"/>
        <v>31.904507304135461</v>
      </c>
    </row>
    <row r="14" spans="1:16" x14ac:dyDescent="0.25">
      <c r="A14">
        <v>1959</v>
      </c>
      <c r="B14" s="1">
        <v>3300</v>
      </c>
      <c r="C14">
        <f t="shared" si="0"/>
        <v>33</v>
      </c>
      <c r="D14">
        <f t="shared" si="2"/>
        <v>-153.5</v>
      </c>
      <c r="E14">
        <f t="shared" si="5"/>
        <v>2433.9243719582137</v>
      </c>
      <c r="F14">
        <f t="shared" si="3"/>
        <v>28.028099951327455</v>
      </c>
      <c r="G14">
        <f t="shared" si="4"/>
        <v>2337.6937466202376</v>
      </c>
      <c r="H14">
        <f t="shared" si="1"/>
        <v>29.160795556962501</v>
      </c>
    </row>
    <row r="15" spans="1:16" x14ac:dyDescent="0.25">
      <c r="A15">
        <v>1960</v>
      </c>
      <c r="B15" s="1">
        <v>3426.5</v>
      </c>
      <c r="C15">
        <f t="shared" si="0"/>
        <v>126.5</v>
      </c>
      <c r="D15">
        <f t="shared" si="2"/>
        <v>93.5</v>
      </c>
      <c r="E15">
        <f t="shared" si="5"/>
        <v>2540.7495217492506</v>
      </c>
      <c r="F15">
        <f t="shared" si="3"/>
        <v>28.091773946525969</v>
      </c>
      <c r="G15">
        <f t="shared" si="4"/>
        <v>2442.3328019436117</v>
      </c>
      <c r="H15">
        <f t="shared" si="1"/>
        <v>28.722229623708984</v>
      </c>
    </row>
    <row r="16" spans="1:16" x14ac:dyDescent="0.25">
      <c r="A16">
        <v>1961</v>
      </c>
      <c r="B16" s="1">
        <v>3472</v>
      </c>
      <c r="C16">
        <f t="shared" si="0"/>
        <v>45.5</v>
      </c>
      <c r="D16">
        <f t="shared" si="2"/>
        <v>-81</v>
      </c>
      <c r="E16">
        <f t="shared" si="5"/>
        <v>2641.4593485398873</v>
      </c>
      <c r="F16">
        <f t="shared" si="3"/>
        <v>26.883991105293578</v>
      </c>
      <c r="G16">
        <f t="shared" si="4"/>
        <v>2549.1770539332083</v>
      </c>
      <c r="H16">
        <f t="shared" si="1"/>
        <v>26.579001902845384</v>
      </c>
    </row>
    <row r="17" spans="1:8" x14ac:dyDescent="0.25">
      <c r="A17">
        <v>1962</v>
      </c>
      <c r="B17" s="1">
        <v>3662</v>
      </c>
      <c r="C17">
        <f t="shared" si="0"/>
        <v>190</v>
      </c>
      <c r="D17">
        <f t="shared" si="2"/>
        <v>144.5</v>
      </c>
      <c r="E17">
        <f t="shared" si="5"/>
        <v>2750.7720912843279</v>
      </c>
      <c r="F17">
        <f t="shared" si="3"/>
        <v>28.314706414158575</v>
      </c>
      <c r="G17">
        <f t="shared" si="4"/>
        <v>2649.5245458714753</v>
      </c>
      <c r="H17">
        <f t="shared" si="1"/>
        <v>27.64815549231362</v>
      </c>
    </row>
    <row r="18" spans="1:8" x14ac:dyDescent="0.25">
      <c r="A18">
        <v>1963</v>
      </c>
      <c r="B18" s="1">
        <v>3736.5</v>
      </c>
      <c r="C18">
        <f t="shared" si="0"/>
        <v>74.5</v>
      </c>
      <c r="D18">
        <f t="shared" si="2"/>
        <v>-115.5</v>
      </c>
      <c r="E18">
        <f t="shared" si="5"/>
        <v>2856.9898528877184</v>
      </c>
      <c r="F18">
        <f t="shared" si="3"/>
        <v>28.039081860076159</v>
      </c>
      <c r="G18">
        <f t="shared" si="4"/>
        <v>2759.2665032085756</v>
      </c>
      <c r="H18">
        <f t="shared" si="1"/>
        <v>26.153713282254099</v>
      </c>
    </row>
    <row r="19" spans="1:8" x14ac:dyDescent="0.25">
      <c r="A19">
        <v>1964</v>
      </c>
      <c r="B19" s="1">
        <v>3752</v>
      </c>
      <c r="C19">
        <f t="shared" si="0"/>
        <v>15.5</v>
      </c>
      <c r="D19">
        <f t="shared" si="2"/>
        <v>-59</v>
      </c>
      <c r="E19">
        <f t="shared" si="5"/>
        <v>2954.0614197011673</v>
      </c>
      <c r="F19">
        <f t="shared" si="3"/>
        <v>26.14369300910807</v>
      </c>
      <c r="G19">
        <f t="shared" si="4"/>
        <v>2865.4015774457412</v>
      </c>
      <c r="H19">
        <f t="shared" si="1"/>
        <v>23.630021923087924</v>
      </c>
    </row>
    <row r="20" spans="1:8" x14ac:dyDescent="0.25">
      <c r="A20">
        <v>1965</v>
      </c>
      <c r="B20" s="1">
        <v>3879</v>
      </c>
      <c r="C20">
        <f t="shared" si="0"/>
        <v>127</v>
      </c>
      <c r="D20">
        <f t="shared" si="2"/>
        <v>111.5</v>
      </c>
      <c r="E20">
        <f t="shared" si="5"/>
        <v>3053.61407484351</v>
      </c>
      <c r="F20">
        <f t="shared" si="3"/>
        <v>26.185017350654476</v>
      </c>
      <c r="G20">
        <f t="shared" si="4"/>
        <v>2961.9045276038996</v>
      </c>
      <c r="H20">
        <f t="shared" si="1"/>
        <v>23.642574694408363</v>
      </c>
    </row>
    <row r="21" spans="1:8" x14ac:dyDescent="0.25">
      <c r="A21">
        <v>1966</v>
      </c>
      <c r="B21" s="1">
        <v>3987</v>
      </c>
      <c r="C21">
        <f t="shared" si="0"/>
        <v>108</v>
      </c>
      <c r="D21">
        <f t="shared" si="2"/>
        <v>-19</v>
      </c>
      <c r="E21">
        <f t="shared" si="5"/>
        <v>3154.0226220438362</v>
      </c>
      <c r="F21">
        <f t="shared" si="3"/>
        <v>26.366113604222317</v>
      </c>
      <c r="G21">
        <f t="shared" si="4"/>
        <v>3061.4695800487066</v>
      </c>
      <c r="H21">
        <f t="shared" si="1"/>
        <v>23.213705040162864</v>
      </c>
    </row>
    <row r="22" spans="1:8" x14ac:dyDescent="0.25">
      <c r="A22">
        <v>1967</v>
      </c>
      <c r="B22" s="1">
        <v>4091</v>
      </c>
      <c r="C22">
        <f t="shared" si="0"/>
        <v>104</v>
      </c>
      <c r="D22">
        <f t="shared" si="2"/>
        <v>-4</v>
      </c>
      <c r="E22">
        <f t="shared" si="5"/>
        <v>3254.8392105125927</v>
      </c>
      <c r="F22">
        <f t="shared" si="3"/>
        <v>26.491184958764645</v>
      </c>
      <c r="G22">
        <f t="shared" si="4"/>
        <v>3161.9324561251028</v>
      </c>
      <c r="H22">
        <f t="shared" si="1"/>
        <v>22.710035293935402</v>
      </c>
    </row>
    <row r="23" spans="1:8" x14ac:dyDescent="0.25">
      <c r="A23">
        <v>1968</v>
      </c>
      <c r="B23" s="1">
        <v>4372.5</v>
      </c>
      <c r="C23">
        <f t="shared" si="0"/>
        <v>281.5</v>
      </c>
      <c r="D23">
        <f t="shared" si="2"/>
        <v>177.5</v>
      </c>
      <c r="E23">
        <f t="shared" si="5"/>
        <v>3373.7579094001999</v>
      </c>
      <c r="F23">
        <f t="shared" si="3"/>
        <v>30.141624167624958</v>
      </c>
      <c r="G23">
        <f t="shared" si="4"/>
        <v>3262.7865660002221</v>
      </c>
      <c r="H23">
        <f t="shared" si="1"/>
        <v>25.379380994849122</v>
      </c>
    </row>
    <row r="24" spans="1:8" x14ac:dyDescent="0.25">
      <c r="A24">
        <v>1969</v>
      </c>
      <c r="B24" s="1">
        <v>4501.5</v>
      </c>
      <c r="C24">
        <f t="shared" si="0"/>
        <v>129</v>
      </c>
      <c r="D24">
        <f t="shared" si="2"/>
        <v>-152.5</v>
      </c>
      <c r="E24">
        <f t="shared" si="5"/>
        <v>3494.670356985439</v>
      </c>
      <c r="F24">
        <f t="shared" si="3"/>
        <v>31.416479317277805</v>
      </c>
      <c r="G24">
        <f t="shared" si="4"/>
        <v>3382.8003966504875</v>
      </c>
      <c r="H24">
        <f t="shared" si="1"/>
        <v>24.851707283117015</v>
      </c>
    </row>
    <row r="25" spans="1:8" x14ac:dyDescent="0.25">
      <c r="A25">
        <v>1970</v>
      </c>
      <c r="B25" s="1">
        <v>4636</v>
      </c>
      <c r="C25">
        <f t="shared" si="0"/>
        <v>134.5</v>
      </c>
      <c r="D25">
        <f t="shared" si="2"/>
        <v>5.5</v>
      </c>
      <c r="E25">
        <f t="shared" si="5"/>
        <v>3617.2857707025601</v>
      </c>
      <c r="F25">
        <f t="shared" si="3"/>
        <v>32.063037779570898</v>
      </c>
      <c r="G25">
        <f t="shared" si="4"/>
        <v>3504.0953007806224</v>
      </c>
      <c r="H25">
        <f t="shared" si="1"/>
        <v>24.415545712238515</v>
      </c>
    </row>
    <row r="26" spans="1:8" x14ac:dyDescent="0.25">
      <c r="A26">
        <v>1971</v>
      </c>
      <c r="B26" s="1">
        <v>4856.5</v>
      </c>
      <c r="C26">
        <f t="shared" si="0"/>
        <v>220.5</v>
      </c>
      <c r="D26">
        <f t="shared" si="2"/>
        <v>86</v>
      </c>
      <c r="E26">
        <f t="shared" si="5"/>
        <v>3749.8642138327887</v>
      </c>
      <c r="F26">
        <f t="shared" si="3"/>
        <v>34.210817693142737</v>
      </c>
      <c r="G26">
        <f t="shared" si="4"/>
        <v>3626.9046820364315</v>
      </c>
      <c r="H26">
        <f t="shared" si="1"/>
        <v>25.318548707167064</v>
      </c>
    </row>
    <row r="27" spans="1:8" x14ac:dyDescent="0.25">
      <c r="A27">
        <v>1972</v>
      </c>
      <c r="B27" s="1">
        <v>5330.5</v>
      </c>
      <c r="C27">
        <f t="shared" si="0"/>
        <v>474</v>
      </c>
      <c r="D27">
        <f t="shared" si="2"/>
        <v>253.5</v>
      </c>
      <c r="E27">
        <f t="shared" si="5"/>
        <v>3917.1647132266585</v>
      </c>
      <c r="F27">
        <f t="shared" si="3"/>
        <v>41.670696125128224</v>
      </c>
      <c r="G27">
        <f t="shared" si="4"/>
        <v>3760.1274591407314</v>
      </c>
      <c r="H27">
        <f t="shared" si="1"/>
        <v>29.46013583827537</v>
      </c>
    </row>
    <row r="28" spans="1:8" x14ac:dyDescent="0.25">
      <c r="A28">
        <v>1973</v>
      </c>
      <c r="B28" s="1">
        <v>5643.5</v>
      </c>
      <c r="C28">
        <f t="shared" si="0"/>
        <v>313</v>
      </c>
      <c r="D28">
        <f t="shared" si="2"/>
        <v>-161</v>
      </c>
      <c r="E28">
        <f t="shared" si="5"/>
        <v>4101.0493298577776</v>
      </c>
      <c r="F28">
        <f t="shared" si="3"/>
        <v>46.777890396254598</v>
      </c>
      <c r="G28">
        <f t="shared" si="4"/>
        <v>3929.6659220641968</v>
      </c>
      <c r="H28">
        <f t="shared" si="1"/>
        <v>30.368283475428427</v>
      </c>
    </row>
    <row r="29" spans="1:8" x14ac:dyDescent="0.25">
      <c r="A29">
        <v>1974</v>
      </c>
      <c r="B29" s="1">
        <v>5379.5</v>
      </c>
      <c r="C29">
        <f t="shared" si="0"/>
        <v>-264</v>
      </c>
      <c r="D29">
        <f t="shared" si="2"/>
        <v>-577</v>
      </c>
      <c r="E29">
        <f t="shared" si="5"/>
        <v>4241.5244272789887</v>
      </c>
      <c r="F29">
        <f t="shared" si="3"/>
        <v>39.321713179343327</v>
      </c>
      <c r="G29">
        <f t="shared" si="4"/>
        <v>4115.082696976654</v>
      </c>
      <c r="H29">
        <f t="shared" si="1"/>
        <v>23.504364774111831</v>
      </c>
    </row>
    <row r="30" spans="1:8" x14ac:dyDescent="0.25">
      <c r="A30">
        <v>1975</v>
      </c>
      <c r="B30" s="1">
        <v>5203</v>
      </c>
      <c r="C30">
        <f t="shared" si="0"/>
        <v>-176.5</v>
      </c>
      <c r="D30">
        <f t="shared" si="2"/>
        <v>87.5</v>
      </c>
      <c r="E30">
        <f t="shared" si="5"/>
        <v>4348.2888471095121</v>
      </c>
      <c r="F30">
        <f t="shared" si="3"/>
        <v>30.790095129147073</v>
      </c>
      <c r="G30">
        <f t="shared" si="4"/>
        <v>4253.3209412327915</v>
      </c>
      <c r="H30">
        <f t="shared" si="1"/>
        <v>18.252528517532355</v>
      </c>
    </row>
    <row r="31" spans="1:8" x14ac:dyDescent="0.25">
      <c r="A31">
        <v>1976</v>
      </c>
      <c r="B31" s="1">
        <v>5733.5</v>
      </c>
      <c r="C31">
        <f t="shared" si="0"/>
        <v>530.5</v>
      </c>
      <c r="D31">
        <f t="shared" si="2"/>
        <v>707</v>
      </c>
      <c r="E31">
        <f t="shared" si="5"/>
        <v>4495.1232880834305</v>
      </c>
      <c r="F31">
        <f t="shared" si="3"/>
        <v>36.756511025778977</v>
      </c>
      <c r="G31">
        <f t="shared" si="4"/>
        <v>4357.5258756482563</v>
      </c>
      <c r="H31">
        <f t="shared" si="1"/>
        <v>23.998851039535076</v>
      </c>
    </row>
    <row r="32" spans="1:8" x14ac:dyDescent="0.25">
      <c r="A32">
        <v>1977</v>
      </c>
      <c r="B32" s="1">
        <v>6116.5</v>
      </c>
      <c r="C32">
        <f t="shared" si="0"/>
        <v>383</v>
      </c>
      <c r="D32">
        <f t="shared" si="2"/>
        <v>-147.5</v>
      </c>
      <c r="E32">
        <f t="shared" si="5"/>
        <v>4667.1852172520476</v>
      </c>
      <c r="F32">
        <f t="shared" si="3"/>
        <v>43.233948479910374</v>
      </c>
      <c r="G32">
        <f t="shared" si="4"/>
        <v>4506.1502413911639</v>
      </c>
      <c r="H32">
        <f t="shared" si="1"/>
        <v>26.327961393097947</v>
      </c>
    </row>
    <row r="33" spans="1:13" x14ac:dyDescent="0.25">
      <c r="A33">
        <v>1978</v>
      </c>
      <c r="B33" s="1">
        <v>6263</v>
      </c>
      <c r="C33">
        <f t="shared" si="0"/>
        <v>146.5</v>
      </c>
      <c r="D33">
        <f t="shared" si="2"/>
        <v>-236.5</v>
      </c>
      <c r="E33">
        <f t="shared" si="5"/>
        <v>4838.439861616419</v>
      </c>
      <c r="F33">
        <f t="shared" si="3"/>
        <v>44.627076508052774</v>
      </c>
      <c r="G33">
        <f t="shared" si="4"/>
        <v>4680.1554017960207</v>
      </c>
      <c r="H33">
        <f t="shared" si="1"/>
        <v>25.272945843908339</v>
      </c>
    </row>
    <row r="34" spans="1:13" x14ac:dyDescent="0.25">
      <c r="A34">
        <v>1979</v>
      </c>
      <c r="B34" s="1">
        <v>6042.5</v>
      </c>
      <c r="C34">
        <f t="shared" si="0"/>
        <v>-220.5</v>
      </c>
      <c r="D34">
        <f t="shared" si="2"/>
        <v>-367</v>
      </c>
      <c r="E34">
        <f t="shared" si="5"/>
        <v>4970.8951861119513</v>
      </c>
      <c r="F34">
        <f t="shared" si="3"/>
        <v>37.201563261039126</v>
      </c>
      <c r="G34">
        <f t="shared" si="4"/>
        <v>4851.8279845688348</v>
      </c>
      <c r="H34">
        <f t="shared" si="1"/>
        <v>19.704956813093343</v>
      </c>
    </row>
    <row r="35" spans="1:13" x14ac:dyDescent="0.25">
      <c r="A35">
        <v>1980</v>
      </c>
      <c r="B35" s="1">
        <v>5245</v>
      </c>
      <c r="C35">
        <f t="shared" si="0"/>
        <v>-797.5</v>
      </c>
      <c r="D35">
        <f t="shared" si="2"/>
        <v>-577</v>
      </c>
      <c r="E35">
        <f t="shared" si="5"/>
        <v>5008.3500895812367</v>
      </c>
      <c r="F35">
        <f t="shared" si="3"/>
        <v>16.419355876506479</v>
      </c>
      <c r="G35">
        <f t="shared" si="4"/>
        <v>4982.0556550902629</v>
      </c>
      <c r="H35">
        <f t="shared" si="1"/>
        <v>5.0132382251618131</v>
      </c>
    </row>
    <row r="36" spans="1:13" x14ac:dyDescent="0.25">
      <c r="A36">
        <v>1981</v>
      </c>
      <c r="B36" s="1">
        <v>5162.5</v>
      </c>
      <c r="C36">
        <f t="shared" si="0"/>
        <v>-82.5</v>
      </c>
      <c r="D36">
        <f t="shared" si="2"/>
        <v>715</v>
      </c>
      <c r="E36">
        <f t="shared" si="5"/>
        <v>5028.1983067097699</v>
      </c>
      <c r="F36">
        <f t="shared" si="3"/>
        <v>7.9102888360681902</v>
      </c>
      <c r="G36">
        <f t="shared" si="4"/>
        <v>5013.2758963441884</v>
      </c>
      <c r="H36">
        <f t="shared" si="1"/>
        <v>2.890539538127102</v>
      </c>
    </row>
    <row r="37" spans="1:13" x14ac:dyDescent="0.25">
      <c r="A37">
        <v>1982</v>
      </c>
      <c r="B37" s="1">
        <v>4874.5</v>
      </c>
      <c r="C37">
        <f t="shared" si="0"/>
        <v>-288</v>
      </c>
      <c r="D37">
        <f t="shared" si="2"/>
        <v>-205.5</v>
      </c>
      <c r="E37">
        <f t="shared" si="5"/>
        <v>5014.9642540245313</v>
      </c>
      <c r="F37">
        <f t="shared" si="3"/>
        <v>-0.74834121639134765</v>
      </c>
      <c r="G37">
        <f t="shared" si="4"/>
        <v>5030.5713933605903</v>
      </c>
      <c r="H37">
        <f t="shared" si="1"/>
        <v>3.2017928682037184</v>
      </c>
    </row>
    <row r="38" spans="1:13" x14ac:dyDescent="0.25">
      <c r="A38">
        <v>1983</v>
      </c>
      <c r="B38" s="1">
        <v>4909.5</v>
      </c>
      <c r="C38">
        <f t="shared" si="0"/>
        <v>35</v>
      </c>
      <c r="D38">
        <f t="shared" si="2"/>
        <v>323</v>
      </c>
      <c r="E38">
        <f t="shared" si="5"/>
        <v>5004.2157764936528</v>
      </c>
      <c r="F38">
        <f t="shared" si="3"/>
        <v>-2.329297398109627</v>
      </c>
      <c r="G38">
        <f t="shared" si="4"/>
        <v>5014.7397516596138</v>
      </c>
      <c r="H38">
        <f t="shared" si="1"/>
        <v>2.1435940861516207</v>
      </c>
    </row>
    <row r="39" spans="1:13" x14ac:dyDescent="0.25">
      <c r="A39">
        <v>1984</v>
      </c>
      <c r="B39" s="1">
        <v>5206</v>
      </c>
      <c r="C39">
        <f t="shared" si="0"/>
        <v>296.5</v>
      </c>
      <c r="D39">
        <f t="shared" si="2"/>
        <v>261.5</v>
      </c>
      <c r="E39">
        <f t="shared" si="5"/>
        <v>5023.7652885467987</v>
      </c>
      <c r="F39">
        <f t="shared" si="3"/>
        <v>3.3508710350828732</v>
      </c>
      <c r="G39">
        <f t="shared" si="4"/>
        <v>5003.5169872742199</v>
      </c>
      <c r="H39">
        <f t="shared" si="1"/>
        <v>3.8894163028386495</v>
      </c>
    </row>
    <row r="40" spans="1:13" x14ac:dyDescent="0.25">
      <c r="A40">
        <v>1985</v>
      </c>
      <c r="B40" s="1">
        <v>5234</v>
      </c>
      <c r="C40">
        <f t="shared" si="0"/>
        <v>28</v>
      </c>
      <c r="D40">
        <f t="shared" si="2"/>
        <v>-268.5</v>
      </c>
      <c r="E40">
        <f t="shared" si="5"/>
        <v>5045.6934948715907</v>
      </c>
      <c r="F40">
        <f t="shared" si="3"/>
        <v>5.1898503133782841</v>
      </c>
      <c r="G40">
        <f t="shared" si="4"/>
        <v>5024.7705498573232</v>
      </c>
      <c r="H40">
        <f t="shared" si="1"/>
        <v>3.9975057344798777</v>
      </c>
    </row>
    <row r="41" spans="1:13" x14ac:dyDescent="0.25">
      <c r="A41">
        <v>1986</v>
      </c>
      <c r="B41" s="1">
        <v>5318.5</v>
      </c>
      <c r="C41">
        <f t="shared" si="0"/>
        <v>84.5</v>
      </c>
      <c r="D41">
        <f t="shared" si="2"/>
        <v>56.5</v>
      </c>
      <c r="E41">
        <f t="shared" si="5"/>
        <v>5074.3754049690442</v>
      </c>
      <c r="F41">
        <f t="shared" si="3"/>
        <v>6.98194609470149</v>
      </c>
      <c r="G41">
        <f t="shared" si="4"/>
        <v>5047.2504499656043</v>
      </c>
      <c r="H41">
        <f t="shared" si="1"/>
        <v>5.100113754524692</v>
      </c>
    </row>
    <row r="42" spans="1:13" x14ac:dyDescent="0.25">
      <c r="A42">
        <v>1987</v>
      </c>
      <c r="B42" s="1">
        <v>5432</v>
      </c>
      <c r="C42">
        <f t="shared" si="0"/>
        <v>113.5</v>
      </c>
      <c r="D42">
        <f t="shared" si="2"/>
        <v>29</v>
      </c>
      <c r="E42">
        <f t="shared" si="5"/>
        <v>5112.0229899177093</v>
      </c>
      <c r="F42">
        <f t="shared" si="3"/>
        <v>9.2051840524613784</v>
      </c>
      <c r="G42">
        <f t="shared" si="4"/>
        <v>5076.4699887974548</v>
      </c>
      <c r="H42">
        <f t="shared" si="1"/>
        <v>6.5451032990159277</v>
      </c>
    </row>
    <row r="43" spans="1:13" x14ac:dyDescent="0.25">
      <c r="A43">
        <v>1988</v>
      </c>
      <c r="B43" s="1">
        <v>5712.5</v>
      </c>
      <c r="C43">
        <f t="shared" si="0"/>
        <v>280.5</v>
      </c>
      <c r="D43">
        <f t="shared" si="2"/>
        <v>167</v>
      </c>
      <c r="E43">
        <f t="shared" si="5"/>
        <v>5174.5560906201035</v>
      </c>
      <c r="F43">
        <f t="shared" si="3"/>
        <v>14.715864313069575</v>
      </c>
      <c r="G43">
        <f t="shared" si="4"/>
        <v>5114.7845451334479</v>
      </c>
      <c r="H43">
        <f t="shared" si="1"/>
        <v>10.463290238364152</v>
      </c>
    </row>
    <row r="44" spans="1:13" ht="23.25" customHeight="1" x14ac:dyDescent="0.25">
      <c r="A44" s="27" t="s">
        <v>7</v>
      </c>
      <c r="B44" s="28">
        <f>_xlfn.VAR.P(B2:B43)</f>
        <v>1800790.2953514738</v>
      </c>
      <c r="C44" s="27">
        <f>_xlfn.VAR.P(C3:C43)</f>
        <v>51026.290303390837</v>
      </c>
      <c r="D44" s="27">
        <f>_xlfn.VAR.P(D4:D43)</f>
        <v>70206.711874999994</v>
      </c>
      <c r="F44" s="30" t="s">
        <v>74</v>
      </c>
      <c r="G44" s="31"/>
      <c r="H44" s="31"/>
      <c r="I44" s="31"/>
      <c r="J44" s="31"/>
      <c r="K44" s="31"/>
      <c r="L44" s="31"/>
      <c r="M44" s="29"/>
    </row>
    <row r="45" spans="1:13" x14ac:dyDescent="0.25">
      <c r="B45" s="1"/>
    </row>
    <row r="46" spans="1:13" x14ac:dyDescent="0.25">
      <c r="B46" s="1"/>
    </row>
    <row r="47" spans="1:13" x14ac:dyDescent="0.25">
      <c r="B47" s="1"/>
    </row>
    <row r="48" spans="1:13" x14ac:dyDescent="0.25">
      <c r="B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2019-04-09T22:57:59Z</dcterms:modified>
</cp:coreProperties>
</file>