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d4bece56c1794aa/Desktop/Applied Business/Assignment/session 9/"/>
    </mc:Choice>
  </mc:AlternateContent>
  <xr:revisionPtr revIDLastSave="0" documentId="14_{72C8FCDE-71B7-4D93-BFF4-E7F96848915D}" xr6:coauthVersionLast="47" xr6:coauthVersionMax="47" xr10:uidLastSave="{00000000-0000-0000-0000-000000000000}"/>
  <bookViews>
    <workbookView xWindow="4430" yWindow="1140" windowWidth="14400" windowHeight="8170" xr2:uid="{A0471CAE-D929-4EE5-B969-20B0932F5417}"/>
  </bookViews>
  <sheets>
    <sheet name="HCE Case Study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7" i="3" l="1"/>
  <c r="R31" i="3" s="1"/>
  <c r="N6" i="3"/>
  <c r="N12" i="3" s="1"/>
  <c r="M6" i="3"/>
  <c r="M12" i="3" s="1"/>
  <c r="L6" i="3"/>
  <c r="L12" i="3" s="1"/>
  <c r="I18" i="3"/>
  <c r="T30" i="3" s="1"/>
  <c r="H18" i="3"/>
  <c r="S30" i="3" s="1"/>
  <c r="G18" i="3"/>
  <c r="R30" i="3" s="1"/>
  <c r="H26" i="3"/>
  <c r="I26" i="3" s="1"/>
  <c r="I6" i="3"/>
  <c r="I8" i="3" s="1"/>
  <c r="I13" i="3" s="1"/>
  <c r="H6" i="3"/>
  <c r="H8" i="3" s="1"/>
  <c r="H13" i="3" s="1"/>
  <c r="G6" i="3"/>
  <c r="G11" i="3" s="1"/>
  <c r="G8" i="3" l="1"/>
  <c r="G13" i="3" s="1"/>
  <c r="L18" i="3"/>
  <c r="L19" i="3" s="1"/>
  <c r="L13" i="3"/>
  <c r="M13" i="3"/>
  <c r="N13" i="3"/>
  <c r="M17" i="3"/>
  <c r="S31" i="3" s="1"/>
  <c r="H11" i="3"/>
  <c r="I11" i="3"/>
  <c r="H19" i="3"/>
  <c r="H14" i="3"/>
  <c r="I14" i="3"/>
  <c r="I19" i="3"/>
  <c r="L21" i="3" l="1"/>
  <c r="L26" i="3"/>
  <c r="L24" i="3"/>
  <c r="L28" i="3" s="1"/>
  <c r="L32" i="3" s="1"/>
  <c r="M18" i="3"/>
  <c r="N17" i="3"/>
  <c r="T31" i="3" s="1"/>
  <c r="H20" i="3"/>
  <c r="G19" i="3"/>
  <c r="G28" i="3" s="1"/>
  <c r="G14" i="3"/>
  <c r="I20" i="3"/>
  <c r="I22" i="3" s="1"/>
  <c r="I28" i="3"/>
  <c r="H28" i="3"/>
  <c r="I31" i="3" l="1"/>
  <c r="Y30" i="3" s="1"/>
  <c r="N18" i="3"/>
  <c r="N19" i="3" s="1"/>
  <c r="N21" i="3" s="1"/>
  <c r="L34" i="3"/>
  <c r="AB31" i="3" s="1"/>
  <c r="L35" i="3"/>
  <c r="W31" i="3" s="1"/>
  <c r="H30" i="3"/>
  <c r="AC30" i="3" s="1"/>
  <c r="H22" i="3"/>
  <c r="H31" i="3" s="1"/>
  <c r="X30" i="3" s="1"/>
  <c r="I30" i="3"/>
  <c r="AD30" i="3" s="1"/>
  <c r="M19" i="3"/>
  <c r="M21" i="3" s="1"/>
  <c r="M26" i="3"/>
  <c r="M24" i="3"/>
  <c r="M28" i="3" s="1"/>
  <c r="M32" i="3" s="1"/>
  <c r="G20" i="3"/>
  <c r="G22" i="3" s="1"/>
  <c r="G31" i="3" s="1"/>
  <c r="W30" i="3" s="1"/>
  <c r="C27" i="3"/>
  <c r="D27" i="3" s="1"/>
  <c r="B18" i="3"/>
  <c r="R29" i="3" s="1"/>
  <c r="D6" i="3"/>
  <c r="D11" i="3" s="1"/>
  <c r="C6" i="3"/>
  <c r="C11" i="3" s="1"/>
  <c r="B6" i="3"/>
  <c r="B11" i="3" s="1"/>
  <c r="M35" i="3" l="1"/>
  <c r="X31" i="3" s="1"/>
  <c r="N24" i="3"/>
  <c r="N26" i="3"/>
  <c r="M34" i="3"/>
  <c r="AC31" i="3" s="1"/>
  <c r="G30" i="3"/>
  <c r="AB30" i="3" s="1"/>
  <c r="N28" i="3"/>
  <c r="N32" i="3" s="1"/>
  <c r="N34" i="3" s="1"/>
  <c r="AD31" i="3" s="1"/>
  <c r="C18" i="3"/>
  <c r="S29" i="3" s="1"/>
  <c r="B17" i="3"/>
  <c r="B20" i="3" s="1"/>
  <c r="C13" i="3"/>
  <c r="D13" i="3"/>
  <c r="B13" i="3"/>
  <c r="B22" i="3" l="1"/>
  <c r="N35" i="3"/>
  <c r="Y31" i="3" s="1"/>
  <c r="B19" i="3"/>
  <c r="B26" i="3" s="1"/>
  <c r="D18" i="3"/>
  <c r="T29" i="3" s="1"/>
  <c r="C17" i="3"/>
  <c r="C19" i="3" s="1"/>
  <c r="C26" i="3" s="1"/>
  <c r="B29" i="3" l="1"/>
  <c r="AB29" i="3" s="1"/>
  <c r="B30" i="3"/>
  <c r="W29" i="3" s="1"/>
  <c r="D17" i="3"/>
  <c r="D20" i="3" s="1"/>
  <c r="D22" i="3" s="1"/>
  <c r="C20" i="3"/>
  <c r="C22" i="3" s="1"/>
  <c r="D19" i="3"/>
  <c r="D26" i="3" s="1"/>
  <c r="D30" i="3" l="1"/>
  <c r="Y29" i="3" s="1"/>
  <c r="C29" i="3"/>
  <c r="AC29" i="3" s="1"/>
  <c r="C30" i="3"/>
  <c r="X29" i="3" s="1"/>
  <c r="D29" i="3"/>
  <c r="AD29" i="3" s="1"/>
</calcChain>
</file>

<file path=xl/sharedStrings.xml><?xml version="1.0" encoding="utf-8"?>
<sst xmlns="http://schemas.openxmlformats.org/spreadsheetml/2006/main" count="107" uniqueCount="59">
  <si>
    <t>Member Months</t>
  </si>
  <si>
    <t>Year 1</t>
  </si>
  <si>
    <t>Year 2</t>
  </si>
  <si>
    <t>Year 3</t>
  </si>
  <si>
    <t>Membership</t>
  </si>
  <si>
    <t>Baseline Utlization</t>
  </si>
  <si>
    <t>Raw ER visits</t>
  </si>
  <si>
    <t>Cost of Raw ER Visit</t>
  </si>
  <si>
    <t>Total Cost of Raw ER visit</t>
  </si>
  <si>
    <t>Reduction %</t>
  </si>
  <si>
    <t>Reduced utilization based on assumptions</t>
  </si>
  <si>
    <t>Gross cost savings from reduced utilization</t>
  </si>
  <si>
    <t>Offsetting Cost</t>
  </si>
  <si>
    <t>Added costs based on offsetting cost</t>
  </si>
  <si>
    <t>PCP Salary Cost</t>
  </si>
  <si>
    <t>Net Savings:  Gross savings – added costs</t>
  </si>
  <si>
    <t>Assumptions 40% accesibility</t>
  </si>
  <si>
    <t>Operating cost increment</t>
  </si>
  <si>
    <t>Operating cost</t>
  </si>
  <si>
    <t>Urgent care added cost</t>
  </si>
  <si>
    <t>Raw ER visits_40% Population</t>
  </si>
  <si>
    <t>Total Cost of Raw ER visit 40% accesibility</t>
  </si>
  <si>
    <t>Reduced ER visit based on 40% accesibility_RAW</t>
  </si>
  <si>
    <t>Baseline Utlization/100</t>
  </si>
  <si>
    <t>Reduced ER Visits</t>
  </si>
  <si>
    <t>Telephone Set Up Cost</t>
  </si>
  <si>
    <t xml:space="preserve">Marketing Cost </t>
  </si>
  <si>
    <t>Overhead Cost</t>
  </si>
  <si>
    <t>ER visits per k</t>
  </si>
  <si>
    <t>Reduced ER Visits per K</t>
  </si>
  <si>
    <t>30% Avoided ER visit</t>
  </si>
  <si>
    <t>Reduced ER Visits RAW</t>
  </si>
  <si>
    <t>Cost for local urgent care</t>
  </si>
  <si>
    <t>40% Avoided ER visit</t>
  </si>
  <si>
    <t xml:space="preserve">Cost for Good Health's PC </t>
  </si>
  <si>
    <t>Total Offsetting cost</t>
  </si>
  <si>
    <t>Assumptions</t>
  </si>
  <si>
    <t xml:space="preserve">Year2 </t>
  </si>
  <si>
    <t>Year3</t>
  </si>
  <si>
    <t xml:space="preserve">Hiring a Additional Practitioner </t>
  </si>
  <si>
    <t>Establishing a new phone line</t>
  </si>
  <si>
    <t>Building an additional urgent care center</t>
  </si>
  <si>
    <t>Return On Investments</t>
  </si>
  <si>
    <t>ER Visits per k</t>
  </si>
  <si>
    <t>Reduced ER Visits (Raw)</t>
  </si>
  <si>
    <t>Reduced ER visit per k</t>
  </si>
  <si>
    <t>Avoided reduced ER visits</t>
  </si>
  <si>
    <t>Added costs based on assumptions</t>
  </si>
  <si>
    <t xml:space="preserve">Assumptions </t>
  </si>
  <si>
    <t xml:space="preserve">Total Cost_Reduced ER visits </t>
  </si>
  <si>
    <t>Average annual membership</t>
  </si>
  <si>
    <t>Total added costs based on assumptions</t>
  </si>
  <si>
    <t>ER Visits Reduction</t>
  </si>
  <si>
    <t xml:space="preserve"> </t>
  </si>
  <si>
    <t>Return On Investment For Each Option</t>
  </si>
  <si>
    <t>Net Savings from each option</t>
  </si>
  <si>
    <t xml:space="preserve">Option 1: Hiring one additional practitioner </t>
  </si>
  <si>
    <t>Option 2: Build an additional urgent care center</t>
  </si>
  <si>
    <t xml:space="preserve">Option 3: The new phone line staffed by triage nurses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</si>
</sst>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64" formatCode="&quot;$&quot;#,##0"/>
    <numFmt numFmtId="165" formatCode="&quot;$&quot;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1">
    <xf numFmtId="0" fontId="0" fillId="0" borderId="0" xfId="0"/>
    <xf numFmtId="0" fontId="2" fillId="5" borderId="1" xfId="0" applyFont="1" applyFill="1" applyBorder="1" applyAlignment="1">
      <alignment vertical="center"/>
    </xf>
    <xf numFmtId="0" fontId="3" fillId="5" borderId="1" xfId="0" applyFont="1" applyFill="1" applyBorder="1" applyAlignment="1">
      <alignment horizontal="left" vertical="center" wrapText="1" readingOrder="1"/>
    </xf>
    <xf numFmtId="0" fontId="2" fillId="0" borderId="1" xfId="0" applyFont="1" applyBorder="1" applyAlignment="1">
      <alignment vertical="center"/>
    </xf>
    <xf numFmtId="0" fontId="3" fillId="6" borderId="1" xfId="0" applyFont="1" applyFill="1" applyBorder="1" applyAlignment="1">
      <alignment horizontal="left" vertical="center" readingOrder="1"/>
    </xf>
    <xf numFmtId="0" fontId="4" fillId="0" borderId="1" xfId="0" applyFont="1" applyBorder="1" applyAlignment="1">
      <alignment vertical="center"/>
    </xf>
    <xf numFmtId="0" fontId="4" fillId="0" borderId="0" xfId="0" applyFont="1"/>
    <xf numFmtId="0" fontId="4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center" vertical="center" wrapText="1"/>
    </xf>
    <xf numFmtId="0" fontId="5" fillId="3" borderId="1" xfId="0" applyFont="1" applyFill="1" applyBorder="1"/>
    <xf numFmtId="0" fontId="3" fillId="0" borderId="1" xfId="0" applyFont="1" applyBorder="1"/>
    <xf numFmtId="0" fontId="3" fillId="0" borderId="1" xfId="0" applyFont="1" applyBorder="1" applyAlignment="1">
      <alignment wrapText="1"/>
    </xf>
    <xf numFmtId="0" fontId="2" fillId="3" borderId="1" xfId="0" applyFont="1" applyFill="1" applyBorder="1"/>
    <xf numFmtId="0" fontId="2" fillId="3" borderId="1" xfId="0" applyFont="1" applyFill="1" applyBorder="1" applyAlignment="1">
      <alignment wrapText="1"/>
    </xf>
    <xf numFmtId="0" fontId="4" fillId="0" borderId="1" xfId="0" applyFont="1" applyBorder="1" applyAlignment="1">
      <alignment wrapText="1"/>
    </xf>
    <xf numFmtId="0" fontId="2" fillId="3" borderId="1" xfId="0" applyFont="1" applyFill="1" applyBorder="1" applyAlignment="1">
      <alignment vertical="center"/>
    </xf>
    <xf numFmtId="0" fontId="2" fillId="5" borderId="1" xfId="0" applyFont="1" applyFill="1" applyBorder="1"/>
    <xf numFmtId="0" fontId="2" fillId="5" borderId="1" xfId="0" applyFont="1" applyFill="1" applyBorder="1" applyAlignment="1">
      <alignment wrapText="1"/>
    </xf>
    <xf numFmtId="0" fontId="2" fillId="4" borderId="1" xfId="0" applyFont="1" applyFill="1" applyBorder="1" applyAlignment="1">
      <alignment vertical="center"/>
    </xf>
    <xf numFmtId="0" fontId="4" fillId="0" borderId="0" xfId="0" applyFont="1" applyAlignment="1">
      <alignment vertical="center"/>
    </xf>
    <xf numFmtId="0" fontId="2" fillId="4" borderId="1" xfId="0" applyFont="1" applyFill="1" applyBorder="1" applyAlignment="1">
      <alignment vertical="center" wrapText="1"/>
    </xf>
    <xf numFmtId="42" fontId="2" fillId="4" borderId="1" xfId="0" applyNumberFormat="1" applyFont="1" applyFill="1" applyBorder="1" applyAlignment="1">
      <alignment vertical="center" wrapText="1"/>
    </xf>
    <xf numFmtId="42" fontId="2" fillId="0" borderId="1" xfId="0" applyNumberFormat="1" applyFont="1" applyBorder="1" applyAlignment="1">
      <alignment vertical="center"/>
    </xf>
    <xf numFmtId="0" fontId="2" fillId="4" borderId="1" xfId="0" applyFont="1" applyFill="1" applyBorder="1"/>
    <xf numFmtId="42" fontId="2" fillId="4" borderId="1" xfId="0" applyNumberFormat="1" applyFont="1" applyFill="1" applyBorder="1"/>
    <xf numFmtId="9" fontId="4" fillId="0" borderId="1" xfId="0" applyNumberFormat="1" applyFont="1" applyBorder="1"/>
    <xf numFmtId="0" fontId="2" fillId="5" borderId="1" xfId="0" applyFont="1" applyFill="1" applyBorder="1" applyAlignment="1">
      <alignment vertical="center" wrapText="1"/>
    </xf>
    <xf numFmtId="0" fontId="3" fillId="0" borderId="1" xfId="0" applyFont="1" applyBorder="1" applyAlignment="1">
      <alignment horizontal="left" readingOrder="1"/>
    </xf>
    <xf numFmtId="0" fontId="6" fillId="0" borderId="1" xfId="0" applyFont="1" applyBorder="1" applyAlignment="1">
      <alignment wrapText="1"/>
    </xf>
    <xf numFmtId="0" fontId="6" fillId="0" borderId="1" xfId="0" applyFont="1" applyBorder="1"/>
    <xf numFmtId="0" fontId="3" fillId="5" borderId="1" xfId="0" applyFont="1" applyFill="1" applyBorder="1" applyAlignment="1">
      <alignment horizontal="left" vertical="center" readingOrder="1"/>
    </xf>
    <xf numFmtId="0" fontId="2" fillId="8" borderId="1" xfId="0" applyFont="1" applyFill="1" applyBorder="1" applyAlignment="1">
      <alignment wrapText="1"/>
    </xf>
    <xf numFmtId="164" fontId="2" fillId="8" borderId="1" xfId="0" applyNumberFormat="1" applyFont="1" applyFill="1" applyBorder="1" applyAlignment="1">
      <alignment wrapText="1"/>
    </xf>
    <xf numFmtId="0" fontId="3" fillId="8" borderId="1" xfId="0" applyFont="1" applyFill="1" applyBorder="1" applyAlignment="1">
      <alignment horizontal="left" readingOrder="1"/>
    </xf>
    <xf numFmtId="0" fontId="3" fillId="8" borderId="1" xfId="0" applyFont="1" applyFill="1" applyBorder="1" applyAlignment="1">
      <alignment horizontal="left" vertical="center" readingOrder="1"/>
    </xf>
    <xf numFmtId="42" fontId="2" fillId="8" borderId="1" xfId="0" applyNumberFormat="1" applyFont="1" applyFill="1" applyBorder="1" applyAlignment="1">
      <alignment vertical="center"/>
    </xf>
    <xf numFmtId="164" fontId="2" fillId="0" borderId="1" xfId="0" applyNumberFormat="1" applyFont="1" applyBorder="1" applyAlignment="1">
      <alignment wrapText="1"/>
    </xf>
    <xf numFmtId="0" fontId="3" fillId="0" borderId="1" xfId="0" applyFont="1" applyBorder="1" applyAlignment="1">
      <alignment horizontal="left" vertical="center" readingOrder="1"/>
    </xf>
    <xf numFmtId="165" fontId="2" fillId="6" borderId="1" xfId="0" applyNumberFormat="1" applyFont="1" applyFill="1" applyBorder="1" applyAlignment="1">
      <alignment wrapText="1"/>
    </xf>
    <xf numFmtId="0" fontId="3" fillId="6" borderId="1" xfId="0" applyFont="1" applyFill="1" applyBorder="1" applyAlignment="1">
      <alignment horizontal="left" readingOrder="1"/>
    </xf>
    <xf numFmtId="42" fontId="2" fillId="6" borderId="1" xfId="0" applyNumberFormat="1" applyFont="1" applyFill="1" applyBorder="1" applyAlignment="1">
      <alignment vertical="center"/>
    </xf>
    <xf numFmtId="0" fontId="3" fillId="3" borderId="1" xfId="0" applyFont="1" applyFill="1" applyBorder="1" applyAlignment="1">
      <alignment horizontal="left" vertical="center" readingOrder="1"/>
    </xf>
    <xf numFmtId="0" fontId="4" fillId="5" borderId="0" xfId="0" applyFont="1" applyFill="1"/>
    <xf numFmtId="164" fontId="4" fillId="0" borderId="1" xfId="1" applyNumberFormat="1" applyFont="1" applyFill="1" applyBorder="1" applyAlignment="1"/>
    <xf numFmtId="0" fontId="2" fillId="0" borderId="1" xfId="0" applyFont="1" applyBorder="1" applyAlignment="1">
      <alignment vertical="center" wrapText="1"/>
    </xf>
    <xf numFmtId="165" fontId="4" fillId="0" borderId="1" xfId="0" applyNumberFormat="1" applyFont="1" applyBorder="1"/>
    <xf numFmtId="0" fontId="3" fillId="0" borderId="1" xfId="0" applyFont="1" applyBorder="1" applyAlignment="1">
      <alignment horizontal="left" vertical="center" wrapText="1" readingOrder="1"/>
    </xf>
    <xf numFmtId="164" fontId="4" fillId="0" borderId="1" xfId="0" applyNumberFormat="1" applyFont="1" applyBorder="1"/>
    <xf numFmtId="0" fontId="2" fillId="7" borderId="1" xfId="0" applyFont="1" applyFill="1" applyBorder="1" applyAlignment="1">
      <alignment vertical="center" wrapText="1"/>
    </xf>
    <xf numFmtId="165" fontId="2" fillId="7" borderId="1" xfId="0" applyNumberFormat="1" applyFont="1" applyFill="1" applyBorder="1" applyAlignment="1">
      <alignment vertical="center" wrapText="1"/>
    </xf>
    <xf numFmtId="0" fontId="3" fillId="9" borderId="1" xfId="0" applyFont="1" applyFill="1" applyBorder="1" applyAlignment="1">
      <alignment horizontal="left" readingOrder="1"/>
    </xf>
    <xf numFmtId="0" fontId="3" fillId="9" borderId="1" xfId="0" applyFont="1" applyFill="1" applyBorder="1" applyAlignment="1">
      <alignment horizontal="left" vertical="center" readingOrder="1"/>
    </xf>
    <xf numFmtId="165" fontId="2" fillId="9" borderId="1" xfId="0" applyNumberFormat="1" applyFont="1" applyFill="1" applyBorder="1" applyAlignment="1">
      <alignment vertical="center"/>
    </xf>
    <xf numFmtId="0" fontId="3" fillId="9" borderId="1" xfId="0" applyFont="1" applyFill="1" applyBorder="1" applyAlignment="1">
      <alignment horizontal="left" vertical="center" wrapText="1" readingOrder="1"/>
    </xf>
    <xf numFmtId="165" fontId="2" fillId="9" borderId="1" xfId="0" applyNumberFormat="1" applyFont="1" applyFill="1" applyBorder="1" applyAlignment="1">
      <alignment vertical="center" wrapText="1"/>
    </xf>
    <xf numFmtId="0" fontId="2" fillId="8" borderId="1" xfId="0" applyFont="1" applyFill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9" fontId="4" fillId="0" borderId="0" xfId="2" applyFont="1" applyAlignment="1"/>
    <xf numFmtId="0" fontId="2" fillId="3" borderId="1" xfId="0" applyFont="1" applyFill="1" applyBorder="1" applyAlignment="1">
      <alignment vertical="center" wrapText="1"/>
    </xf>
    <xf numFmtId="165" fontId="2" fillId="0" borderId="1" xfId="0" applyNumberFormat="1" applyFont="1" applyBorder="1" applyAlignment="1">
      <alignment vertical="center" wrapText="1"/>
    </xf>
    <xf numFmtId="10" fontId="2" fillId="0" borderId="1" xfId="0" applyNumberFormat="1" applyFont="1" applyBorder="1"/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/>
    </xf>
    <xf numFmtId="10" fontId="2" fillId="0" borderId="1" xfId="0" applyNumberFormat="1" applyFont="1" applyBorder="1" applyAlignment="1">
      <alignment horizontal="center" vertical="center"/>
    </xf>
    <xf numFmtId="10" fontId="2" fillId="0" borderId="1" xfId="2" applyNumberFormat="1" applyFont="1" applyBorder="1" applyAlignment="1">
      <alignment horizontal="center" vertical="center"/>
    </xf>
    <xf numFmtId="9" fontId="4" fillId="0" borderId="0" xfId="2" applyFont="1"/>
    <xf numFmtId="42" fontId="4" fillId="0" borderId="1" xfId="0" applyNumberFormat="1" applyFont="1" applyBorder="1" applyAlignment="1">
      <alignment vertical="center"/>
    </xf>
    <xf numFmtId="42" fontId="4" fillId="0" borderId="1" xfId="0" applyNumberFormat="1" applyFont="1" applyBorder="1"/>
    <xf numFmtId="164" fontId="2" fillId="4" borderId="1" xfId="0" applyNumberFormat="1" applyFont="1" applyFill="1" applyBorder="1" applyAlignment="1">
      <alignment vertical="center"/>
    </xf>
    <xf numFmtId="164" fontId="2" fillId="8" borderId="1" xfId="0" applyNumberFormat="1" applyFont="1" applyFill="1" applyBorder="1"/>
    <xf numFmtId="164" fontId="2" fillId="6" borderId="1" xfId="0" applyNumberFormat="1" applyFont="1" applyFill="1" applyBorder="1"/>
    <xf numFmtId="165" fontId="2" fillId="9" borderId="1" xfId="0" applyNumberFormat="1" applyFont="1" applyFill="1" applyBorder="1"/>
    <xf numFmtId="3" fontId="4" fillId="0" borderId="1" xfId="0" applyNumberFormat="1" applyFont="1" applyBorder="1"/>
    <xf numFmtId="164" fontId="4" fillId="5" borderId="1" xfId="1" applyNumberFormat="1" applyFont="1" applyFill="1" applyBorder="1" applyAlignment="1">
      <alignment vertical="center"/>
    </xf>
    <xf numFmtId="0" fontId="4" fillId="5" borderId="1" xfId="0" applyFont="1" applyFill="1" applyBorder="1"/>
    <xf numFmtId="0" fontId="4" fillId="5" borderId="1" xfId="0" applyFont="1" applyFill="1" applyBorder="1" applyAlignment="1">
      <alignment vertical="center"/>
    </xf>
    <xf numFmtId="9" fontId="4" fillId="5" borderId="1" xfId="0" applyNumberFormat="1" applyFont="1" applyFill="1" applyBorder="1" applyAlignment="1">
      <alignment vertical="center"/>
    </xf>
    <xf numFmtId="9" fontId="4" fillId="0" borderId="1" xfId="2" applyFont="1" applyFill="1" applyBorder="1" applyAlignment="1">
      <alignment vertical="center"/>
    </xf>
    <xf numFmtId="164" fontId="4" fillId="0" borderId="1" xfId="1" applyNumberFormat="1" applyFont="1" applyFill="1" applyBorder="1" applyAlignment="1">
      <alignment vertical="center"/>
    </xf>
    <xf numFmtId="165" fontId="4" fillId="0" borderId="1" xfId="0" applyNumberFormat="1" applyFont="1" applyBorder="1" applyAlignment="1">
      <alignment vertical="center"/>
    </xf>
    <xf numFmtId="165" fontId="4" fillId="0" borderId="1" xfId="1" applyNumberFormat="1" applyFont="1" applyFill="1" applyBorder="1" applyAlignment="1">
      <alignment wrapText="1"/>
    </xf>
    <xf numFmtId="164" fontId="4" fillId="5" borderId="1" xfId="1" applyNumberFormat="1" applyFont="1" applyFill="1" applyBorder="1" applyAlignment="1">
      <alignment vertical="center" wrapText="1"/>
    </xf>
    <xf numFmtId="0" fontId="4" fillId="5" borderId="1" xfId="0" applyFont="1" applyFill="1" applyBorder="1" applyAlignment="1">
      <alignment wrapText="1"/>
    </xf>
    <xf numFmtId="164" fontId="4" fillId="5" borderId="1" xfId="1" applyNumberFormat="1" applyFont="1" applyFill="1" applyBorder="1" applyAlignment="1"/>
    <xf numFmtId="165" fontId="4" fillId="5" borderId="1" xfId="0" applyNumberFormat="1" applyFont="1" applyFill="1" applyBorder="1" applyAlignment="1">
      <alignment wrapText="1"/>
    </xf>
    <xf numFmtId="9" fontId="4" fillId="5" borderId="1" xfId="0" applyNumberFormat="1" applyFont="1" applyFill="1" applyBorder="1" applyAlignment="1">
      <alignment vertical="center" wrapText="1"/>
    </xf>
    <xf numFmtId="0" fontId="4" fillId="5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164" fontId="4" fillId="0" borderId="1" xfId="1" applyNumberFormat="1" applyFont="1" applyFill="1" applyBorder="1" applyAlignment="1">
      <alignment vertical="center" wrapText="1"/>
    </xf>
    <xf numFmtId="165" fontId="4" fillId="0" borderId="1" xfId="0" applyNumberFormat="1" applyFont="1" applyBorder="1" applyAlignment="1">
      <alignment vertical="center" wrapText="1"/>
    </xf>
    <xf numFmtId="0" fontId="2" fillId="9" borderId="1" xfId="0" applyFont="1" applyFill="1" applyBorder="1" applyAlignment="1">
      <alignment horizontal="left" vertical="center"/>
    </xf>
    <xf numFmtId="0" fontId="2" fillId="9" borderId="1" xfId="0" applyFont="1" applyFill="1" applyBorder="1" applyAlignment="1">
      <alignment horizontal="left" vertical="center" wrapText="1"/>
    </xf>
    <xf numFmtId="0" fontId="2" fillId="4" borderId="8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0" fontId="2" fillId="7" borderId="3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7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 wrapText="1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AFD8E7"/>
      <color rgb="FF399DC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Reduced ER Visits 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'HCE Case Study'!$R$28</c:f>
              <c:strCache>
                <c:ptCount val="1"/>
                <c:pt idx="0">
                  <c:v>Year 1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'HCE Case Study'!$Q$29:$Q$31</c:f>
              <c:strCache>
                <c:ptCount val="3"/>
                <c:pt idx="0">
                  <c:v>Hiring a Additional Practitioner </c:v>
                </c:pt>
                <c:pt idx="1">
                  <c:v>Building an additional urgent care center</c:v>
                </c:pt>
                <c:pt idx="2">
                  <c:v>Establishing a new phone line</c:v>
                </c:pt>
              </c:strCache>
            </c:strRef>
          </c:cat>
          <c:val>
            <c:numRef>
              <c:f>'HCE Case Study'!$R$29:$R$31</c:f>
              <c:numCache>
                <c:formatCode>General</c:formatCode>
                <c:ptCount val="3"/>
                <c:pt idx="0">
                  <c:v>472.5</c:v>
                </c:pt>
                <c:pt idx="1">
                  <c:v>446.25</c:v>
                </c:pt>
                <c:pt idx="2">
                  <c:v>472.5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AF-4574-B667-1164C6E952C0}"/>
            </c:ext>
          </c:extLst>
        </c:ser>
        <c:ser>
          <c:idx val="1"/>
          <c:order val="1"/>
          <c:tx>
            <c:strRef>
              <c:f>'HCE Case Study'!$S$28</c:f>
              <c:strCache>
                <c:ptCount val="1"/>
                <c:pt idx="0">
                  <c:v>Year2 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'HCE Case Study'!$Q$29:$Q$31</c:f>
              <c:strCache>
                <c:ptCount val="3"/>
                <c:pt idx="0">
                  <c:v>Hiring a Additional Practitioner </c:v>
                </c:pt>
                <c:pt idx="1">
                  <c:v>Building an additional urgent care center</c:v>
                </c:pt>
                <c:pt idx="2">
                  <c:v>Establishing a new phone line</c:v>
                </c:pt>
              </c:strCache>
            </c:strRef>
          </c:cat>
          <c:val>
            <c:numRef>
              <c:f>'HCE Case Study'!$S$29:$S$31</c:f>
              <c:numCache>
                <c:formatCode>General</c:formatCode>
                <c:ptCount val="3"/>
                <c:pt idx="0">
                  <c:v>448.875</c:v>
                </c:pt>
                <c:pt idx="1">
                  <c:v>446.25</c:v>
                </c:pt>
                <c:pt idx="2">
                  <c:v>448.875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AF-4574-B667-1164C6E952C0}"/>
            </c:ext>
          </c:extLst>
        </c:ser>
        <c:ser>
          <c:idx val="2"/>
          <c:order val="2"/>
          <c:tx>
            <c:strRef>
              <c:f>'HCE Case Study'!$T$28</c:f>
              <c:strCache>
                <c:ptCount val="1"/>
                <c:pt idx="0">
                  <c:v>Year3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'HCE Case Study'!$Q$29:$Q$31</c:f>
              <c:strCache>
                <c:ptCount val="3"/>
                <c:pt idx="0">
                  <c:v>Hiring a Additional Practitioner </c:v>
                </c:pt>
                <c:pt idx="1">
                  <c:v>Building an additional urgent care center</c:v>
                </c:pt>
                <c:pt idx="2">
                  <c:v>Establishing a new phone line</c:v>
                </c:pt>
              </c:strCache>
            </c:strRef>
          </c:cat>
          <c:val>
            <c:numRef>
              <c:f>'HCE Case Study'!$T$29:$T$31</c:f>
              <c:numCache>
                <c:formatCode>General</c:formatCode>
                <c:ptCount val="3"/>
                <c:pt idx="0">
                  <c:v>448.875</c:v>
                </c:pt>
                <c:pt idx="1">
                  <c:v>446.25</c:v>
                </c:pt>
                <c:pt idx="2">
                  <c:v>448.875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8AF-4574-B667-1164C6E952C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635685023"/>
        <c:axId val="1348157535"/>
      </c:barChart>
      <c:catAx>
        <c:axId val="1635685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8157535"/>
        <c:crosses val="autoZero"/>
        <c:auto val="1"/>
        <c:lblAlgn val="ctr"/>
        <c:lblOffset val="100"/>
        <c:noMultiLvlLbl val="0"/>
      </c:catAx>
      <c:valAx>
        <c:axId val="134815753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0"/>
                  <a:t>ER</a:t>
                </a:r>
                <a:r>
                  <a:rPr lang="en-US" b="0" baseline="0"/>
                  <a:t> Visits per 1000</a:t>
                </a:r>
                <a:endParaRPr lang="en-US" b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5685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bg1">
            <a:lumMod val="95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u="none" strike="noStrike" baseline="0">
                <a:solidFill>
                  <a:sysClr val="windowText" lastClr="000000"/>
                </a:solidFill>
                <a:effectLst/>
              </a:rPr>
              <a:t>Return On Investment For Each Option</a:t>
            </a:r>
            <a:r>
              <a:rPr lang="en-US" sz="1600" b="1" i="0" u="none" strike="noStrike" baseline="0">
                <a:solidFill>
                  <a:sysClr val="windowText" lastClr="000000"/>
                </a:solidFill>
              </a:rPr>
              <a:t> </a:t>
            </a:r>
            <a:endParaRPr lang="en-US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'HCE Case Study'!$V$29</c:f>
              <c:strCache>
                <c:ptCount val="1"/>
                <c:pt idx="0">
                  <c:v>Hiring a Additional Practitioner 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9.6645822795394243E-2"/>
                  <c:y val="1.941342909945637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F4F-4C1E-80A5-47485A8E2825}"/>
                </c:ext>
              </c:extLst>
            </c:dLbl>
            <c:dLbl>
              <c:idx val="1"/>
              <c:layout>
                <c:manualLayout>
                  <c:x val="-2.9119704403246821E-2"/>
                  <c:y val="5.176914426521699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F4F-4C1E-80A5-47485A8E2825}"/>
                </c:ext>
              </c:extLst>
            </c:dLbl>
            <c:dLbl>
              <c:idx val="2"/>
              <c:layout>
                <c:manualLayout>
                  <c:x val="9.7778292327829024E-3"/>
                  <c:y val="0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F4F-4C1E-80A5-47485A8E282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'HCE Case Study'!$W$27:$Y$28</c:f>
              <c:strCache>
                <c:ptCount val="3"/>
                <c:pt idx="0">
                  <c:v>Year 1</c:v>
                </c:pt>
                <c:pt idx="1">
                  <c:v>Year2 </c:v>
                </c:pt>
                <c:pt idx="2">
                  <c:v>Year3</c:v>
                </c:pt>
              </c:strCache>
            </c:strRef>
          </c:cat>
          <c:val>
            <c:numRef>
              <c:f>'HCE Case Study'!$W$29:$Y$29</c:f>
              <c:numCache>
                <c:formatCode>0.00%</c:formatCode>
                <c:ptCount val="3"/>
                <c:pt idx="0">
                  <c:v>3.1549295774647885</c:v>
                </c:pt>
                <c:pt idx="1">
                  <c:v>4.6348835700849715</c:v>
                </c:pt>
                <c:pt idx="2">
                  <c:v>4.8672787396225665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F4F-4C1E-80A5-47485A8E2825}"/>
            </c:ext>
          </c:extLst>
        </c:ser>
        <c:ser>
          <c:idx val="1"/>
          <c:order val="1"/>
          <c:tx>
            <c:strRef>
              <c:f>'HCE Case Study'!$V$30</c:f>
              <c:strCache>
                <c:ptCount val="1"/>
                <c:pt idx="0">
                  <c:v>Building an additional urgent care center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8.6921439386386842E-2"/>
                  <c:y val="-1.1863625177835145E-16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F4F-4C1E-80A5-47485A8E2825}"/>
                </c:ext>
              </c:extLst>
            </c:dLbl>
            <c:dLbl>
              <c:idx val="1"/>
              <c:layout>
                <c:manualLayout>
                  <c:x val="-5.3858535795761608E-2"/>
                  <c:y val="-4.853357274864099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F4F-4C1E-80A5-47485A8E2825}"/>
                </c:ext>
              </c:extLst>
            </c:dLbl>
            <c:dLbl>
              <c:idx val="2"/>
              <c:layout>
                <c:manualLayout>
                  <c:x val="2.3936531476297696E-2"/>
                  <c:y val="-3.2355715165761213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F4F-4C1E-80A5-47485A8E282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'HCE Case Study'!$W$27:$Y$28</c:f>
              <c:strCache>
                <c:ptCount val="3"/>
                <c:pt idx="0">
                  <c:v>Year 1</c:v>
                </c:pt>
                <c:pt idx="1">
                  <c:v>Year2 </c:v>
                </c:pt>
                <c:pt idx="2">
                  <c:v>Year3</c:v>
                </c:pt>
              </c:strCache>
            </c:strRef>
          </c:cat>
          <c:val>
            <c:numRef>
              <c:f>'HCE Case Study'!$W$30:$Y$30</c:f>
              <c:numCache>
                <c:formatCode>0.00%</c:formatCode>
                <c:ptCount val="3"/>
                <c:pt idx="0">
                  <c:v>1.3633904418394951</c:v>
                </c:pt>
                <c:pt idx="1">
                  <c:v>1.4168157423971377</c:v>
                </c:pt>
                <c:pt idx="2">
                  <c:v>1.4619289340101522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F4F-4C1E-80A5-47485A8E2825}"/>
            </c:ext>
          </c:extLst>
        </c:ser>
        <c:ser>
          <c:idx val="2"/>
          <c:order val="2"/>
          <c:tx>
            <c:strRef>
              <c:f>'HCE Case Study'!$V$31</c:f>
              <c:strCache>
                <c:ptCount val="1"/>
                <c:pt idx="0">
                  <c:v>Establishing a new phone line</c:v>
                </c:pt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8.6921439386386842E-2"/>
                  <c:y val="0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9F4F-4C1E-80A5-47485A8E2825}"/>
                </c:ext>
              </c:extLst>
            </c:dLbl>
            <c:dLbl>
              <c:idx val="1"/>
              <c:layout>
                <c:manualLayout>
                  <c:x val="-5.8292854630268988E-2"/>
                  <c:y val="-4.853357274864093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9F4F-4C1E-80A5-47485A8E2825}"/>
                </c:ext>
              </c:extLst>
            </c:dLbl>
            <c:dLbl>
              <c:idx val="2"/>
              <c:layout>
                <c:manualLayout>
                  <c:x val="5.8880758691799377E-3"/>
                  <c:y val="-2.9659062944587862E-17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9F4F-4C1E-80A5-47485A8E282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'HCE Case Study'!$W$27:$Y$28</c:f>
              <c:strCache>
                <c:ptCount val="3"/>
                <c:pt idx="0">
                  <c:v>Year 1</c:v>
                </c:pt>
                <c:pt idx="1">
                  <c:v>Year2 </c:v>
                </c:pt>
                <c:pt idx="2">
                  <c:v>Year3</c:v>
                </c:pt>
              </c:strCache>
            </c:strRef>
          </c:cat>
          <c:val>
            <c:numRef>
              <c:f>'HCE Case Study'!$W$31:$Y$31</c:f>
              <c:numCache>
                <c:formatCode>0.00%</c:formatCode>
                <c:ptCount val="3"/>
                <c:pt idx="0">
                  <c:v>5.76</c:v>
                </c:pt>
                <c:pt idx="1">
                  <c:v>8.9079978945618752</c:v>
                </c:pt>
                <c:pt idx="2">
                  <c:v>9.2496572091551528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F4F-4C1E-80A5-47485A8E282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83301151"/>
        <c:axId val="1748485103"/>
      </c:lineChart>
      <c:catAx>
        <c:axId val="17833011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8485103"/>
        <c:crosses val="autoZero"/>
        <c:auto val="1"/>
        <c:lblAlgn val="ctr"/>
        <c:lblOffset val="100"/>
        <c:noMultiLvlLbl val="0"/>
      </c:catAx>
      <c:valAx>
        <c:axId val="1748485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3301151"/>
        <c:crosses val="autoZero"/>
        <c:crossBetween val="between"/>
      </c:valAx>
      <c:spPr>
        <a:solidFill>
          <a:schemeClr val="bg1">
            <a:lumMod val="95000"/>
          </a:schemeClr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Net Savings from each option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306077547942889E-2"/>
          <c:y val="0.11598678722408086"/>
          <c:w val="0.87164814493270626"/>
          <c:h val="0.73544200113107749"/>
        </c:manualLayout>
      </c:layout>
      <c:lineChart>
        <c:grouping val="standard"/>
        <c:varyColors val="0"/>
        <c:ser>
          <c:idx val="0"/>
          <c:order val="0"/>
          <c:tx>
            <c:strRef>
              <c:f>'HCE Case Study'!$AA$29</c:f>
              <c:strCache>
                <c:ptCount val="1"/>
                <c:pt idx="0">
                  <c:v>Hiring a Additional Practitioner </c:v>
                </c:pt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6.8435781283885999E-2"/>
                  <c:y val="4.823953550265216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F54-4C5B-A50E-AF2CB47CA18D}"/>
                </c:ext>
              </c:extLst>
            </c:dLbl>
            <c:dLbl>
              <c:idx val="1"/>
              <c:layout>
                <c:manualLayout>
                  <c:x val="-3.6152732934636125E-2"/>
                  <c:y val="4.82395355026521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F54-4C5B-A50E-AF2CB47CA18D}"/>
                </c:ext>
              </c:extLst>
            </c:dLbl>
            <c:dLbl>
              <c:idx val="2"/>
              <c:layout>
                <c:manualLayout>
                  <c:x val="2.9267466460347709E-3"/>
                  <c:y val="6.4319380670202295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F54-4C5B-A50E-AF2CB47CA18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'HCE Case Study'!$AB$28:$AD$28</c:f>
              <c:strCache>
                <c:ptCount val="3"/>
                <c:pt idx="0">
                  <c:v>Year 1</c:v>
                </c:pt>
                <c:pt idx="1">
                  <c:v>Year2 </c:v>
                </c:pt>
                <c:pt idx="2">
                  <c:v>Year3</c:v>
                </c:pt>
              </c:strCache>
            </c:strRef>
          </c:cat>
          <c:val>
            <c:numRef>
              <c:f>'HCE Case Study'!$AB$29:$AD$29</c:f>
              <c:numCache>
                <c:formatCode>"$"#,##0.00</c:formatCode>
                <c:ptCount val="3"/>
                <c:pt idx="0">
                  <c:v>215156.25</c:v>
                </c:pt>
                <c:pt idx="1">
                  <c:v>394024.21875</c:v>
                </c:pt>
                <c:pt idx="2">
                  <c:v>435490.875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F54-4C5B-A50E-AF2CB47CA18D}"/>
            </c:ext>
          </c:extLst>
        </c:ser>
        <c:ser>
          <c:idx val="1"/>
          <c:order val="1"/>
          <c:tx>
            <c:strRef>
              <c:f>'HCE Case Study'!$AA$30</c:f>
              <c:strCache>
                <c:ptCount val="1"/>
                <c:pt idx="0">
                  <c:v>Building an additional urgent care center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0.10364129506264691"/>
                  <c:y val="0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F54-4C5B-A50E-AF2CB47CA18D}"/>
                </c:ext>
              </c:extLst>
            </c:dLbl>
            <c:dLbl>
              <c:idx val="1"/>
              <c:layout>
                <c:manualLayout>
                  <c:x val="-5.2668060826989216E-2"/>
                  <c:y val="-5.145550453616230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F54-4C5B-A50E-AF2CB47CA18D}"/>
                </c:ext>
              </c:extLst>
            </c:dLbl>
            <c:dLbl>
              <c:idx val="2"/>
              <c:layout>
                <c:manualLayout>
                  <c:x val="-6.7921500148974204E-3"/>
                  <c:y val="0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F54-4C5B-A50E-AF2CB47CA18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'HCE Case Study'!$AB$28:$AD$28</c:f>
              <c:strCache>
                <c:ptCount val="3"/>
                <c:pt idx="0">
                  <c:v>Year 1</c:v>
                </c:pt>
                <c:pt idx="1">
                  <c:v>Year2 </c:v>
                </c:pt>
                <c:pt idx="2">
                  <c:v>Year3</c:v>
                </c:pt>
              </c:strCache>
            </c:strRef>
          </c:cat>
          <c:val>
            <c:numRef>
              <c:f>'HCE Case Study'!$AB$30:$AD$30</c:f>
              <c:numCache>
                <c:formatCode>"$"#,##0.00</c:formatCode>
                <c:ptCount val="3"/>
                <c:pt idx="0">
                  <c:v>50375</c:v>
                </c:pt>
                <c:pt idx="1">
                  <c:v>61162.5</c:v>
                </c:pt>
                <c:pt idx="2">
                  <c:v>71662.5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F54-4C5B-A50E-AF2CB47CA18D}"/>
            </c:ext>
          </c:extLst>
        </c:ser>
        <c:ser>
          <c:idx val="2"/>
          <c:order val="2"/>
          <c:tx>
            <c:strRef>
              <c:f>'HCE Case Study'!$AA$31</c:f>
              <c:strCache>
                <c:ptCount val="1"/>
                <c:pt idx="0">
                  <c:v>Establishing a new phone line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9.9019721825280613E-2"/>
                  <c:y val="-4.180759743563181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F54-4C5B-A50E-AF2CB47CA18D}"/>
                </c:ext>
              </c:extLst>
            </c:dLbl>
            <c:dLbl>
              <c:idx val="1"/>
              <c:layout>
                <c:manualLayout>
                  <c:x val="-7.3533104707451821E-2"/>
                  <c:y val="-7.075131873722316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F54-4C5B-A50E-AF2CB47CA18D}"/>
                </c:ext>
              </c:extLst>
            </c:dLbl>
            <c:dLbl>
              <c:idx val="2"/>
              <c:layout>
                <c:manualLayout>
                  <c:x val="-2.1705767775309984E-3"/>
                  <c:y val="-6.4319380670202885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8F54-4C5B-A50E-AF2CB47CA18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'HCE Case Study'!$AB$28:$AD$28</c:f>
              <c:strCache>
                <c:ptCount val="3"/>
                <c:pt idx="0">
                  <c:v>Year 1</c:v>
                </c:pt>
                <c:pt idx="1">
                  <c:v>Year2 </c:v>
                </c:pt>
                <c:pt idx="2">
                  <c:v>Year3</c:v>
                </c:pt>
              </c:strCache>
            </c:strRef>
          </c:cat>
          <c:val>
            <c:numRef>
              <c:f>'HCE Case Study'!$AB$31:$AD$31</c:f>
              <c:numCache>
                <c:formatCode>"$"#,##0.00</c:formatCode>
                <c:ptCount val="3"/>
                <c:pt idx="0">
                  <c:v>260312.5</c:v>
                </c:pt>
                <c:pt idx="1">
                  <c:v>446023.4375</c:v>
                </c:pt>
                <c:pt idx="2">
                  <c:v>488843.75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F54-4C5B-A50E-AF2CB47CA18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03990319"/>
        <c:axId val="1475752687"/>
      </c:lineChart>
      <c:catAx>
        <c:axId val="170399031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752687"/>
        <c:crosses val="autoZero"/>
        <c:auto val="1"/>
        <c:lblAlgn val="ctr"/>
        <c:lblOffset val="100"/>
        <c:noMultiLvlLbl val="0"/>
      </c:catAx>
      <c:valAx>
        <c:axId val="1475752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3990319"/>
        <c:crosses val="autoZero"/>
        <c:crossBetween val="between"/>
      </c:valAx>
      <c:spPr>
        <a:solidFill>
          <a:schemeClr val="bg1">
            <a:lumMod val="95000"/>
          </a:schemeClr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9071</xdr:colOff>
      <xdr:row>4</xdr:row>
      <xdr:rowOff>120198</xdr:rowOff>
    </xdr:from>
    <xdr:to>
      <xdr:col>19</xdr:col>
      <xdr:colOff>780143</xdr:colOff>
      <xdr:row>24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2740A25-CDE3-4ABC-87DB-632B218794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598714</xdr:colOff>
      <xdr:row>4</xdr:row>
      <xdr:rowOff>54428</xdr:rowOff>
    </xdr:from>
    <xdr:to>
      <xdr:col>24</xdr:col>
      <xdr:colOff>879928</xdr:colOff>
      <xdr:row>23</xdr:row>
      <xdr:rowOff>181429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1F70F48-AD30-4175-AD41-5EE01E9809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18142</xdr:colOff>
      <xdr:row>3</xdr:row>
      <xdr:rowOff>163286</xdr:rowOff>
    </xdr:from>
    <xdr:to>
      <xdr:col>29</xdr:col>
      <xdr:colOff>1133928</xdr:colOff>
      <xdr:row>24</xdr:row>
      <xdr:rowOff>81642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98FBE41-F619-4375-A4D5-840535A3A2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6286E-0D06-41C4-B4FC-E00F5A8606D4}">
  <dimension ref="A1:AH40"/>
  <sheetViews>
    <sheetView tabSelected="1" topLeftCell="R16" zoomScale="70" zoomScaleNormal="70" zoomScalePageLayoutView="64" workbookViewId="0">
      <selection activeCell="AA31" sqref="AA31"/>
    </sheetView>
  </sheetViews>
  <sheetFormatPr defaultRowHeight="15.5" x14ac:dyDescent="0.35"/>
  <cols>
    <col min="1" max="1" width="47.36328125" style="6" bestFit="1" customWidth="1"/>
    <col min="2" max="4" width="15.7265625" style="6" bestFit="1" customWidth="1"/>
    <col min="5" max="5" width="8.7265625" style="6"/>
    <col min="6" max="6" width="49.1796875" style="6" bestFit="1" customWidth="1"/>
    <col min="7" max="9" width="14.26953125" style="6" bestFit="1" customWidth="1"/>
    <col min="10" max="10" width="8.7265625" style="6"/>
    <col min="11" max="11" width="47.36328125" style="6" bestFit="1" customWidth="1"/>
    <col min="12" max="12" width="16.1796875" style="6" bestFit="1" customWidth="1"/>
    <col min="13" max="14" width="16.90625" style="6" bestFit="1" customWidth="1"/>
    <col min="15" max="15" width="3" style="6" customWidth="1"/>
    <col min="16" max="16" width="8.7265625" style="6"/>
    <col min="17" max="17" width="39.453125" style="6" bestFit="1" customWidth="1"/>
    <col min="18" max="18" width="29.54296875" style="6" bestFit="1" customWidth="1"/>
    <col min="19" max="19" width="11.26953125" style="6" bestFit="1" customWidth="1"/>
    <col min="20" max="21" width="8.7265625" style="6"/>
    <col min="22" max="22" width="38.36328125" style="6" customWidth="1"/>
    <col min="23" max="23" width="26.08984375" style="6" customWidth="1"/>
    <col min="24" max="24" width="21.7265625" style="6" customWidth="1"/>
    <col min="25" max="25" width="12.7265625" style="6" bestFit="1" customWidth="1"/>
    <col min="26" max="26" width="7" style="6" customWidth="1"/>
    <col min="27" max="27" width="39.453125" style="6" bestFit="1" customWidth="1"/>
    <col min="28" max="28" width="14.81640625" style="6" customWidth="1"/>
    <col min="29" max="29" width="20.453125" style="6" customWidth="1"/>
    <col min="30" max="30" width="16.6328125" style="6" customWidth="1"/>
    <col min="31" max="16384" width="8.7265625" style="6"/>
  </cols>
  <sheetData>
    <row r="1" spans="1:34" x14ac:dyDescent="0.35">
      <c r="A1" s="101" t="s">
        <v>56</v>
      </c>
      <c r="B1" s="102"/>
      <c r="C1" s="102"/>
      <c r="D1" s="103"/>
      <c r="F1" s="109" t="s">
        <v>57</v>
      </c>
      <c r="G1" s="109"/>
      <c r="H1" s="109"/>
      <c r="I1" s="109"/>
      <c r="K1" s="110" t="s">
        <v>58</v>
      </c>
      <c r="L1" s="110"/>
      <c r="M1" s="110"/>
      <c r="N1" s="110"/>
    </row>
    <row r="2" spans="1:34" x14ac:dyDescent="0.35">
      <c r="A2" s="104"/>
      <c r="B2" s="105"/>
      <c r="C2" s="105"/>
      <c r="D2" s="106"/>
      <c r="F2" s="109"/>
      <c r="G2" s="109"/>
      <c r="H2" s="109"/>
      <c r="I2" s="109"/>
      <c r="K2" s="110"/>
      <c r="L2" s="110"/>
      <c r="M2" s="110"/>
      <c r="N2" s="110"/>
    </row>
    <row r="3" spans="1:34" ht="15.5" customHeight="1" x14ac:dyDescent="0.35">
      <c r="A3" s="7"/>
      <c r="B3" s="8" t="s">
        <v>1</v>
      </c>
      <c r="C3" s="8" t="s">
        <v>2</v>
      </c>
      <c r="D3" s="8" t="s">
        <v>3</v>
      </c>
      <c r="F3" s="9"/>
      <c r="G3" s="10" t="s">
        <v>1</v>
      </c>
      <c r="H3" s="10" t="s">
        <v>2</v>
      </c>
      <c r="I3" s="10" t="s">
        <v>3</v>
      </c>
      <c r="K3" s="11"/>
      <c r="L3" s="12" t="s">
        <v>1</v>
      </c>
      <c r="M3" s="12" t="s">
        <v>2</v>
      </c>
      <c r="N3" s="12" t="s">
        <v>3</v>
      </c>
    </row>
    <row r="4" spans="1:34" ht="15.5" customHeight="1" x14ac:dyDescent="0.35">
      <c r="A4" s="13" t="s">
        <v>4</v>
      </c>
      <c r="B4" s="8"/>
      <c r="C4" s="8"/>
      <c r="D4" s="8"/>
      <c r="F4" s="13" t="s">
        <v>4</v>
      </c>
      <c r="G4" s="10"/>
      <c r="H4" s="10"/>
      <c r="I4" s="10"/>
      <c r="K4" s="13" t="s">
        <v>4</v>
      </c>
      <c r="L4" s="12"/>
      <c r="M4" s="12"/>
      <c r="N4" s="12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</row>
    <row r="5" spans="1:34" ht="15.5" customHeight="1" x14ac:dyDescent="0.35">
      <c r="A5" s="14" t="s">
        <v>50</v>
      </c>
      <c r="B5" s="7">
        <v>5000</v>
      </c>
      <c r="C5" s="7">
        <v>5500</v>
      </c>
      <c r="D5" s="7">
        <v>6000</v>
      </c>
      <c r="F5" s="14" t="s">
        <v>50</v>
      </c>
      <c r="G5" s="7">
        <v>5000</v>
      </c>
      <c r="H5" s="7">
        <v>5500</v>
      </c>
      <c r="I5" s="7">
        <v>6000</v>
      </c>
      <c r="K5" s="15" t="s">
        <v>50</v>
      </c>
      <c r="L5" s="18">
        <v>5000</v>
      </c>
      <c r="M5" s="18">
        <v>5500</v>
      </c>
      <c r="N5" s="18">
        <v>6000</v>
      </c>
      <c r="AH5"/>
    </row>
    <row r="6" spans="1:34" ht="15.5" customHeight="1" x14ac:dyDescent="0.35">
      <c r="A6" s="9" t="s">
        <v>0</v>
      </c>
      <c r="B6" s="7">
        <f>B5*12</f>
        <v>60000</v>
      </c>
      <c r="C6" s="7">
        <f>C5*12</f>
        <v>66000</v>
      </c>
      <c r="D6" s="7">
        <f>D5*12</f>
        <v>72000</v>
      </c>
      <c r="F6" s="9" t="s">
        <v>0</v>
      </c>
      <c r="G6" s="7">
        <f>G5*12</f>
        <v>60000</v>
      </c>
      <c r="H6" s="7">
        <f>H5*12</f>
        <v>66000</v>
      </c>
      <c r="I6" s="7">
        <f>I5*12</f>
        <v>72000</v>
      </c>
      <c r="K6" s="11" t="s">
        <v>0</v>
      </c>
      <c r="L6" s="18">
        <f>L5*12</f>
        <v>60000</v>
      </c>
      <c r="M6" s="18">
        <f>M5*12</f>
        <v>66000</v>
      </c>
      <c r="N6" s="18">
        <f>N5*12</f>
        <v>72000</v>
      </c>
      <c r="AH6"/>
    </row>
    <row r="7" spans="1:34" ht="15.5" customHeight="1" x14ac:dyDescent="0.35">
      <c r="A7" s="16" t="s">
        <v>36</v>
      </c>
      <c r="B7" s="7"/>
      <c r="C7" s="7"/>
      <c r="D7" s="7"/>
      <c r="F7" s="16" t="s">
        <v>48</v>
      </c>
      <c r="G7" s="7"/>
      <c r="H7" s="7"/>
      <c r="I7" s="7"/>
      <c r="K7" s="17" t="s">
        <v>36</v>
      </c>
      <c r="L7" s="87"/>
      <c r="M7" s="87"/>
      <c r="N7" s="87"/>
      <c r="AH7"/>
    </row>
    <row r="8" spans="1:34" ht="15.5" customHeight="1" x14ac:dyDescent="0.35">
      <c r="A8" s="9"/>
      <c r="B8" s="7"/>
      <c r="C8" s="7"/>
      <c r="D8" s="7"/>
      <c r="F8" s="9" t="s">
        <v>16</v>
      </c>
      <c r="G8" s="78">
        <f>0.4*G6</f>
        <v>24000</v>
      </c>
      <c r="H8" s="78">
        <f>0.4*H6</f>
        <v>26400</v>
      </c>
      <c r="I8" s="78">
        <f>0.4*I6</f>
        <v>28800</v>
      </c>
      <c r="K8" s="7"/>
      <c r="L8" s="18"/>
      <c r="M8" s="7"/>
      <c r="N8" s="7"/>
      <c r="AH8"/>
    </row>
    <row r="9" spans="1:34" x14ac:dyDescent="0.35">
      <c r="A9" s="16" t="s">
        <v>5</v>
      </c>
      <c r="B9" s="7"/>
      <c r="C9" s="7"/>
      <c r="D9" s="7"/>
      <c r="F9" s="19" t="s">
        <v>23</v>
      </c>
      <c r="G9" s="79"/>
      <c r="H9" s="79"/>
      <c r="I9" s="79"/>
      <c r="K9" s="19" t="s">
        <v>23</v>
      </c>
      <c r="L9" s="87"/>
      <c r="M9" s="87"/>
      <c r="N9" s="87"/>
      <c r="AH9"/>
    </row>
    <row r="10" spans="1:34" x14ac:dyDescent="0.35">
      <c r="A10" s="9" t="s">
        <v>43</v>
      </c>
      <c r="B10" s="7">
        <v>525</v>
      </c>
      <c r="C10" s="7">
        <v>525</v>
      </c>
      <c r="D10" s="7">
        <v>525</v>
      </c>
      <c r="F10" s="20" t="s">
        <v>43</v>
      </c>
      <c r="G10" s="80">
        <v>525</v>
      </c>
      <c r="H10" s="80">
        <v>525</v>
      </c>
      <c r="I10" s="80">
        <v>525</v>
      </c>
      <c r="K10" s="21" t="s">
        <v>28</v>
      </c>
      <c r="L10" s="88">
        <v>525</v>
      </c>
      <c r="M10" s="88">
        <v>525</v>
      </c>
      <c r="N10" s="88">
        <v>525</v>
      </c>
      <c r="AH10"/>
    </row>
    <row r="11" spans="1:34" x14ac:dyDescent="0.35">
      <c r="A11" s="9" t="s">
        <v>6</v>
      </c>
      <c r="B11" s="7">
        <f>(B10/12000)*(B6)</f>
        <v>2625</v>
      </c>
      <c r="C11" s="7">
        <f>(C10/12000)*(C6)</f>
        <v>2887.5</v>
      </c>
      <c r="D11" s="7">
        <f>(D10/12000)*(D6)</f>
        <v>3150</v>
      </c>
      <c r="F11" s="20" t="s">
        <v>6</v>
      </c>
      <c r="G11" s="80">
        <f>(G10/12000)*(G6)</f>
        <v>2625</v>
      </c>
      <c r="H11" s="80">
        <f>(H10/12000)*(H6)</f>
        <v>2887.5</v>
      </c>
      <c r="I11" s="80">
        <f>(I10/12000)*(I6)</f>
        <v>3150</v>
      </c>
      <c r="K11" s="21" t="s">
        <v>7</v>
      </c>
      <c r="L11" s="90">
        <v>1200</v>
      </c>
      <c r="M11" s="90">
        <v>1200</v>
      </c>
      <c r="N11" s="90">
        <v>1200</v>
      </c>
      <c r="AH11"/>
    </row>
    <row r="12" spans="1:34" x14ac:dyDescent="0.35">
      <c r="A12" s="9" t="s">
        <v>7</v>
      </c>
      <c r="B12" s="7">
        <v>1200</v>
      </c>
      <c r="C12" s="7">
        <v>1200</v>
      </c>
      <c r="D12" s="7">
        <v>1200</v>
      </c>
      <c r="F12" s="20" t="s">
        <v>7</v>
      </c>
      <c r="G12" s="89">
        <v>1200</v>
      </c>
      <c r="H12" s="89">
        <v>1200</v>
      </c>
      <c r="I12" s="89">
        <v>1200</v>
      </c>
      <c r="K12" s="21" t="s">
        <v>6</v>
      </c>
      <c r="L12" s="88">
        <f>(L10/12000)*(L6)</f>
        <v>2625</v>
      </c>
      <c r="M12" s="88">
        <f>(M10/12000)*(M6)</f>
        <v>2887.5</v>
      </c>
      <c r="N12" s="88">
        <f>(N10/12000)*(N6)</f>
        <v>3150</v>
      </c>
      <c r="Q12" s="108"/>
      <c r="R12" s="108"/>
      <c r="S12" s="108"/>
      <c r="AH12"/>
    </row>
    <row r="13" spans="1:34" s="23" customFormat="1" x14ac:dyDescent="0.35">
      <c r="A13" s="22" t="s">
        <v>8</v>
      </c>
      <c r="B13" s="74">
        <f>B12*B11</f>
        <v>3150000</v>
      </c>
      <c r="C13" s="74">
        <f>C12*C11</f>
        <v>3465000</v>
      </c>
      <c r="D13" s="74">
        <f>D12*D11</f>
        <v>3780000</v>
      </c>
      <c r="F13" s="1" t="s">
        <v>20</v>
      </c>
      <c r="G13" s="81">
        <f>G10/12000*G8</f>
        <v>1050</v>
      </c>
      <c r="H13" s="81">
        <f>H10/12000*H8</f>
        <v>1155</v>
      </c>
      <c r="I13" s="81">
        <f>I10/12000*I8</f>
        <v>1260</v>
      </c>
      <c r="K13" s="24" t="s">
        <v>21</v>
      </c>
      <c r="L13" s="25">
        <f>L12*L11</f>
        <v>3150000</v>
      </c>
      <c r="M13" s="25">
        <f>M12*M11</f>
        <v>3465000</v>
      </c>
      <c r="N13" s="25">
        <f>N12*N11</f>
        <v>3780000</v>
      </c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/>
    </row>
    <row r="14" spans="1:34" x14ac:dyDescent="0.35">
      <c r="A14" s="3"/>
      <c r="B14" s="72"/>
      <c r="C14" s="72"/>
      <c r="D14" s="72"/>
      <c r="F14" s="27" t="s">
        <v>21</v>
      </c>
      <c r="G14" s="28">
        <f>G13*G12</f>
        <v>1260000</v>
      </c>
      <c r="H14" s="28">
        <f>H13*H12</f>
        <v>1386000</v>
      </c>
      <c r="I14" s="28">
        <f>I13*I12</f>
        <v>1512000</v>
      </c>
      <c r="K14" s="11"/>
      <c r="L14" s="11"/>
      <c r="M14" s="11"/>
      <c r="N14" s="11"/>
      <c r="AH14"/>
    </row>
    <row r="15" spans="1:34" x14ac:dyDescent="0.35">
      <c r="A15" s="19" t="s">
        <v>10</v>
      </c>
      <c r="B15" s="5"/>
      <c r="C15" s="5"/>
      <c r="D15" s="5"/>
      <c r="F15" s="9"/>
      <c r="G15" s="9"/>
      <c r="H15" s="9"/>
      <c r="I15" s="9"/>
      <c r="K15" s="16" t="s">
        <v>10</v>
      </c>
      <c r="L15" s="11"/>
      <c r="M15" s="11"/>
      <c r="N15" s="11"/>
      <c r="AH15"/>
    </row>
    <row r="16" spans="1:34" x14ac:dyDescent="0.35">
      <c r="A16" s="9" t="s">
        <v>9</v>
      </c>
      <c r="B16" s="29">
        <v>0.1</v>
      </c>
      <c r="C16" s="29">
        <v>0.05</v>
      </c>
      <c r="D16" s="29">
        <v>0</v>
      </c>
      <c r="F16" s="16" t="s">
        <v>10</v>
      </c>
      <c r="G16" s="9"/>
      <c r="H16" s="9"/>
      <c r="I16" s="9"/>
      <c r="K16" s="30" t="s">
        <v>9</v>
      </c>
      <c r="L16" s="91">
        <v>0.1</v>
      </c>
      <c r="M16" s="91">
        <v>0.05</v>
      </c>
      <c r="N16" s="91">
        <v>0</v>
      </c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/>
    </row>
    <row r="17" spans="1:34" x14ac:dyDescent="0.35">
      <c r="A17" s="31" t="s">
        <v>44</v>
      </c>
      <c r="B17" s="7">
        <f>B18/12000*B6</f>
        <v>2362.5</v>
      </c>
      <c r="C17" s="7">
        <f>C18/12000*C6</f>
        <v>2468.8125</v>
      </c>
      <c r="D17" s="7">
        <f>D18/12000*D6</f>
        <v>2693.25</v>
      </c>
      <c r="F17" s="1" t="s">
        <v>9</v>
      </c>
      <c r="G17" s="82">
        <v>0.15</v>
      </c>
      <c r="H17" s="82">
        <v>0.15</v>
      </c>
      <c r="I17" s="82">
        <v>0.15</v>
      </c>
      <c r="K17" s="32" t="s">
        <v>29</v>
      </c>
      <c r="L17" s="32">
        <f>L10-(L16*L10)</f>
        <v>472.5</v>
      </c>
      <c r="M17" s="32">
        <f>L17-M16*L17</f>
        <v>448.875</v>
      </c>
      <c r="N17" s="32">
        <f>M17</f>
        <v>448.875</v>
      </c>
      <c r="AH17"/>
    </row>
    <row r="18" spans="1:34" x14ac:dyDescent="0.35">
      <c r="A18" s="33" t="s">
        <v>45</v>
      </c>
      <c r="B18" s="33">
        <f>B10-(B16*B10)</f>
        <v>472.5</v>
      </c>
      <c r="C18" s="33">
        <f>B18-B18*C16</f>
        <v>448.875</v>
      </c>
      <c r="D18" s="33">
        <f>C18</f>
        <v>448.875</v>
      </c>
      <c r="F18" s="33" t="s">
        <v>24</v>
      </c>
      <c r="G18" s="33">
        <f>G10-(G17*G10)</f>
        <v>446.25</v>
      </c>
      <c r="H18" s="33">
        <f>H10-(H17*H10)</f>
        <v>446.25</v>
      </c>
      <c r="I18" s="33">
        <f>I10-(I17*I10)</f>
        <v>446.25</v>
      </c>
      <c r="K18" s="11" t="s">
        <v>31</v>
      </c>
      <c r="L18" s="18">
        <f>L17/12000*L6</f>
        <v>2362.5</v>
      </c>
      <c r="M18" s="18">
        <f>M17/12000*M6</f>
        <v>2468.8125</v>
      </c>
      <c r="N18" s="18">
        <f>N17/12000*N6</f>
        <v>2693.25</v>
      </c>
      <c r="AH18"/>
    </row>
    <row r="19" spans="1:34" x14ac:dyDescent="0.35">
      <c r="A19" s="31" t="s">
        <v>46</v>
      </c>
      <c r="B19" s="7">
        <f>B11-B17</f>
        <v>262.5</v>
      </c>
      <c r="C19" s="7">
        <f>C11-C17</f>
        <v>418.6875</v>
      </c>
      <c r="D19" s="7">
        <f>D11-D17</f>
        <v>456.75</v>
      </c>
      <c r="F19" s="34" t="s">
        <v>22</v>
      </c>
      <c r="G19" s="81">
        <f>G13-G17*G13</f>
        <v>892.5</v>
      </c>
      <c r="H19" s="81">
        <f>H13-H17*H13</f>
        <v>981.75</v>
      </c>
      <c r="I19" s="81">
        <f>I13-I17*I13</f>
        <v>1071</v>
      </c>
      <c r="K19" s="35" t="s">
        <v>49</v>
      </c>
      <c r="L19" s="36">
        <f>L18*L11</f>
        <v>2835000</v>
      </c>
      <c r="M19" s="36">
        <f>M18*M11</f>
        <v>2962575</v>
      </c>
      <c r="N19" s="36">
        <f>N18*N11</f>
        <v>3231900</v>
      </c>
      <c r="AH19"/>
    </row>
    <row r="20" spans="1:34" x14ac:dyDescent="0.35">
      <c r="A20" s="37" t="s">
        <v>49</v>
      </c>
      <c r="B20" s="75">
        <f>B17*B12</f>
        <v>2835000</v>
      </c>
      <c r="C20" s="75">
        <f>C17*C12</f>
        <v>2962575</v>
      </c>
      <c r="D20" s="75">
        <f>D17*D12</f>
        <v>3231900</v>
      </c>
      <c r="F20" s="38" t="s">
        <v>49</v>
      </c>
      <c r="G20" s="39">
        <f>G19*G12</f>
        <v>1071000</v>
      </c>
      <c r="H20" s="39">
        <f>H19*H12</f>
        <v>1178100</v>
      </c>
      <c r="I20" s="39">
        <f>I19*I12</f>
        <v>1285200</v>
      </c>
      <c r="K20" s="11"/>
      <c r="L20" s="40"/>
      <c r="M20" s="40" t="s">
        <v>53</v>
      </c>
      <c r="N20" s="40"/>
      <c r="AH20"/>
    </row>
    <row r="21" spans="1:34" x14ac:dyDescent="0.35">
      <c r="A21" s="31"/>
      <c r="B21" s="73"/>
      <c r="C21" s="73"/>
      <c r="D21" s="73"/>
      <c r="F21" s="41"/>
      <c r="G21" s="26"/>
      <c r="H21" s="26"/>
      <c r="I21" s="26"/>
      <c r="K21" s="4" t="s">
        <v>11</v>
      </c>
      <c r="L21" s="42">
        <f>L13-L19</f>
        <v>315000</v>
      </c>
      <c r="M21" s="42">
        <f>M13-M19</f>
        <v>502425</v>
      </c>
      <c r="N21" s="42">
        <f>N13-N19</f>
        <v>548100</v>
      </c>
      <c r="AH21"/>
    </row>
    <row r="22" spans="1:34" x14ac:dyDescent="0.35">
      <c r="A22" s="43" t="s">
        <v>11</v>
      </c>
      <c r="B22" s="76">
        <f>B13-B20</f>
        <v>315000</v>
      </c>
      <c r="C22" s="76">
        <f>C13-C20</f>
        <v>502425</v>
      </c>
      <c r="D22" s="76">
        <f>D13-D20</f>
        <v>548100</v>
      </c>
      <c r="F22" s="4" t="s">
        <v>11</v>
      </c>
      <c r="G22" s="44">
        <f>G14-G20</f>
        <v>189000</v>
      </c>
      <c r="H22" s="44">
        <f>H14-H20</f>
        <v>207900</v>
      </c>
      <c r="I22" s="44">
        <f>I14-I20</f>
        <v>226800</v>
      </c>
      <c r="K22" s="7"/>
      <c r="L22" s="7"/>
      <c r="M22" s="7"/>
      <c r="N22" s="7"/>
      <c r="AH22"/>
    </row>
    <row r="23" spans="1:34" x14ac:dyDescent="0.35">
      <c r="A23" s="31"/>
      <c r="B23" s="73"/>
      <c r="C23" s="73"/>
      <c r="D23" s="73"/>
      <c r="F23" s="41"/>
      <c r="G23" s="26"/>
      <c r="H23" s="26"/>
      <c r="I23" s="26"/>
      <c r="K23" s="45" t="s">
        <v>47</v>
      </c>
      <c r="L23" s="34"/>
      <c r="M23" s="34"/>
      <c r="N23" s="34"/>
      <c r="O23" s="46"/>
      <c r="AH23"/>
    </row>
    <row r="24" spans="1:34" x14ac:dyDescent="0.35">
      <c r="A24" s="45" t="s">
        <v>47</v>
      </c>
      <c r="B24" s="7"/>
      <c r="C24" s="7"/>
      <c r="D24" s="7"/>
      <c r="F24" s="45" t="s">
        <v>47</v>
      </c>
      <c r="G24" s="9"/>
      <c r="H24" s="9"/>
      <c r="I24" s="9"/>
      <c r="K24" s="2" t="s">
        <v>30</v>
      </c>
      <c r="L24" s="92">
        <f>(L12-L18)*0.3</f>
        <v>78.75</v>
      </c>
      <c r="M24" s="92">
        <f>(M12-M18)*0.3</f>
        <v>125.60624999999999</v>
      </c>
      <c r="N24" s="92">
        <f>(N12-N18)*0.3</f>
        <v>137.02500000000001</v>
      </c>
      <c r="AH24"/>
    </row>
    <row r="25" spans="1:34" x14ac:dyDescent="0.35">
      <c r="A25" s="9" t="s">
        <v>12</v>
      </c>
      <c r="B25" s="47">
        <v>75</v>
      </c>
      <c r="C25" s="47">
        <v>75</v>
      </c>
      <c r="D25" s="47">
        <v>75</v>
      </c>
      <c r="F25" s="3" t="s">
        <v>17</v>
      </c>
      <c r="G25" s="83">
        <v>0.05</v>
      </c>
      <c r="H25" s="83">
        <v>0.05</v>
      </c>
      <c r="I25" s="83">
        <v>0.05</v>
      </c>
      <c r="K25" s="11" t="s">
        <v>32</v>
      </c>
      <c r="L25" s="93">
        <v>150</v>
      </c>
      <c r="M25" s="93">
        <v>150</v>
      </c>
      <c r="N25" s="93">
        <v>150</v>
      </c>
      <c r="AH25"/>
    </row>
    <row r="26" spans="1:34" x14ac:dyDescent="0.35">
      <c r="A26" s="9" t="s">
        <v>13</v>
      </c>
      <c r="B26" s="49">
        <f>B19/2*B25</f>
        <v>9843.75</v>
      </c>
      <c r="C26" s="49">
        <f>C19/2*C25</f>
        <v>15700.78125</v>
      </c>
      <c r="D26" s="49">
        <f>D19/2*D25</f>
        <v>17128.125</v>
      </c>
      <c r="F26" s="3" t="s">
        <v>18</v>
      </c>
      <c r="G26" s="84">
        <v>115000</v>
      </c>
      <c r="H26" s="84">
        <f>G26+H25*G26</f>
        <v>120750</v>
      </c>
      <c r="I26" s="84">
        <f>H26+I25*H26</f>
        <v>126787.5</v>
      </c>
      <c r="K26" s="50" t="s">
        <v>33</v>
      </c>
      <c r="L26" s="93">
        <f>(L12-L18)*0.4</f>
        <v>105</v>
      </c>
      <c r="M26" s="93">
        <f>(M12-M18)*0.4</f>
        <v>167.47500000000002</v>
      </c>
      <c r="N26" s="93">
        <f>(N12-N18)*0.4</f>
        <v>182.70000000000002</v>
      </c>
      <c r="AH26"/>
    </row>
    <row r="27" spans="1:34" x14ac:dyDescent="0.35">
      <c r="A27" s="9" t="s">
        <v>14</v>
      </c>
      <c r="B27" s="51">
        <v>90000</v>
      </c>
      <c r="C27" s="51">
        <f>B27+0.03*B27</f>
        <v>92700</v>
      </c>
      <c r="D27" s="51">
        <f>C27+0.03*C27</f>
        <v>95481</v>
      </c>
      <c r="F27" s="3" t="s">
        <v>12</v>
      </c>
      <c r="G27" s="85">
        <v>150</v>
      </c>
      <c r="H27" s="85">
        <v>150</v>
      </c>
      <c r="I27" s="85">
        <v>150</v>
      </c>
      <c r="K27" s="50" t="s">
        <v>34</v>
      </c>
      <c r="L27" s="93">
        <v>75</v>
      </c>
      <c r="M27" s="93">
        <v>75</v>
      </c>
      <c r="N27" s="93">
        <v>75</v>
      </c>
      <c r="Q27" s="107" t="s">
        <v>52</v>
      </c>
      <c r="R27" s="107"/>
      <c r="S27" s="107"/>
      <c r="T27" s="107"/>
      <c r="V27" s="98" t="s">
        <v>54</v>
      </c>
      <c r="W27" s="99"/>
      <c r="X27" s="99"/>
      <c r="Y27" s="100"/>
      <c r="AA27" s="98" t="s">
        <v>55</v>
      </c>
      <c r="AB27" s="99"/>
      <c r="AC27" s="99"/>
      <c r="AD27" s="100"/>
      <c r="AH27"/>
    </row>
    <row r="28" spans="1:34" ht="17" customHeight="1" x14ac:dyDescent="0.35">
      <c r="A28" s="31"/>
      <c r="B28" s="73"/>
      <c r="C28" s="73"/>
      <c r="D28" s="73"/>
      <c r="F28" s="3" t="s">
        <v>19</v>
      </c>
      <c r="G28" s="85">
        <f>(G13-G19)*G27</f>
        <v>23625</v>
      </c>
      <c r="H28" s="85">
        <f>(H13-H19)*H27</f>
        <v>25987.5</v>
      </c>
      <c r="I28" s="85">
        <f>(I13-I19)*I27</f>
        <v>28350</v>
      </c>
      <c r="K28" s="52" t="s">
        <v>35</v>
      </c>
      <c r="L28" s="53">
        <f>(L24*L25)+(L26*L27)</f>
        <v>19687.5</v>
      </c>
      <c r="M28" s="53">
        <f>(M24*M25)+(M26*M27)</f>
        <v>31401.5625</v>
      </c>
      <c r="N28" s="53">
        <f>(N24*N25)+(N26*N27)</f>
        <v>34256.25</v>
      </c>
      <c r="Q28" s="10"/>
      <c r="R28" s="59" t="s">
        <v>1</v>
      </c>
      <c r="S28" s="61" t="s">
        <v>37</v>
      </c>
      <c r="T28" s="62" t="s">
        <v>38</v>
      </c>
      <c r="V28" s="10"/>
      <c r="W28" s="59" t="s">
        <v>1</v>
      </c>
      <c r="X28" s="61" t="s">
        <v>37</v>
      </c>
      <c r="Y28" s="62" t="s">
        <v>38</v>
      </c>
      <c r="AA28" s="10"/>
      <c r="AB28" s="59" t="s">
        <v>1</v>
      </c>
      <c r="AC28" s="61" t="s">
        <v>37</v>
      </c>
      <c r="AD28" s="62" t="s">
        <v>38</v>
      </c>
      <c r="AH28"/>
    </row>
    <row r="29" spans="1:34" x14ac:dyDescent="0.35">
      <c r="A29" s="54" t="s">
        <v>15</v>
      </c>
      <c r="B29" s="77">
        <f>B22-B26-B27</f>
        <v>215156.25</v>
      </c>
      <c r="C29" s="77">
        <f>C22-C26-C27</f>
        <v>394024.21875</v>
      </c>
      <c r="D29" s="77">
        <f>D22-D26-D27</f>
        <v>435490.875</v>
      </c>
      <c r="F29" s="3"/>
      <c r="G29" s="3"/>
      <c r="H29" s="3"/>
      <c r="I29" s="3"/>
      <c r="K29" s="11" t="s">
        <v>25</v>
      </c>
      <c r="L29" s="86">
        <v>10000</v>
      </c>
      <c r="M29" s="86">
        <v>0</v>
      </c>
      <c r="N29" s="86">
        <v>0</v>
      </c>
      <c r="Q29" s="68" t="s">
        <v>39</v>
      </c>
      <c r="R29" s="10">
        <f>'HCE Case Study'!B18</f>
        <v>472.5</v>
      </c>
      <c r="S29" s="10">
        <f>'HCE Case Study'!C18</f>
        <v>448.875</v>
      </c>
      <c r="T29" s="10">
        <f>'HCE Case Study'!D18</f>
        <v>448.875</v>
      </c>
      <c r="V29" s="68" t="s">
        <v>39</v>
      </c>
      <c r="W29" s="69">
        <f>'HCE Case Study'!B30</f>
        <v>3.1549295774647885</v>
      </c>
      <c r="X29" s="69">
        <f>'HCE Case Study'!C30</f>
        <v>4.6348835700849715</v>
      </c>
      <c r="Y29" s="69">
        <f>'HCE Case Study'!D30</f>
        <v>4.8672787396225665</v>
      </c>
      <c r="AA29" s="67" t="s">
        <v>39</v>
      </c>
      <c r="AB29" s="60">
        <f>'HCE Case Study'!B29</f>
        <v>215156.25</v>
      </c>
      <c r="AC29" s="60">
        <f>'HCE Case Study'!C29</f>
        <v>394024.21875</v>
      </c>
      <c r="AD29" s="60">
        <f>'HCE Case Study'!D29</f>
        <v>435490.875</v>
      </c>
      <c r="AH29"/>
    </row>
    <row r="30" spans="1:34" ht="22" customHeight="1" x14ac:dyDescent="0.35">
      <c r="A30" s="9" t="s">
        <v>42</v>
      </c>
      <c r="B30" s="66">
        <f>B22/(B26+B27)</f>
        <v>3.1549295774647885</v>
      </c>
      <c r="C30" s="66">
        <f>C22/(C26+C27)</f>
        <v>4.6348835700849715</v>
      </c>
      <c r="D30" s="66">
        <f>D22/(D26+D27)</f>
        <v>4.8672787396225665</v>
      </c>
      <c r="F30" s="55" t="s">
        <v>15</v>
      </c>
      <c r="G30" s="56">
        <f>G14-G20-G26-G28</f>
        <v>50375</v>
      </c>
      <c r="H30" s="56">
        <f>H14-H20-H26-H28</f>
        <v>61162.5</v>
      </c>
      <c r="I30" s="56">
        <f>I14-I20-I26-I28</f>
        <v>71662.5</v>
      </c>
      <c r="K30" s="48" t="s">
        <v>26</v>
      </c>
      <c r="L30" s="94">
        <v>5000</v>
      </c>
      <c r="M30" s="94">
        <v>5000</v>
      </c>
      <c r="N30" s="94">
        <v>5000</v>
      </c>
      <c r="Q30" s="68" t="s">
        <v>41</v>
      </c>
      <c r="R30" s="10">
        <f>'HCE Case Study'!G18</f>
        <v>446.25</v>
      </c>
      <c r="S30" s="10">
        <f>'HCE Case Study'!H18</f>
        <v>446.25</v>
      </c>
      <c r="T30" s="10">
        <f>'HCE Case Study'!I18</f>
        <v>446.25</v>
      </c>
      <c r="V30" s="68" t="s">
        <v>41</v>
      </c>
      <c r="W30" s="70">
        <f>'HCE Case Study'!G31</f>
        <v>1.3633904418394951</v>
      </c>
      <c r="X30" s="70">
        <f>'HCE Case Study'!H31</f>
        <v>1.4168157423971377</v>
      </c>
      <c r="Y30" s="70">
        <f>'HCE Case Study'!I31</f>
        <v>1.4619289340101522</v>
      </c>
      <c r="AA30" s="68" t="s">
        <v>41</v>
      </c>
      <c r="AB30" s="60">
        <f>'HCE Case Study'!G30</f>
        <v>50375</v>
      </c>
      <c r="AC30" s="60">
        <f>'HCE Case Study'!H30</f>
        <v>61162.5</v>
      </c>
      <c r="AD30" s="60">
        <f>'HCE Case Study'!I30</f>
        <v>71662.5</v>
      </c>
      <c r="AH30"/>
    </row>
    <row r="31" spans="1:34" x14ac:dyDescent="0.35">
      <c r="F31" s="9" t="s">
        <v>42</v>
      </c>
      <c r="G31" s="66">
        <f>G22/(G26+G28)</f>
        <v>1.3633904418394951</v>
      </c>
      <c r="H31" s="66">
        <f>H22/(H26+H28)</f>
        <v>1.4168157423971377</v>
      </c>
      <c r="I31" s="66">
        <f>I22/(I26+I28)</f>
        <v>1.4619289340101522</v>
      </c>
      <c r="K31" s="48" t="s">
        <v>27</v>
      </c>
      <c r="L31" s="94">
        <v>20000</v>
      </c>
      <c r="M31" s="94">
        <v>20000</v>
      </c>
      <c r="N31" s="94">
        <v>20000</v>
      </c>
      <c r="Q31" s="96" t="s">
        <v>40</v>
      </c>
      <c r="R31" s="10">
        <f>'HCE Case Study'!L17</f>
        <v>472.5</v>
      </c>
      <c r="S31" s="10">
        <f>'HCE Case Study'!M17</f>
        <v>448.875</v>
      </c>
      <c r="T31" s="10">
        <f>'HCE Case Study'!N17</f>
        <v>448.875</v>
      </c>
      <c r="V31" s="96" t="s">
        <v>40</v>
      </c>
      <c r="W31" s="70">
        <f>'HCE Case Study'!L35</f>
        <v>5.76</v>
      </c>
      <c r="X31" s="70">
        <f>'HCE Case Study'!M35</f>
        <v>8.9079978945618752</v>
      </c>
      <c r="Y31" s="70">
        <f>'HCE Case Study'!N35</f>
        <v>9.2496572091551528</v>
      </c>
      <c r="AA31" s="97" t="s">
        <v>40</v>
      </c>
      <c r="AB31" s="60">
        <f>'HCE Case Study'!L34</f>
        <v>260312.5</v>
      </c>
      <c r="AC31" s="60">
        <f>'HCE Case Study'!M34</f>
        <v>446023.4375</v>
      </c>
      <c r="AD31" s="60">
        <f>'HCE Case Study'!N34</f>
        <v>488843.75</v>
      </c>
      <c r="AH31"/>
    </row>
    <row r="32" spans="1:34" x14ac:dyDescent="0.35">
      <c r="K32" s="64" t="s">
        <v>51</v>
      </c>
      <c r="L32" s="95">
        <f>L28+L29+L30+L31</f>
        <v>54687.5</v>
      </c>
      <c r="M32" s="95">
        <f>M28+M29+M30+M31</f>
        <v>56401.5625</v>
      </c>
      <c r="N32" s="95">
        <f>N28+N29+N30+N31</f>
        <v>59256.25</v>
      </c>
      <c r="AH32"/>
    </row>
    <row r="33" spans="1:14" x14ac:dyDescent="0.35">
      <c r="A33" s="71"/>
      <c r="K33" s="48"/>
      <c r="L33" s="65"/>
      <c r="M33" s="65"/>
      <c r="N33" s="65"/>
    </row>
    <row r="34" spans="1:14" x14ac:dyDescent="0.35">
      <c r="K34" s="57" t="s">
        <v>15</v>
      </c>
      <c r="L34" s="58">
        <f>L21-L32</f>
        <v>260312.5</v>
      </c>
      <c r="M34" s="58">
        <f>M21-M32</f>
        <v>446023.4375</v>
      </c>
      <c r="N34" s="58">
        <f>N21-N32</f>
        <v>488843.75</v>
      </c>
    </row>
    <row r="35" spans="1:14" x14ac:dyDescent="0.35">
      <c r="K35" s="9" t="s">
        <v>42</v>
      </c>
      <c r="L35" s="66">
        <f>L21/L32</f>
        <v>5.76</v>
      </c>
      <c r="M35" s="66">
        <f>M21/M32</f>
        <v>8.9079978945618752</v>
      </c>
      <c r="N35" s="66">
        <f>N21/N32</f>
        <v>9.2496572091551528</v>
      </c>
    </row>
    <row r="40" spans="1:14" x14ac:dyDescent="0.35">
      <c r="L40" s="63"/>
      <c r="M40" s="63"/>
      <c r="N40" s="63"/>
    </row>
  </sheetData>
  <mergeCells count="7">
    <mergeCell ref="AA27:AD27"/>
    <mergeCell ref="A1:D2"/>
    <mergeCell ref="Q27:T27"/>
    <mergeCell ref="Q12:S12"/>
    <mergeCell ref="V27:Y27"/>
    <mergeCell ref="F1:I2"/>
    <mergeCell ref="K1:N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HCE Case Study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Jigyansha Dahal</dc:creator>
  <cp:lastModifiedBy>Jigyansha Dahal</cp:lastModifiedBy>
  <dcterms:created xsi:type="dcterms:W3CDTF">2023-11-02T20:07:24Z</dcterms:created>
  <dcterms:modified xsi:type="dcterms:W3CDTF">2023-11-09T18:47:01Z</dcterms:modified>
</cp:coreProperties>
</file>