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vo\Downloads\"/>
    </mc:Choice>
  </mc:AlternateContent>
  <xr:revisionPtr revIDLastSave="0" documentId="13_ncr:1_{A50C2C52-31D8-45B1-AD15-AC8E2A3072C6}" xr6:coauthVersionLast="47" xr6:coauthVersionMax="47" xr10:uidLastSave="{00000000-0000-0000-0000-000000000000}"/>
  <bookViews>
    <workbookView xWindow="-108" yWindow="-108" windowWidth="23256" windowHeight="12576" tabRatio="874" xr2:uid="{845D7E2E-95A0-4FED-AF9C-EAF7F8E0B8C4}"/>
  </bookViews>
  <sheets>
    <sheet name="P&amp;L" sheetId="11" r:id="rId1"/>
    <sheet name="BS" sheetId="12" r:id="rId2"/>
    <sheet name="Fixed Asset Roll Forward" sheetId="14" r:id="rId3"/>
    <sheet name="Financial Liabilities" sheetId="15" r:id="rId4"/>
    <sheet name="Equity Schedule" sheetId="16" r:id="rId5"/>
    <sheet name="Cash Flow" sheetId="17" r:id="rId6"/>
    <sheet name="Data source&gt;" sheetId="18" r:id="rId7"/>
    <sheet name="Data source BS" sheetId="6" r:id="rId8"/>
    <sheet name="Data source PL" sheetId="7" r:id="rId9"/>
  </sheets>
  <definedNames>
    <definedName name="_xlnm._FilterDatabase" localSheetId="7" hidden="1">'Data source BS'!$B$6:$G$234</definedName>
    <definedName name="_xlnm._FilterDatabase" localSheetId="8" hidden="1">'Data source PL'!$B$6:$F$194</definedName>
    <definedName name="_xlnm._FilterDatabase" localSheetId="0" hidden="1">'P&amp;L'!$D$4:$D$9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1" l="1"/>
  <c r="N15" i="11"/>
  <c r="O15" i="11"/>
  <c r="I5" i="17"/>
  <c r="J5" i="17"/>
  <c r="K5" i="17"/>
  <c r="K23" i="11"/>
  <c r="L23" i="11"/>
  <c r="M23" i="11"/>
  <c r="N23" i="11"/>
  <c r="O23" i="11"/>
  <c r="K29" i="11"/>
  <c r="L29" i="11"/>
  <c r="M29" i="11"/>
  <c r="N29" i="11"/>
  <c r="O29" i="11"/>
  <c r="K35" i="11"/>
  <c r="L35" i="11"/>
  <c r="M35" i="11"/>
  <c r="N35" i="11"/>
  <c r="O35" i="11"/>
  <c r="K41" i="11"/>
  <c r="L41" i="11"/>
  <c r="M41" i="11"/>
  <c r="N41" i="11"/>
  <c r="O41" i="11"/>
  <c r="K47" i="11"/>
  <c r="L47" i="11"/>
  <c r="M47" i="11"/>
  <c r="N47" i="11"/>
  <c r="O47" i="11"/>
  <c r="I6" i="15"/>
  <c r="J6" i="15"/>
  <c r="K6" i="15"/>
  <c r="C7" i="15"/>
  <c r="D4" i="15" s="1"/>
  <c r="C7" i="14"/>
  <c r="G17" i="6"/>
  <c r="G18" i="6"/>
  <c r="G19" i="6"/>
  <c r="G20" i="6"/>
  <c r="G21" i="6"/>
  <c r="G22" i="6"/>
  <c r="G23" i="6"/>
  <c r="G24" i="6"/>
  <c r="G25" i="6"/>
  <c r="G48" i="6"/>
  <c r="G59" i="6"/>
  <c r="G60" i="6"/>
  <c r="G61" i="6"/>
  <c r="G62" i="6"/>
  <c r="G63" i="6"/>
  <c r="G64" i="6"/>
  <c r="G74" i="6"/>
  <c r="G75" i="6"/>
  <c r="G76" i="6"/>
  <c r="G77" i="6"/>
  <c r="G78" i="6"/>
  <c r="G79" i="6"/>
  <c r="G80" i="6"/>
  <c r="G81" i="6"/>
  <c r="G82" i="6"/>
  <c r="G105" i="6"/>
  <c r="G116" i="6"/>
  <c r="G117" i="6"/>
  <c r="G118" i="6"/>
  <c r="G119" i="6"/>
  <c r="G120" i="6"/>
  <c r="G121" i="6"/>
  <c r="G131" i="6"/>
  <c r="G132" i="6"/>
  <c r="G133" i="6"/>
  <c r="G134" i="6"/>
  <c r="G135" i="6"/>
  <c r="G136" i="6"/>
  <c r="G137" i="6"/>
  <c r="G138" i="6"/>
  <c r="G139" i="6"/>
  <c r="G162" i="6"/>
  <c r="G173" i="6"/>
  <c r="G174" i="6"/>
  <c r="G175" i="6"/>
  <c r="G176" i="6"/>
  <c r="G177" i="6"/>
  <c r="G178" i="6"/>
  <c r="G188" i="6"/>
  <c r="G189" i="6"/>
  <c r="G190" i="6"/>
  <c r="G191" i="6"/>
  <c r="G192" i="6"/>
  <c r="G193" i="6"/>
  <c r="G194" i="6"/>
  <c r="G195" i="6"/>
  <c r="G196" i="6"/>
  <c r="G219" i="6"/>
  <c r="G230" i="6"/>
  <c r="G231" i="6"/>
  <c r="G232" i="6"/>
  <c r="G233" i="6"/>
  <c r="G234" i="6"/>
  <c r="G7" i="6"/>
  <c r="F14" i="12"/>
  <c r="F8" i="16" s="1"/>
  <c r="E14" i="12"/>
  <c r="F4" i="16" s="1"/>
  <c r="D14" i="12"/>
  <c r="C14" i="12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7" i="7"/>
  <c r="F7" i="11" s="1"/>
  <c r="E4" i="11" l="1"/>
  <c r="F5" i="11"/>
  <c r="E7" i="11"/>
  <c r="D11" i="11"/>
  <c r="D13" i="11"/>
  <c r="F15" i="11"/>
  <c r="C4" i="11"/>
  <c r="D7" i="11"/>
  <c r="E8" i="11"/>
  <c r="F11" i="11"/>
  <c r="C15" i="11"/>
  <c r="E17" i="11"/>
  <c r="F8" i="11"/>
  <c r="I8" i="11" s="1"/>
  <c r="C10" i="11"/>
  <c r="C42" i="11" s="1"/>
  <c r="C43" i="11" s="1"/>
  <c r="C44" i="11" s="1"/>
  <c r="D10" i="11"/>
  <c r="E11" i="11"/>
  <c r="C13" i="11"/>
  <c r="E15" i="11"/>
  <c r="E5" i="17" s="1"/>
  <c r="F17" i="11"/>
  <c r="C5" i="11"/>
  <c r="D5" i="11"/>
  <c r="C8" i="11"/>
  <c r="F10" i="11"/>
  <c r="F13" i="11"/>
  <c r="D17" i="11"/>
  <c r="F4" i="11"/>
  <c r="C7" i="11"/>
  <c r="C36" i="11" s="1"/>
  <c r="C37" i="11" s="1"/>
  <c r="C38" i="11" s="1"/>
  <c r="C11" i="11"/>
  <c r="E13" i="11"/>
  <c r="H13" i="11" s="1"/>
  <c r="C17" i="11"/>
  <c r="D4" i="11"/>
  <c r="E5" i="11"/>
  <c r="D8" i="11"/>
  <c r="D5" i="14" s="1"/>
  <c r="E10" i="11"/>
  <c r="D15" i="11"/>
  <c r="G4" i="16"/>
  <c r="F10" i="16"/>
  <c r="F12" i="12"/>
  <c r="F7" i="15" s="1"/>
  <c r="E12" i="12"/>
  <c r="E7" i="15" s="1"/>
  <c r="F4" i="15" s="1"/>
  <c r="D12" i="12"/>
  <c r="D7" i="15" s="1"/>
  <c r="E4" i="15" s="1"/>
  <c r="E6" i="15" s="1"/>
  <c r="C12" i="12"/>
  <c r="C7" i="12"/>
  <c r="D7" i="12"/>
  <c r="E7" i="12"/>
  <c r="F7" i="12"/>
  <c r="E8" i="12"/>
  <c r="C8" i="12"/>
  <c r="D4" i="14" s="1"/>
  <c r="F8" i="12"/>
  <c r="F7" i="14" s="1"/>
  <c r="D8" i="12"/>
  <c r="F13" i="12"/>
  <c r="E9" i="12"/>
  <c r="D9" i="12"/>
  <c r="F5" i="12"/>
  <c r="D4" i="12"/>
  <c r="C13" i="12"/>
  <c r="D6" i="12"/>
  <c r="F4" i="12"/>
  <c r="D13" i="12"/>
  <c r="F9" i="12"/>
  <c r="F10" i="17" s="1"/>
  <c r="E6" i="12"/>
  <c r="D5" i="12"/>
  <c r="F11" i="12"/>
  <c r="D11" i="12"/>
  <c r="C9" i="12"/>
  <c r="E5" i="12"/>
  <c r="E7" i="17" s="1"/>
  <c r="E4" i="12"/>
  <c r="E13" i="12"/>
  <c r="C11" i="12"/>
  <c r="F6" i="12"/>
  <c r="F8" i="17" s="1"/>
  <c r="C5" i="12"/>
  <c r="E11" i="12"/>
  <c r="E9" i="17" s="1"/>
  <c r="C6" i="12"/>
  <c r="C4" i="12"/>
  <c r="C48" i="11" l="1"/>
  <c r="C49" i="11" s="1"/>
  <c r="C50" i="11" s="1"/>
  <c r="F21" i="12"/>
  <c r="C21" i="12"/>
  <c r="C6" i="11"/>
  <c r="C9" i="11" s="1"/>
  <c r="C12" i="11" s="1"/>
  <c r="C14" i="11" s="1"/>
  <c r="C16" i="11" s="1"/>
  <c r="D11" i="17"/>
  <c r="D21" i="12"/>
  <c r="E11" i="17"/>
  <c r="E21" i="12"/>
  <c r="E8" i="17"/>
  <c r="E12" i="17"/>
  <c r="D36" i="11"/>
  <c r="D37" i="11" s="1"/>
  <c r="D38" i="11" s="1"/>
  <c r="D42" i="11"/>
  <c r="D43" i="11" s="1"/>
  <c r="D44" i="11" s="1"/>
  <c r="D9" i="11"/>
  <c r="D12" i="11" s="1"/>
  <c r="C30" i="11"/>
  <c r="C31" i="11" s="1"/>
  <c r="C32" i="11" s="1"/>
  <c r="D30" i="11"/>
  <c r="D31" i="11" s="1"/>
  <c r="D32" i="11" s="1"/>
  <c r="I13" i="11"/>
  <c r="D48" i="11"/>
  <c r="D49" i="11" s="1"/>
  <c r="D50" i="11" s="1"/>
  <c r="H8" i="11"/>
  <c r="F30" i="11"/>
  <c r="F31" i="11" s="1"/>
  <c r="F32" i="11" s="1"/>
  <c r="I5" i="11"/>
  <c r="E36" i="11"/>
  <c r="E37" i="11" s="1"/>
  <c r="E38" i="11" s="1"/>
  <c r="H7" i="11"/>
  <c r="F5" i="17"/>
  <c r="I15" i="11"/>
  <c r="F48" i="11"/>
  <c r="F49" i="11" s="1"/>
  <c r="F50" i="11" s="1"/>
  <c r="I11" i="11"/>
  <c r="H17" i="11"/>
  <c r="E6" i="17"/>
  <c r="H11" i="11"/>
  <c r="E48" i="11"/>
  <c r="E49" i="11" s="1"/>
  <c r="E50" i="11" s="1"/>
  <c r="I17" i="11"/>
  <c r="F6" i="17"/>
  <c r="I10" i="11"/>
  <c r="F42" i="11"/>
  <c r="F43" i="11" s="1"/>
  <c r="F44" i="11" s="1"/>
  <c r="D6" i="17"/>
  <c r="I4" i="11"/>
  <c r="F6" i="11"/>
  <c r="K4" i="11"/>
  <c r="F36" i="11"/>
  <c r="F37" i="11" s="1"/>
  <c r="F38" i="11" s="1"/>
  <c r="I7" i="11"/>
  <c r="D6" i="11"/>
  <c r="H4" i="11"/>
  <c r="E6" i="11"/>
  <c r="E30" i="11"/>
  <c r="E31" i="11" s="1"/>
  <c r="E32" i="11" s="1"/>
  <c r="H5" i="11"/>
  <c r="H10" i="11"/>
  <c r="E42" i="11"/>
  <c r="E43" i="11" s="1"/>
  <c r="E44" i="11" s="1"/>
  <c r="D5" i="17"/>
  <c r="H15" i="11"/>
  <c r="E10" i="17"/>
  <c r="D12" i="17"/>
  <c r="D9" i="17"/>
  <c r="D10" i="17"/>
  <c r="D7" i="17"/>
  <c r="F11" i="17"/>
  <c r="F7" i="17"/>
  <c r="D8" i="17"/>
  <c r="F9" i="17"/>
  <c r="F6" i="15"/>
  <c r="C11" i="15"/>
  <c r="C15" i="15" s="1"/>
  <c r="G4" i="15"/>
  <c r="C16" i="15" s="1"/>
  <c r="K15" i="11" s="1"/>
  <c r="G5" i="17" s="1"/>
  <c r="G7" i="12"/>
  <c r="F12" i="17"/>
  <c r="E5" i="14"/>
  <c r="F5" i="14"/>
  <c r="D9" i="14"/>
  <c r="E20" i="12"/>
  <c r="D20" i="12"/>
  <c r="F17" i="12"/>
  <c r="D19" i="12"/>
  <c r="F20" i="12"/>
  <c r="E19" i="12"/>
  <c r="D17" i="12"/>
  <c r="C20" i="12"/>
  <c r="E17" i="12"/>
  <c r="F19" i="12"/>
  <c r="C19" i="12"/>
  <c r="F4" i="14"/>
  <c r="E7" i="14"/>
  <c r="G4" i="14"/>
  <c r="D7" i="14"/>
  <c r="D6" i="14" s="1"/>
  <c r="E4" i="14"/>
  <c r="E10" i="12"/>
  <c r="D10" i="12"/>
  <c r="F10" i="12"/>
  <c r="F18" i="12"/>
  <c r="F15" i="12"/>
  <c r="D15" i="12"/>
  <c r="D18" i="12"/>
  <c r="C15" i="12"/>
  <c r="C18" i="12"/>
  <c r="C17" i="12"/>
  <c r="C10" i="12"/>
  <c r="C26" i="12" s="1"/>
  <c r="E15" i="12"/>
  <c r="E18" i="12"/>
  <c r="D4" i="17" l="1"/>
  <c r="D14" i="11"/>
  <c r="D16" i="11" s="1"/>
  <c r="C52" i="11"/>
  <c r="C18" i="11"/>
  <c r="I6" i="11"/>
  <c r="F9" i="11"/>
  <c r="L4" i="11"/>
  <c r="K11" i="11"/>
  <c r="K5" i="11"/>
  <c r="K6" i="11" s="1"/>
  <c r="K10" i="11"/>
  <c r="K7" i="11"/>
  <c r="H6" i="11"/>
  <c r="E9" i="11"/>
  <c r="H9" i="11" s="1"/>
  <c r="G12" i="17"/>
  <c r="H7" i="12"/>
  <c r="F6" i="14"/>
  <c r="D10" i="14"/>
  <c r="D13" i="17"/>
  <c r="E12" i="11"/>
  <c r="E4" i="17" s="1"/>
  <c r="F9" i="14"/>
  <c r="E9" i="14"/>
  <c r="G21" i="12"/>
  <c r="G20" i="12"/>
  <c r="G19" i="12"/>
  <c r="H19" i="12" s="1"/>
  <c r="G17" i="12"/>
  <c r="C17" i="15"/>
  <c r="E6" i="14"/>
  <c r="F26" i="12"/>
  <c r="D26" i="12"/>
  <c r="E26" i="12"/>
  <c r="G18" i="12"/>
  <c r="D14" i="17" l="1"/>
  <c r="D18" i="17" s="1"/>
  <c r="D20" i="17" s="1"/>
  <c r="L11" i="11"/>
  <c r="L10" i="11"/>
  <c r="M4" i="11"/>
  <c r="L5" i="11"/>
  <c r="L6" i="11" s="1"/>
  <c r="L7" i="11"/>
  <c r="F10" i="14"/>
  <c r="F13" i="17"/>
  <c r="F12" i="11"/>
  <c r="I9" i="11"/>
  <c r="D52" i="11"/>
  <c r="D18" i="11"/>
  <c r="H12" i="17"/>
  <c r="I7" i="12"/>
  <c r="E10" i="14"/>
  <c r="E13" i="17"/>
  <c r="E14" i="17" s="1"/>
  <c r="E18" i="17" s="1"/>
  <c r="E20" i="17" s="1"/>
  <c r="E14" i="11"/>
  <c r="H12" i="11"/>
  <c r="G9" i="14"/>
  <c r="H21" i="12"/>
  <c r="G13" i="12"/>
  <c r="G11" i="17" s="1"/>
  <c r="H20" i="12"/>
  <c r="G9" i="12"/>
  <c r="G10" i="17" s="1"/>
  <c r="H17" i="12"/>
  <c r="G5" i="12"/>
  <c r="G7" i="17" s="1"/>
  <c r="G6" i="12"/>
  <c r="G8" i="17" s="1"/>
  <c r="C18" i="15"/>
  <c r="G6" i="15"/>
  <c r="G7" i="15" s="1"/>
  <c r="I19" i="12"/>
  <c r="H18" i="12"/>
  <c r="G11" i="12"/>
  <c r="G9" i="17" s="1"/>
  <c r="M10" i="11" l="1"/>
  <c r="M5" i="11"/>
  <c r="M6" i="11" s="1"/>
  <c r="M7" i="11"/>
  <c r="M11" i="11"/>
  <c r="N4" i="11"/>
  <c r="G10" i="14"/>
  <c r="F4" i="17"/>
  <c r="F14" i="17" s="1"/>
  <c r="F18" i="17" s="1"/>
  <c r="F20" i="17" s="1"/>
  <c r="I12" i="11"/>
  <c r="F14" i="11"/>
  <c r="I12" i="17"/>
  <c r="J7" i="12"/>
  <c r="H4" i="15"/>
  <c r="G12" i="12"/>
  <c r="G16" i="17"/>
  <c r="H14" i="11"/>
  <c r="E16" i="11"/>
  <c r="E52" i="11" s="1"/>
  <c r="N11" i="11"/>
  <c r="N5" i="11"/>
  <c r="N6" i="11" s="1"/>
  <c r="N10" i="11"/>
  <c r="N7" i="11"/>
  <c r="O4" i="11"/>
  <c r="H9" i="14"/>
  <c r="I9" i="14" s="1"/>
  <c r="J9" i="14" s="1"/>
  <c r="K9" i="14" s="1"/>
  <c r="G5" i="14"/>
  <c r="H13" i="12"/>
  <c r="H11" i="17" s="1"/>
  <c r="I21" i="12"/>
  <c r="H5" i="12"/>
  <c r="H7" i="17" s="1"/>
  <c r="I17" i="12"/>
  <c r="H9" i="12"/>
  <c r="H10" i="17" s="1"/>
  <c r="I20" i="12"/>
  <c r="H6" i="12"/>
  <c r="H8" i="17" s="1"/>
  <c r="D16" i="15"/>
  <c r="L15" i="11" s="1"/>
  <c r="H5" i="17" s="1"/>
  <c r="J19" i="12"/>
  <c r="I18" i="12"/>
  <c r="H11" i="12"/>
  <c r="H9" i="17" s="1"/>
  <c r="H10" i="14" l="1"/>
  <c r="I10" i="14" s="1"/>
  <c r="J10" i="14" s="1"/>
  <c r="K10" i="14" s="1"/>
  <c r="G6" i="14"/>
  <c r="F16" i="11"/>
  <c r="I14" i="11"/>
  <c r="J12" i="17"/>
  <c r="K7" i="12"/>
  <c r="K12" i="17" s="1"/>
  <c r="K8" i="11"/>
  <c r="K9" i="11" s="1"/>
  <c r="K13" i="11"/>
  <c r="E18" i="11"/>
  <c r="H18" i="11" s="1"/>
  <c r="H16" i="11"/>
  <c r="O7" i="11"/>
  <c r="O11" i="11"/>
  <c r="O5" i="11"/>
  <c r="O6" i="11" s="1"/>
  <c r="O10" i="11"/>
  <c r="J21" i="12"/>
  <c r="I13" i="12"/>
  <c r="I11" i="17" s="1"/>
  <c r="I5" i="12"/>
  <c r="I7" i="17" s="1"/>
  <c r="J17" i="12"/>
  <c r="I9" i="12"/>
  <c r="I10" i="17" s="1"/>
  <c r="J20" i="12"/>
  <c r="I6" i="12"/>
  <c r="I8" i="17" s="1"/>
  <c r="D17" i="15"/>
  <c r="J18" i="12"/>
  <c r="I11" i="12"/>
  <c r="I9" i="17" s="1"/>
  <c r="K19" i="12"/>
  <c r="G13" i="17" l="1"/>
  <c r="G7" i="14"/>
  <c r="F52" i="11"/>
  <c r="K52" i="11" s="1"/>
  <c r="L52" i="11" s="1"/>
  <c r="M52" i="11" s="1"/>
  <c r="N52" i="11" s="1"/>
  <c r="O52" i="11" s="1"/>
  <c r="F18" i="11"/>
  <c r="I16" i="11"/>
  <c r="K12" i="11"/>
  <c r="I18" i="11"/>
  <c r="F6" i="16"/>
  <c r="F12" i="16" s="1"/>
  <c r="G8" i="12"/>
  <c r="H4" i="14"/>
  <c r="K21" i="12"/>
  <c r="K13" i="12" s="1"/>
  <c r="J13" i="12"/>
  <c r="J11" i="17" s="1"/>
  <c r="J5" i="12"/>
  <c r="J7" i="17" s="1"/>
  <c r="K17" i="12"/>
  <c r="K5" i="12" s="1"/>
  <c r="J9" i="12"/>
  <c r="J10" i="17" s="1"/>
  <c r="K20" i="12"/>
  <c r="K9" i="12" s="1"/>
  <c r="J6" i="12"/>
  <c r="J8" i="17" s="1"/>
  <c r="D18" i="15"/>
  <c r="H6" i="15"/>
  <c r="H7" i="15" s="1"/>
  <c r="K18" i="12"/>
  <c r="J11" i="12"/>
  <c r="J9" i="17" s="1"/>
  <c r="K10" i="17" l="1"/>
  <c r="I4" i="15"/>
  <c r="I7" i="15" s="1"/>
  <c r="H16" i="17"/>
  <c r="H12" i="12"/>
  <c r="K7" i="17"/>
  <c r="K11" i="17"/>
  <c r="G4" i="17"/>
  <c r="K14" i="11"/>
  <c r="K16" i="11" s="1"/>
  <c r="H5" i="14"/>
  <c r="H6" i="14"/>
  <c r="K6" i="12"/>
  <c r="K8" i="17" s="1"/>
  <c r="K11" i="12"/>
  <c r="K9" i="17" s="1"/>
  <c r="I12" i="12" l="1"/>
  <c r="I16" i="17"/>
  <c r="J4" i="15"/>
  <c r="J7" i="15" s="1"/>
  <c r="K17" i="11"/>
  <c r="L8" i="11"/>
  <c r="L9" i="11" s="1"/>
  <c r="L13" i="11"/>
  <c r="H7" i="14"/>
  <c r="H13" i="17"/>
  <c r="I4" i="14" l="1"/>
  <c r="H8" i="12"/>
  <c r="J16" i="17"/>
  <c r="J12" i="12"/>
  <c r="K4" i="15"/>
  <c r="K7" i="15" s="1"/>
  <c r="G6" i="17"/>
  <c r="G14" i="17" s="1"/>
  <c r="K18" i="11"/>
  <c r="G6" i="16" s="1"/>
  <c r="G7" i="16" s="1"/>
  <c r="L12" i="11"/>
  <c r="I5" i="14" l="1"/>
  <c r="I6" i="14"/>
  <c r="I13" i="17" s="1"/>
  <c r="K16" i="17"/>
  <c r="K12" i="12"/>
  <c r="G15" i="17"/>
  <c r="G8" i="16"/>
  <c r="H4" i="17"/>
  <c r="L14" i="11"/>
  <c r="L16" i="11" s="1"/>
  <c r="M13" i="11" l="1"/>
  <c r="M8" i="11"/>
  <c r="M9" i="11" s="1"/>
  <c r="I7" i="14"/>
  <c r="H4" i="16"/>
  <c r="G17" i="17"/>
  <c r="G18" i="17" s="1"/>
  <c r="G4" i="12" s="1"/>
  <c r="G10" i="12" s="1"/>
  <c r="G14" i="12"/>
  <c r="G15" i="12" s="1"/>
  <c r="L17" i="11"/>
  <c r="M12" i="11" l="1"/>
  <c r="J4" i="14"/>
  <c r="J6" i="14" s="1"/>
  <c r="J13" i="17" s="1"/>
  <c r="I8" i="12"/>
  <c r="G26" i="12"/>
  <c r="H6" i="17"/>
  <c r="H14" i="17" s="1"/>
  <c r="L18" i="11"/>
  <c r="H6" i="16" s="1"/>
  <c r="J5" i="14"/>
  <c r="M14" i="11" l="1"/>
  <c r="M16" i="11" s="1"/>
  <c r="M17" i="11" s="1"/>
  <c r="I4" i="17"/>
  <c r="H7" i="16"/>
  <c r="N8" i="11"/>
  <c r="N9" i="11" s="1"/>
  <c r="N13" i="11"/>
  <c r="J7" i="14"/>
  <c r="I6" i="17" l="1"/>
  <c r="I14" i="17" s="1"/>
  <c r="M18" i="11"/>
  <c r="I6" i="16" s="1"/>
  <c r="I7" i="16" s="1"/>
  <c r="I15" i="17" s="1"/>
  <c r="N12" i="11"/>
  <c r="H15" i="17"/>
  <c r="H8" i="16"/>
  <c r="K4" i="14"/>
  <c r="J8" i="12"/>
  <c r="J4" i="17" l="1"/>
  <c r="N14" i="11"/>
  <c r="N16" i="11" s="1"/>
  <c r="N17" i="11" s="1"/>
  <c r="H14" i="12"/>
  <c r="H15" i="12" s="1"/>
  <c r="H17" i="17"/>
  <c r="H18" i="17" s="1"/>
  <c r="H4" i="12" s="1"/>
  <c r="H10" i="12" s="1"/>
  <c r="H26" i="12" s="1"/>
  <c r="I4" i="16"/>
  <c r="I8" i="16" s="1"/>
  <c r="K6" i="14"/>
  <c r="K13" i="17" s="1"/>
  <c r="K5" i="14"/>
  <c r="J6" i="17" l="1"/>
  <c r="J14" i="17" s="1"/>
  <c r="N18" i="11"/>
  <c r="J6" i="16" s="1"/>
  <c r="J7" i="16" s="1"/>
  <c r="J15" i="17" s="1"/>
  <c r="I17" i="17"/>
  <c r="I18" i="17" s="1"/>
  <c r="I4" i="12" s="1"/>
  <c r="I10" i="12" s="1"/>
  <c r="I14" i="12"/>
  <c r="I15" i="12" s="1"/>
  <c r="J4" i="16"/>
  <c r="O8" i="11"/>
  <c r="O9" i="11" s="1"/>
  <c r="O13" i="11"/>
  <c r="K7" i="14"/>
  <c r="K8" i="12" s="1"/>
  <c r="I26" i="12" l="1"/>
  <c r="J8" i="16"/>
  <c r="O12" i="11"/>
  <c r="J17" i="17" l="1"/>
  <c r="J18" i="17" s="1"/>
  <c r="J4" i="12" s="1"/>
  <c r="J10" i="12" s="1"/>
  <c r="J26" i="12" s="1"/>
  <c r="K4" i="16"/>
  <c r="J14" i="12"/>
  <c r="J15" i="12" s="1"/>
  <c r="K4" i="17"/>
  <c r="O14" i="11"/>
  <c r="O16" i="11" s="1"/>
  <c r="O17" i="11" s="1"/>
  <c r="K6" i="17" l="1"/>
  <c r="K14" i="17" s="1"/>
  <c r="O18" i="11"/>
  <c r="K6" i="16" s="1"/>
  <c r="K7" i="16" l="1"/>
  <c r="K15" i="17" l="1"/>
  <c r="K8" i="16"/>
  <c r="K14" i="12" l="1"/>
  <c r="K15" i="12" s="1"/>
  <c r="K17" i="17"/>
  <c r="K18" i="17" s="1"/>
  <c r="K4" i="12" s="1"/>
  <c r="K10" i="12" s="1"/>
  <c r="K26" i="12" l="1"/>
</calcChain>
</file>

<file path=xl/sharedStrings.xml><?xml version="1.0" encoding="utf-8"?>
<sst xmlns="http://schemas.openxmlformats.org/spreadsheetml/2006/main" count="1860" uniqueCount="286">
  <si>
    <t>2018.12.31</t>
    <phoneticPr fontId="5" type="noConversion"/>
  </si>
  <si>
    <t>2017.12.31</t>
    <phoneticPr fontId="5" type="noConversion"/>
  </si>
  <si>
    <t>2018.01.01-2018.12-31</t>
    <phoneticPr fontId="5" type="noConversion"/>
  </si>
  <si>
    <t>2017.01.01-2017.12.31</t>
    <phoneticPr fontId="5" type="noConversion"/>
  </si>
  <si>
    <t>2020.12.31</t>
    <phoneticPr fontId="5" type="noConversion"/>
  </si>
  <si>
    <t>2019.12.31</t>
    <phoneticPr fontId="5" type="noConversion"/>
  </si>
  <si>
    <t>2020.01.01-2020.12.31</t>
    <phoneticPr fontId="5" type="noConversion"/>
  </si>
  <si>
    <t>2019.01.01-2019.12.31</t>
    <phoneticPr fontId="5" type="noConversion"/>
  </si>
  <si>
    <t>unit: KRW</t>
    <phoneticPr fontId="5" type="noConversion"/>
  </si>
  <si>
    <t>-</t>
  </si>
  <si>
    <t>대손충당금</t>
  </si>
  <si>
    <t>미수금</t>
  </si>
  <si>
    <t>선급금</t>
  </si>
  <si>
    <t>선급비용</t>
  </si>
  <si>
    <t>파생상품자산</t>
  </si>
  <si>
    <t>이연법인세자산</t>
  </si>
  <si>
    <t>보증금</t>
  </si>
  <si>
    <t>상품</t>
  </si>
  <si>
    <t>제품</t>
  </si>
  <si>
    <t>재공품</t>
  </si>
  <si>
    <t>원재료</t>
  </si>
  <si>
    <t>미착품</t>
  </si>
  <si>
    <t>토지</t>
  </si>
  <si>
    <t>건물</t>
  </si>
  <si>
    <t>건물감가상각누계액</t>
  </si>
  <si>
    <t>구축물</t>
  </si>
  <si>
    <t>구축물감가상각누계액</t>
  </si>
  <si>
    <t>기계장치</t>
  </si>
  <si>
    <t>기계장치감가상각누계액</t>
  </si>
  <si>
    <t>차량운반구</t>
  </si>
  <si>
    <t>차량운반구감가상각누계액</t>
  </si>
  <si>
    <t>공구와기구</t>
  </si>
  <si>
    <t>공구와기구감가상각누계액</t>
  </si>
  <si>
    <t>비품</t>
  </si>
  <si>
    <t>비품감가상각누계액</t>
  </si>
  <si>
    <t>건설중인자산</t>
  </si>
  <si>
    <t>관계기업투자주식</t>
  </si>
  <si>
    <t>대여금</t>
  </si>
  <si>
    <t>기타투자자산</t>
  </si>
  <si>
    <t>단기차입금</t>
  </si>
  <si>
    <t>매입채무</t>
  </si>
  <si>
    <t>미지급금</t>
  </si>
  <si>
    <t>선수금</t>
  </si>
  <si>
    <t>예수금</t>
  </si>
  <si>
    <t>선수수익</t>
  </si>
  <si>
    <t>미지급비용</t>
  </si>
  <si>
    <t>당기법인세부채</t>
  </si>
  <si>
    <t>부가세예수금</t>
  </si>
  <si>
    <t>판매보증충당부채</t>
  </si>
  <si>
    <t>파생상품부채</t>
  </si>
  <si>
    <t>보통주자본금</t>
  </si>
  <si>
    <t>주식발행초과금</t>
  </si>
  <si>
    <t>기타자본잉여금</t>
  </si>
  <si>
    <t>법정적립금</t>
  </si>
  <si>
    <t>급여</t>
  </si>
  <si>
    <t>퇴직급여</t>
  </si>
  <si>
    <t>퇴직위로금</t>
  </si>
  <si>
    <t>복리후생비</t>
  </si>
  <si>
    <t>여비교통비</t>
  </si>
  <si>
    <t>접대비</t>
  </si>
  <si>
    <t>통신비</t>
  </si>
  <si>
    <t>수도광열비</t>
  </si>
  <si>
    <t>세금과공과</t>
  </si>
  <si>
    <t>감가상각비</t>
  </si>
  <si>
    <t>대손상각비</t>
  </si>
  <si>
    <t>대손충당금환입</t>
  </si>
  <si>
    <t>수선비</t>
  </si>
  <si>
    <t>보험료</t>
  </si>
  <si>
    <t>운반비</t>
  </si>
  <si>
    <t>교육훈련비</t>
  </si>
  <si>
    <t>도서인쇄비</t>
  </si>
  <si>
    <t>소모품비</t>
  </si>
  <si>
    <t>지급수수료</t>
  </si>
  <si>
    <t>광고선전비</t>
  </si>
  <si>
    <t>수출경비</t>
  </si>
  <si>
    <t>경상연구개발비</t>
  </si>
  <si>
    <t>지급임차료</t>
  </si>
  <si>
    <t>보증수리비</t>
  </si>
  <si>
    <t>견본비</t>
  </si>
  <si>
    <t>판매촉진비</t>
  </si>
  <si>
    <t>차량유지비</t>
  </si>
  <si>
    <t>주식보상비용</t>
  </si>
  <si>
    <t>이자수익</t>
  </si>
  <si>
    <t>외환차익</t>
  </si>
  <si>
    <t>외화환산이익</t>
  </si>
  <si>
    <t>파생상품평가이익</t>
  </si>
  <si>
    <t>파생상품거래이익</t>
  </si>
  <si>
    <t>수입수수료</t>
  </si>
  <si>
    <t>잡이익</t>
  </si>
  <si>
    <t>이자비용</t>
  </si>
  <si>
    <t>외환차손</t>
  </si>
  <si>
    <t>외화환산손실</t>
  </si>
  <si>
    <t>파생상품평가손실</t>
  </si>
  <si>
    <t>파생상품거래손실</t>
  </si>
  <si>
    <t>유형자산처분손실</t>
  </si>
  <si>
    <t>기타의대손상각비</t>
  </si>
  <si>
    <t>매출채권처분손실</t>
  </si>
  <si>
    <t>잡손실</t>
  </si>
  <si>
    <t>현금및현금성자산</t>
    <phoneticPr fontId="5" type="noConversion"/>
  </si>
  <si>
    <t>상품평가손실충당금</t>
  </si>
  <si>
    <t>제품평가손실충당금</t>
  </si>
  <si>
    <t>원재료평가손실충당금</t>
  </si>
  <si>
    <t>매출채권</t>
    <phoneticPr fontId="5" type="noConversion"/>
  </si>
  <si>
    <t>미처분이익잉여금 </t>
  </si>
  <si>
    <t>미수수익</t>
    <phoneticPr fontId="5" type="noConversion"/>
  </si>
  <si>
    <t>재공품평가손실충당금</t>
  </si>
  <si>
    <t>관계기업투자주식손상차손누계액</t>
  </si>
  <si>
    <t>대여금대손충당금</t>
  </si>
  <si>
    <t>매출액</t>
    <phoneticPr fontId="5" type="noConversion"/>
  </si>
  <si>
    <t>매출원가</t>
    <phoneticPr fontId="5" type="noConversion"/>
  </si>
  <si>
    <t>법인세비용</t>
    <phoneticPr fontId="5" type="noConversion"/>
  </si>
  <si>
    <t>BS</t>
    <phoneticPr fontId="5" type="noConversion"/>
  </si>
  <si>
    <t>Amount</t>
    <phoneticPr fontId="5" type="noConversion"/>
  </si>
  <si>
    <t>YYYY.12.31</t>
    <phoneticPr fontId="5" type="noConversion"/>
  </si>
  <si>
    <t>Financials</t>
    <phoneticPr fontId="5" type="noConversion"/>
  </si>
  <si>
    <t>Mapping</t>
    <phoneticPr fontId="5" type="noConversion"/>
  </si>
  <si>
    <t>Revenue</t>
  </si>
  <si>
    <t>Revenue</t>
    <phoneticPr fontId="5" type="noConversion"/>
  </si>
  <si>
    <t>Cost of goods sold</t>
  </si>
  <si>
    <t>Cost of goods sold</t>
    <phoneticPr fontId="5" type="noConversion"/>
  </si>
  <si>
    <t>D&amp;A</t>
  </si>
  <si>
    <t>D&amp;A</t>
    <phoneticPr fontId="5" type="noConversion"/>
  </si>
  <si>
    <t>Non-operating income</t>
  </si>
  <si>
    <t>Non-operating income</t>
    <phoneticPr fontId="5" type="noConversion"/>
  </si>
  <si>
    <t>Non-operating expense</t>
  </si>
  <si>
    <t>Non-operating expense</t>
    <phoneticPr fontId="5" type="noConversion"/>
  </si>
  <si>
    <t>Provision for income tax</t>
  </si>
  <si>
    <t>Provision for income tax</t>
    <phoneticPr fontId="5" type="noConversion"/>
  </si>
  <si>
    <t>Operating expense</t>
  </si>
  <si>
    <t>Operating expense</t>
    <phoneticPr fontId="5" type="noConversion"/>
  </si>
  <si>
    <t>Interest expense</t>
  </si>
  <si>
    <t>Interest expense</t>
    <phoneticPr fontId="5" type="noConversion"/>
  </si>
  <si>
    <t>P&amp;L</t>
    <phoneticPr fontId="5" type="noConversion"/>
  </si>
  <si>
    <t>Gross Profit</t>
    <phoneticPr fontId="5" type="noConversion"/>
  </si>
  <si>
    <t>EBITDA</t>
    <phoneticPr fontId="5" type="noConversion"/>
  </si>
  <si>
    <t>EBIT</t>
    <phoneticPr fontId="5" type="noConversion"/>
  </si>
  <si>
    <t>EBT</t>
    <phoneticPr fontId="5" type="noConversion"/>
  </si>
  <si>
    <t>Net Income</t>
    <phoneticPr fontId="5" type="noConversion"/>
  </si>
  <si>
    <t>Year</t>
    <phoneticPr fontId="5" type="noConversion"/>
  </si>
  <si>
    <t>Var%
18-19</t>
    <phoneticPr fontId="5" type="noConversion"/>
  </si>
  <si>
    <t>Var%
19-20</t>
    <phoneticPr fontId="5" type="noConversion"/>
  </si>
  <si>
    <t>Operating Income</t>
    <phoneticPr fontId="5" type="noConversion"/>
  </si>
  <si>
    <t>Mapping</t>
    <phoneticPr fontId="5" type="noConversion"/>
  </si>
  <si>
    <t>Trade Receivables</t>
    <phoneticPr fontId="5" type="noConversion"/>
  </si>
  <si>
    <t>Account Receivables</t>
    <phoneticPr fontId="5" type="noConversion"/>
  </si>
  <si>
    <t>Accrued Income</t>
    <phoneticPr fontId="5" type="noConversion"/>
  </si>
  <si>
    <t>Advance Payment</t>
    <phoneticPr fontId="5" type="noConversion"/>
  </si>
  <si>
    <t>Prepaid Expenses</t>
    <phoneticPr fontId="5" type="noConversion"/>
  </si>
  <si>
    <t>Derivative Assets</t>
    <phoneticPr fontId="5" type="noConversion"/>
  </si>
  <si>
    <t>Derivative Liabilities</t>
    <phoneticPr fontId="5" type="noConversion"/>
  </si>
  <si>
    <t>Merchandise</t>
    <phoneticPr fontId="5" type="noConversion"/>
  </si>
  <si>
    <t>Allowance for Inventory Valuation Loss - Merchandise</t>
    <phoneticPr fontId="5" type="noConversion"/>
  </si>
  <si>
    <t>Finished Goods</t>
    <phoneticPr fontId="5" type="noConversion"/>
  </si>
  <si>
    <t>Allowance for Inventory Valuation Loss - Finished Goods</t>
    <phoneticPr fontId="5" type="noConversion"/>
  </si>
  <si>
    <t>Work-in-Progress (WIP)</t>
    <phoneticPr fontId="5" type="noConversion"/>
  </si>
  <si>
    <t>Allowance for Inventory Valuation Loss - WIP</t>
    <phoneticPr fontId="5" type="noConversion"/>
  </si>
  <si>
    <t>Raw Materials</t>
    <phoneticPr fontId="5" type="noConversion"/>
  </si>
  <si>
    <t>Allowance for Inventory Valuatioin Loss - Raw Materials</t>
    <phoneticPr fontId="5" type="noConversion"/>
  </si>
  <si>
    <t>Goods-in-Transit</t>
    <phoneticPr fontId="5" type="noConversion"/>
  </si>
  <si>
    <t>Land</t>
    <phoneticPr fontId="5" type="noConversion"/>
  </si>
  <si>
    <t>Buildings</t>
  </si>
  <si>
    <t>Accumulated Depreciation - Buildings</t>
  </si>
  <si>
    <t>Structures</t>
  </si>
  <si>
    <t>Accumulated Depreciation - Structures</t>
  </si>
  <si>
    <t>Machinery and Equipment</t>
  </si>
  <si>
    <t>Accumulated Depreciation - Machhinery and Equipment</t>
  </si>
  <si>
    <t>Vehicles and Transportation Equipment</t>
  </si>
  <si>
    <t>Accumulated Depreciation - Vehicles and Transportation Equipment</t>
  </si>
  <si>
    <t>Tools and Instruments</t>
  </si>
  <si>
    <t>Accumulated Depreciation - Tools and Instruments</t>
  </si>
  <si>
    <t>Supplies</t>
  </si>
  <si>
    <t>Accumulated Depreciation - Supplies</t>
  </si>
  <si>
    <t>Construction-in-Progress</t>
  </si>
  <si>
    <t>Investment in Affiliates (Equity Investmentss)</t>
  </si>
  <si>
    <t>Accumulated Impairment Losses on Investments in Affiliates</t>
  </si>
  <si>
    <t>Loan Receivables</t>
  </si>
  <si>
    <t>Allowance for Doutful Accounts - Loans</t>
  </si>
  <si>
    <t>Other Investment Assets</t>
  </si>
  <si>
    <t>Short-Term Borrowings</t>
  </si>
  <si>
    <t>Account Payables</t>
  </si>
  <si>
    <t>Other Payables (Non-Trade Payables)</t>
  </si>
  <si>
    <t>Advances Received</t>
  </si>
  <si>
    <t>Withholdings</t>
  </si>
  <si>
    <t>Unearned Revenues</t>
  </si>
  <si>
    <t>Accrued Expenses</t>
  </si>
  <si>
    <t>Provision for Income Tax</t>
  </si>
  <si>
    <t>Value Added Tax Withheld</t>
  </si>
  <si>
    <t>Common Stock Capital</t>
  </si>
  <si>
    <t>Additional Paid-In Capital</t>
  </si>
  <si>
    <t>Other Capital Surplus</t>
  </si>
  <si>
    <t>Legal Reserves</t>
  </si>
  <si>
    <t>Unappropriated Retained Earnings</t>
  </si>
  <si>
    <t>Cash and Cash Equivalents</t>
  </si>
  <si>
    <t>Allowance for Bad Debts</t>
  </si>
  <si>
    <t>Deffered Tax Assets (Current)</t>
    <phoneticPr fontId="5" type="noConversion"/>
  </si>
  <si>
    <t>Deffered Tax Assets (Non Current)</t>
    <phoneticPr fontId="5" type="noConversion"/>
  </si>
  <si>
    <t>Deposits (Non Current)</t>
    <phoneticPr fontId="5" type="noConversion"/>
  </si>
  <si>
    <t>Deposits (Current)</t>
    <phoneticPr fontId="5" type="noConversion"/>
  </si>
  <si>
    <t>Provision for Product Warranty (Current)</t>
    <phoneticPr fontId="5" type="noConversion"/>
  </si>
  <si>
    <t>Provision for Product Warranty (Non Current)</t>
    <phoneticPr fontId="5" type="noConversion"/>
  </si>
  <si>
    <t>English Term</t>
    <phoneticPr fontId="5" type="noConversion"/>
  </si>
  <si>
    <t>Account Receivable, net</t>
    <phoneticPr fontId="5" type="noConversion"/>
  </si>
  <si>
    <t>Inventory, net</t>
  </si>
  <si>
    <t>Inventory, net</t>
    <phoneticPr fontId="5" type="noConversion"/>
  </si>
  <si>
    <t>Other Current Assets</t>
    <phoneticPr fontId="5" type="noConversion"/>
  </si>
  <si>
    <t>Other Non-Current Assets</t>
    <phoneticPr fontId="5" type="noConversion"/>
  </si>
  <si>
    <t>Trade Payables, net</t>
  </si>
  <si>
    <t>Trade Payables, net</t>
    <phoneticPr fontId="5" type="noConversion"/>
  </si>
  <si>
    <t>PP&amp;E, net</t>
    <phoneticPr fontId="5" type="noConversion"/>
  </si>
  <si>
    <t>Other Current Liabilities</t>
    <phoneticPr fontId="5" type="noConversion"/>
  </si>
  <si>
    <t>Other Non-Current Liabilities</t>
    <phoneticPr fontId="5" type="noConversion"/>
  </si>
  <si>
    <t>Equity</t>
    <phoneticPr fontId="5" type="noConversion"/>
  </si>
  <si>
    <t>Assets</t>
    <phoneticPr fontId="5" type="noConversion"/>
  </si>
  <si>
    <t>check</t>
    <phoneticPr fontId="5" type="noConversion"/>
  </si>
  <si>
    <t>Forecast</t>
    <phoneticPr fontId="5" type="noConversion"/>
  </si>
  <si>
    <t xml:space="preserve">Scenarios: </t>
    <phoneticPr fontId="5" type="noConversion"/>
  </si>
  <si>
    <t>Scenario:</t>
    <phoneticPr fontId="5" type="noConversion"/>
  </si>
  <si>
    <t>Revenue % growth</t>
    <phoneticPr fontId="5" type="noConversion"/>
  </si>
  <si>
    <t>Best case</t>
  </si>
  <si>
    <t>Best case</t>
    <phoneticPr fontId="5" type="noConversion"/>
  </si>
  <si>
    <t>Base case</t>
    <phoneticPr fontId="5" type="noConversion"/>
  </si>
  <si>
    <t>Worst case</t>
    <phoneticPr fontId="5" type="noConversion"/>
  </si>
  <si>
    <t>Cogs as % of Revenues</t>
    <phoneticPr fontId="5" type="noConversion"/>
  </si>
  <si>
    <t>Selected Case</t>
    <phoneticPr fontId="5" type="noConversion"/>
  </si>
  <si>
    <t>million in KRW</t>
    <phoneticPr fontId="5" type="noConversion"/>
  </si>
  <si>
    <t>2021.12.31</t>
    <phoneticPr fontId="5" type="noConversion"/>
  </si>
  <si>
    <t>2022.12.31</t>
    <phoneticPr fontId="5" type="noConversion"/>
  </si>
  <si>
    <t>2023.12.31</t>
    <phoneticPr fontId="5" type="noConversion"/>
  </si>
  <si>
    <t>2024.12.31</t>
    <phoneticPr fontId="5" type="noConversion"/>
  </si>
  <si>
    <t>2025.12.31</t>
    <phoneticPr fontId="5" type="noConversion"/>
  </si>
  <si>
    <t>DSO</t>
    <phoneticPr fontId="5" type="noConversion"/>
  </si>
  <si>
    <t>DPO</t>
    <phoneticPr fontId="5" type="noConversion"/>
  </si>
  <si>
    <t>DIO</t>
    <phoneticPr fontId="5" type="noConversion"/>
  </si>
  <si>
    <t>Other assets %</t>
    <phoneticPr fontId="5" type="noConversion"/>
  </si>
  <si>
    <t>Other Liabilities %</t>
    <phoneticPr fontId="5" type="noConversion"/>
  </si>
  <si>
    <t>Mapping-2</t>
    <phoneticPr fontId="5" type="noConversion"/>
  </si>
  <si>
    <t>Other Assets</t>
  </si>
  <si>
    <t>Other Assets</t>
    <phoneticPr fontId="5" type="noConversion"/>
  </si>
  <si>
    <t>Other Liabilities</t>
    <phoneticPr fontId="5" type="noConversion"/>
  </si>
  <si>
    <t>PP&amp;E</t>
    <phoneticPr fontId="5" type="noConversion"/>
  </si>
  <si>
    <t>Financial Liabilities</t>
  </si>
  <si>
    <t>Financial Liabilities</t>
    <phoneticPr fontId="5" type="noConversion"/>
  </si>
  <si>
    <t>Liabilities &amp; Equity</t>
    <phoneticPr fontId="5" type="noConversion"/>
  </si>
  <si>
    <t>Fixed Asset Roll Forward</t>
    <phoneticPr fontId="5" type="noConversion"/>
  </si>
  <si>
    <t>Beginnning PP&amp;E</t>
    <phoneticPr fontId="5" type="noConversion"/>
  </si>
  <si>
    <t>Capex</t>
    <phoneticPr fontId="5" type="noConversion"/>
  </si>
  <si>
    <t>Ending PP&amp;E</t>
    <phoneticPr fontId="5" type="noConversion"/>
  </si>
  <si>
    <t>D&amp;A as a % of beginning PP&amp;E</t>
    <phoneticPr fontId="5" type="noConversion"/>
  </si>
  <si>
    <t>Capex as a % of beginning PP&amp;E</t>
    <phoneticPr fontId="5" type="noConversion"/>
  </si>
  <si>
    <t>Beginning Debt</t>
    <phoneticPr fontId="5" type="noConversion"/>
  </si>
  <si>
    <t>New Debt</t>
    <phoneticPr fontId="5" type="noConversion"/>
  </si>
  <si>
    <t>Principal Repayment</t>
    <phoneticPr fontId="5" type="noConversion"/>
  </si>
  <si>
    <t>Ending Debt</t>
    <phoneticPr fontId="5" type="noConversion"/>
  </si>
  <si>
    <t>Debt to repaid in (years)</t>
    <phoneticPr fontId="5" type="noConversion"/>
  </si>
  <si>
    <t>Interest rate</t>
    <phoneticPr fontId="5" type="noConversion"/>
  </si>
  <si>
    <t>Annual payment</t>
    <phoneticPr fontId="5" type="noConversion"/>
  </si>
  <si>
    <t>Period</t>
    <phoneticPr fontId="5" type="noConversion"/>
  </si>
  <si>
    <t>Payment</t>
    <phoneticPr fontId="5" type="noConversion"/>
  </si>
  <si>
    <t>Debt repayment</t>
    <phoneticPr fontId="5" type="noConversion"/>
  </si>
  <si>
    <t>Residual debt</t>
    <phoneticPr fontId="5" type="noConversion"/>
  </si>
  <si>
    <t>Non-operating income as % of Revenues</t>
    <phoneticPr fontId="5" type="noConversion"/>
  </si>
  <si>
    <t>Non-operating expense as % of Revenues</t>
    <phoneticPr fontId="5" type="noConversion"/>
  </si>
  <si>
    <t>Tax as % of EBT</t>
    <phoneticPr fontId="5" type="noConversion"/>
  </si>
  <si>
    <t>Equity schedule</t>
    <phoneticPr fontId="5" type="noConversion"/>
  </si>
  <si>
    <t>Beginning equity</t>
    <phoneticPr fontId="5" type="noConversion"/>
  </si>
  <si>
    <t>Increase of capital</t>
    <phoneticPr fontId="5" type="noConversion"/>
  </si>
  <si>
    <t>Net income (loss)</t>
    <phoneticPr fontId="5" type="noConversion"/>
  </si>
  <si>
    <t>Ending equity</t>
    <phoneticPr fontId="5" type="noConversion"/>
  </si>
  <si>
    <t>Dividends</t>
    <phoneticPr fontId="5" type="noConversion"/>
  </si>
  <si>
    <t>Dividends as a % of Net income</t>
    <phoneticPr fontId="5" type="noConversion"/>
  </si>
  <si>
    <t>Cash Flow</t>
    <phoneticPr fontId="5" type="noConversion"/>
  </si>
  <si>
    <t>Interest expenses</t>
    <phoneticPr fontId="5" type="noConversion"/>
  </si>
  <si>
    <t>Taxes</t>
    <phoneticPr fontId="5" type="noConversion"/>
  </si>
  <si>
    <t>Change in Trade receivables</t>
    <phoneticPr fontId="5" type="noConversion"/>
  </si>
  <si>
    <t>Change in Inventory</t>
    <phoneticPr fontId="5" type="noConversion"/>
  </si>
  <si>
    <t>Change in Trade payables</t>
    <phoneticPr fontId="5" type="noConversion"/>
  </si>
  <si>
    <t>Change in other assets</t>
    <phoneticPr fontId="5" type="noConversion"/>
  </si>
  <si>
    <t>Change in other liabilities</t>
    <phoneticPr fontId="5" type="noConversion"/>
  </si>
  <si>
    <t>Operating Cash Flow</t>
    <phoneticPr fontId="5" type="noConversion"/>
  </si>
  <si>
    <t>Change in financial liabilities</t>
    <phoneticPr fontId="5" type="noConversion"/>
  </si>
  <si>
    <t>Change in equity</t>
    <phoneticPr fontId="5" type="noConversion"/>
  </si>
  <si>
    <t>Net Cash Flow</t>
    <phoneticPr fontId="5" type="noConversion"/>
  </si>
  <si>
    <t>Opex as % of Revenues</t>
    <phoneticPr fontId="5" type="noConversion"/>
  </si>
  <si>
    <t>2020: Stock based compensation</t>
    <phoneticPr fontId="5" type="noConversion"/>
  </si>
  <si>
    <t>Comment</t>
    <phoneticPr fontId="5" type="noConversion"/>
  </si>
  <si>
    <t>Trade Receivable, net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</si>
</sst>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#,,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rgb="FF00206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Gray">
        <bgColor theme="0" tint="-4.9989318521683403E-2"/>
      </patternFill>
    </fill>
    <fill>
      <patternFill patternType="lightGray">
        <bgColor theme="0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6" fillId="0" borderId="3" xfId="0" applyFont="1" applyBorder="1" applyAlignment="1">
      <alignment horizontal="right" vertical="top" wrapText="1"/>
    </xf>
    <xf numFmtId="3" fontId="6" fillId="0" borderId="3" xfId="0" applyNumberFormat="1" applyFont="1" applyBorder="1" applyAlignment="1">
      <alignment horizontal="right" vertical="top" wrapText="1"/>
    </xf>
    <xf numFmtId="0" fontId="6" fillId="0" borderId="3" xfId="0" applyFont="1" applyBorder="1" applyAlignment="1">
      <alignment horizontal="right" vertical="top"/>
    </xf>
    <xf numFmtId="3" fontId="6" fillId="0" borderId="3" xfId="0" applyNumberFormat="1" applyFont="1" applyBorder="1" applyAlignment="1">
      <alignment horizontal="right" vertical="top"/>
    </xf>
    <xf numFmtId="3" fontId="6" fillId="0" borderId="4" xfId="0" applyNumberFormat="1" applyFont="1" applyBorder="1" applyAlignment="1">
      <alignment horizontal="right" vertical="top" wrapText="1"/>
    </xf>
    <xf numFmtId="3" fontId="6" fillId="0" borderId="5" xfId="0" applyNumberFormat="1" applyFont="1" applyBorder="1" applyAlignment="1">
      <alignment horizontal="right" vertical="top" wrapText="1"/>
    </xf>
    <xf numFmtId="3" fontId="6" fillId="0" borderId="6" xfId="0" applyNumberFormat="1" applyFont="1" applyBorder="1" applyAlignment="1">
      <alignment horizontal="right" vertical="top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2" fillId="2" borderId="1" xfId="3" applyFill="1">
      <alignment vertical="center"/>
    </xf>
    <xf numFmtId="0" fontId="3" fillId="2" borderId="2" xfId="4" applyFill="1">
      <alignment vertical="center"/>
    </xf>
    <xf numFmtId="0" fontId="2" fillId="2" borderId="1" xfId="3" applyNumberFormat="1" applyFill="1">
      <alignment vertical="center"/>
    </xf>
    <xf numFmtId="41" fontId="0" fillId="2" borderId="0" xfId="1" applyFont="1" applyFill="1">
      <alignment vertical="center"/>
    </xf>
    <xf numFmtId="10" fontId="0" fillId="2" borderId="0" xfId="2" applyNumberFormat="1" applyFont="1" applyFill="1">
      <alignment vertical="center"/>
    </xf>
    <xf numFmtId="10" fontId="3" fillId="2" borderId="2" xfId="2" applyNumberFormat="1" applyFont="1" applyFill="1" applyBorder="1">
      <alignment vertical="center"/>
    </xf>
    <xf numFmtId="41" fontId="0" fillId="2" borderId="0" xfId="0" applyNumberFormat="1" applyFill="1">
      <alignment vertical="center"/>
    </xf>
    <xf numFmtId="3" fontId="0" fillId="0" borderId="0" xfId="0" applyNumberFormat="1">
      <alignment vertical="center"/>
    </xf>
    <xf numFmtId="15" fontId="2" fillId="2" borderId="1" xfId="3" applyNumberFormat="1" applyFill="1" applyAlignment="1">
      <alignment horizontal="right" vertical="center"/>
    </xf>
    <xf numFmtId="0" fontId="7" fillId="2" borderId="0" xfId="0" applyFont="1" applyFill="1">
      <alignment vertical="center"/>
    </xf>
    <xf numFmtId="0" fontId="0" fillId="4" borderId="0" xfId="0" applyFill="1">
      <alignment vertical="center"/>
    </xf>
    <xf numFmtId="0" fontId="10" fillId="2" borderId="0" xfId="0" applyFont="1" applyFill="1">
      <alignment vertical="center"/>
    </xf>
    <xf numFmtId="0" fontId="0" fillId="3" borderId="7" xfId="0" applyFill="1" applyBorder="1">
      <alignment vertical="center"/>
    </xf>
    <xf numFmtId="0" fontId="7" fillId="4" borderId="0" xfId="0" applyFont="1" applyFill="1">
      <alignment vertical="center"/>
    </xf>
    <xf numFmtId="0" fontId="2" fillId="2" borderId="1" xfId="3" applyNumberFormat="1" applyFill="1" applyAlignment="1">
      <alignment horizontal="right" vertical="center" wrapText="1"/>
    </xf>
    <xf numFmtId="0" fontId="0" fillId="5" borderId="0" xfId="0" applyFill="1">
      <alignment vertical="center"/>
    </xf>
    <xf numFmtId="9" fontId="0" fillId="4" borderId="0" xfId="2" applyFont="1" applyFill="1">
      <alignment vertical="center"/>
    </xf>
    <xf numFmtId="9" fontId="11" fillId="4" borderId="0" xfId="2" applyFont="1" applyFill="1">
      <alignment vertical="center"/>
    </xf>
    <xf numFmtId="9" fontId="11" fillId="4" borderId="0" xfId="0" applyNumberFormat="1" applyFont="1" applyFill="1">
      <alignment vertical="center"/>
    </xf>
    <xf numFmtId="176" fontId="0" fillId="2" borderId="0" xfId="1" applyNumberFormat="1" applyFont="1" applyFill="1">
      <alignment vertical="center"/>
    </xf>
    <xf numFmtId="176" fontId="3" fillId="2" borderId="2" xfId="1" applyNumberFormat="1" applyFont="1" applyFill="1" applyBorder="1">
      <alignment vertical="center"/>
    </xf>
    <xf numFmtId="0" fontId="7" fillId="2" borderId="0" xfId="0" applyFont="1" applyFill="1" applyAlignment="1">
      <alignment horizontal="right" vertical="center"/>
    </xf>
    <xf numFmtId="41" fontId="0" fillId="4" borderId="0" xfId="1" applyFont="1" applyFill="1">
      <alignment vertical="center"/>
    </xf>
    <xf numFmtId="41" fontId="0" fillId="4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3" fillId="2" borderId="2" xfId="4" applyNumberFormat="1" applyFill="1">
      <alignment vertical="center"/>
    </xf>
    <xf numFmtId="176" fontId="0" fillId="6" borderId="0" xfId="0" applyNumberFormat="1" applyFill="1">
      <alignment vertical="center"/>
    </xf>
    <xf numFmtId="176" fontId="3" fillId="6" borderId="2" xfId="4" applyNumberFormat="1" applyFill="1">
      <alignment vertical="center"/>
    </xf>
    <xf numFmtId="9" fontId="0" fillId="4" borderId="0" xfId="0" applyNumberFormat="1" applyFill="1">
      <alignment vertical="center"/>
    </xf>
    <xf numFmtId="10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11" fillId="4" borderId="0" xfId="0" applyFont="1" applyFill="1">
      <alignment vertical="center"/>
    </xf>
    <xf numFmtId="0" fontId="12" fillId="2" borderId="0" xfId="0" applyFont="1" applyFill="1">
      <alignment vertical="center"/>
    </xf>
    <xf numFmtId="176" fontId="13" fillId="2" borderId="0" xfId="1" applyNumberFormat="1" applyFont="1" applyFill="1">
      <alignment vertical="center"/>
    </xf>
    <xf numFmtId="176" fontId="11" fillId="2" borderId="0" xfId="0" applyNumberFormat="1" applyFont="1" applyFill="1">
      <alignment vertical="center"/>
    </xf>
    <xf numFmtId="15" fontId="2" fillId="2" borderId="1" xfId="3" applyNumberFormat="1" applyFill="1" applyAlignment="1">
      <alignment horizontal="left" vertical="center"/>
    </xf>
  </cellXfs>
  <cellStyles count="5">
    <cellStyle name="백분율" xfId="2" builtinId="5"/>
    <cellStyle name="쉼표 [0]" xfId="1" builtinId="6"/>
    <cellStyle name="제목 1" xfId="3" builtinId="16"/>
    <cellStyle name="제목 3" xfId="4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5740-87BB-4E11-ADBF-5E98294F3533}">
  <dimension ref="B1:Q52"/>
  <sheetViews>
    <sheetView tabSelected="1" zoomScale="85" zoomScaleNormal="85" workbookViewId="0">
      <pane xSplit="2" ySplit="3" topLeftCell="C4" activePane="bottomRight" state="frozen"/>
      <selection activeCell="J22" sqref="J22"/>
      <selection pane="topRight" activeCell="J22" sqref="J22"/>
      <selection pane="bottomLeft" activeCell="J22" sqref="J22"/>
      <selection pane="bottomRight" activeCell="Q8" sqref="Q8"/>
    </sheetView>
  </sheetViews>
  <sheetFormatPr defaultRowHeight="17.399999999999999" outlineLevelCol="1" x14ac:dyDescent="0.4"/>
  <cols>
    <col min="1" max="1" width="4.3984375" style="10" customWidth="1"/>
    <col min="2" max="2" width="22.09765625" style="10" bestFit="1" customWidth="1"/>
    <col min="3" max="3" width="10.796875" style="10" customWidth="1"/>
    <col min="4" max="6" width="8.5" style="10" bestFit="1" customWidth="1"/>
    <col min="7" max="7" width="2" style="10" customWidth="1"/>
    <col min="8" max="8" width="10.09765625" style="10" hidden="1" customWidth="1" outlineLevel="1"/>
    <col min="9" max="9" width="11.19921875" style="10" hidden="1" customWidth="1" outlineLevel="1"/>
    <col min="10" max="10" width="4.59765625" style="10" customWidth="1" collapsed="1"/>
    <col min="11" max="15" width="9" style="10" bestFit="1" customWidth="1"/>
    <col min="16" max="16384" width="8.796875" style="10"/>
  </cols>
  <sheetData>
    <row r="1" spans="2:17" ht="21" x14ac:dyDescent="0.4">
      <c r="B1" s="11" t="s">
        <v>132</v>
      </c>
      <c r="C1" s="19"/>
    </row>
    <row r="2" spans="2:17" ht="19.2" x14ac:dyDescent="0.4">
      <c r="B2" s="24" t="s">
        <v>216</v>
      </c>
      <c r="C2" s="25" t="s">
        <v>218</v>
      </c>
      <c r="K2" s="34" t="s">
        <v>214</v>
      </c>
      <c r="L2" s="34" t="s">
        <v>214</v>
      </c>
      <c r="M2" s="34" t="s">
        <v>214</v>
      </c>
      <c r="N2" s="34" t="s">
        <v>214</v>
      </c>
      <c r="O2" s="34" t="s">
        <v>214</v>
      </c>
    </row>
    <row r="3" spans="2:17" ht="48.6" thickBot="1" x14ac:dyDescent="0.45">
      <c r="B3" s="13" t="s">
        <v>224</v>
      </c>
      <c r="C3" s="15">
        <v>2017</v>
      </c>
      <c r="D3" s="15">
        <v>2018</v>
      </c>
      <c r="E3" s="15">
        <v>2019</v>
      </c>
      <c r="F3" s="15">
        <v>2020</v>
      </c>
      <c r="H3" s="27" t="s">
        <v>139</v>
      </c>
      <c r="I3" s="27" t="s">
        <v>140</v>
      </c>
      <c r="K3" s="15">
        <v>2021</v>
      </c>
      <c r="L3" s="15">
        <v>2022</v>
      </c>
      <c r="M3" s="15">
        <v>2023</v>
      </c>
      <c r="N3" s="15">
        <v>2024</v>
      </c>
      <c r="O3" s="15">
        <v>2025</v>
      </c>
    </row>
    <row r="4" spans="2:17" ht="18" thickTop="1" x14ac:dyDescent="0.4">
      <c r="B4" s="10" t="s">
        <v>116</v>
      </c>
      <c r="C4" s="32">
        <f>SUMIFS('Data source PL'!$B:$B,'Data source PL'!$D:$D,'P&amp;L'!C$3,'Data source PL'!$F:$F,'P&amp;L'!$B4)</f>
        <v>255271355006</v>
      </c>
      <c r="D4" s="32">
        <f>SUMIFS('Data source PL'!$B:$B,'Data source PL'!$D:$D,'P&amp;L'!D$3,'Data source PL'!$F:$F,'P&amp;L'!$B4)</f>
        <v>244103328866</v>
      </c>
      <c r="E4" s="32">
        <f>SUMIFS('Data source PL'!$B:$B,'Data source PL'!$D:$D,'P&amp;L'!E$3,'Data source PL'!$F:$F,'P&amp;L'!$B4)</f>
        <v>234794304394</v>
      </c>
      <c r="F4" s="32">
        <f>SUMIFS('Data source PL'!$B:$B,'Data source PL'!$D:$D,'P&amp;L'!F$3,'Data source PL'!$F:$F,'P&amp;L'!$B4)</f>
        <v>200762116374</v>
      </c>
      <c r="H4" s="17">
        <f>+IFERROR(E4/D4-1,"")</f>
        <v>-3.8135590019381382E-2</v>
      </c>
      <c r="I4" s="17">
        <f t="shared" ref="I4:I18" si="0">+IFERROR(F4/E4-1,"")</f>
        <v>-0.14494469151556499</v>
      </c>
      <c r="K4" s="32">
        <f>+F4*(1+K23)</f>
        <v>166632556590.41998</v>
      </c>
      <c r="L4" s="32">
        <f>+K4*(1+L23)</f>
        <v>138305021970.04858</v>
      </c>
      <c r="M4" s="32">
        <f>+L4*(1+M23)</f>
        <v>114793168235.14032</v>
      </c>
      <c r="N4" s="32">
        <f>+M4*(1+N23)</f>
        <v>95278329635.166458</v>
      </c>
      <c r="O4" s="32">
        <f>+N4*(1+O23)</f>
        <v>79081013597.188156</v>
      </c>
    </row>
    <row r="5" spans="2:17" x14ac:dyDescent="0.4">
      <c r="B5" s="10" t="s">
        <v>118</v>
      </c>
      <c r="C5" s="32">
        <f>SUMIFS('Data source PL'!$B:$B,'Data source PL'!$D:$D,'P&amp;L'!C$3,'Data source PL'!$F:$F,'P&amp;L'!$B5)</f>
        <v>185646790655</v>
      </c>
      <c r="D5" s="32">
        <f>SUMIFS('Data source PL'!$B:$B,'Data source PL'!$D:$D,'P&amp;L'!D$3,'Data source PL'!$F:$F,'P&amp;L'!$B5)</f>
        <v>176458937925</v>
      </c>
      <c r="E5" s="32">
        <f>SUMIFS('Data source PL'!$B:$B,'Data source PL'!$D:$D,'P&amp;L'!E$3,'Data source PL'!$F:$F,'P&amp;L'!$B5)</f>
        <v>170667413083</v>
      </c>
      <c r="F5" s="32">
        <f>SUMIFS('Data source PL'!$B:$B,'Data source PL'!$D:$D,'P&amp;L'!F$3,'Data source PL'!$F:$F,'P&amp;L'!$B5)</f>
        <v>143774888354</v>
      </c>
      <c r="H5" s="17">
        <f t="shared" ref="H5:H18" si="1">+IFERROR(E5/D5-1,"")</f>
        <v>-3.2820807549355013E-2</v>
      </c>
      <c r="I5" s="17">
        <f t="shared" si="0"/>
        <v>-0.15757269793455808</v>
      </c>
      <c r="K5" s="32">
        <f>+K4*K29</f>
        <v>118309115179.19818</v>
      </c>
      <c r="L5" s="32">
        <f>+L4*L29</f>
        <v>98196565598.734497</v>
      </c>
      <c r="M5" s="32">
        <f>+M4*M29</f>
        <v>81503149446.949615</v>
      </c>
      <c r="N5" s="32">
        <f>+N4*N29</f>
        <v>67647614040.968185</v>
      </c>
      <c r="O5" s="32">
        <f>+O4*O29</f>
        <v>56147519654.003586</v>
      </c>
    </row>
    <row r="6" spans="2:17" ht="18" thickBot="1" x14ac:dyDescent="0.45">
      <c r="B6" s="14" t="s">
        <v>133</v>
      </c>
      <c r="C6" s="33">
        <f>+C4-C5</f>
        <v>69624564351</v>
      </c>
      <c r="D6" s="33">
        <f t="shared" ref="D6:F6" si="2">+D4-D5</f>
        <v>67644390941</v>
      </c>
      <c r="E6" s="33">
        <f t="shared" si="2"/>
        <v>64126891311</v>
      </c>
      <c r="F6" s="33">
        <f t="shared" si="2"/>
        <v>56987228020</v>
      </c>
      <c r="H6" s="18">
        <f t="shared" si="1"/>
        <v>-5.1999871402020448E-2</v>
      </c>
      <c r="I6" s="18">
        <f t="shared" si="0"/>
        <v>-0.11133649464425699</v>
      </c>
      <c r="K6" s="33">
        <f>+K4-K5</f>
        <v>48323441411.221802</v>
      </c>
      <c r="L6" s="33">
        <f t="shared" ref="L6:O6" si="3">+L4-L5</f>
        <v>40108456371.314087</v>
      </c>
      <c r="M6" s="33">
        <f t="shared" si="3"/>
        <v>33290018788.190704</v>
      </c>
      <c r="N6" s="33">
        <f t="shared" si="3"/>
        <v>27630715594.198273</v>
      </c>
      <c r="O6" s="33">
        <f t="shared" si="3"/>
        <v>22933493943.18457</v>
      </c>
    </row>
    <row r="7" spans="2:17" x14ac:dyDescent="0.4">
      <c r="B7" s="12" t="s">
        <v>128</v>
      </c>
      <c r="C7" s="32">
        <f>SUMIFS('Data source PL'!$B:$B,'Data source PL'!$D:$D,'P&amp;L'!C$3,'Data source PL'!$F:$F,'P&amp;L'!$B7)</f>
        <v>49125008165</v>
      </c>
      <c r="D7" s="32">
        <f>SUMIFS('Data source PL'!$B:$B,'Data source PL'!$D:$D,'P&amp;L'!D$3,'Data source PL'!$F:$F,'P&amp;L'!$B7)</f>
        <v>53095824771</v>
      </c>
      <c r="E7" s="32">
        <f>SUMIFS('Data source PL'!$B:$B,'Data source PL'!$D:$D,'P&amp;L'!E$3,'Data source PL'!$F:$F,'P&amp;L'!$B7)</f>
        <v>54413386645</v>
      </c>
      <c r="F7" s="32">
        <f>SUMIFS('Data source PL'!$B:$B,'Data source PL'!$D:$D,'P&amp;L'!F$3,'Data source PL'!$F:$F,'P&amp;L'!$B7)</f>
        <v>48022723082</v>
      </c>
      <c r="H7" s="17">
        <f t="shared" si="1"/>
        <v>2.48147924941855E-2</v>
      </c>
      <c r="I7" s="17">
        <f t="shared" si="0"/>
        <v>-0.11744653213176237</v>
      </c>
      <c r="K7" s="32">
        <f>+K4*K35</f>
        <v>34992836883.988197</v>
      </c>
      <c r="L7" s="32">
        <f>+L4*L35</f>
        <v>29044054613.710201</v>
      </c>
      <c r="M7" s="32">
        <f>+M4*M35</f>
        <v>24106565329.379467</v>
      </c>
      <c r="N7" s="32">
        <f>+N4*N35</f>
        <v>20008449223.384956</v>
      </c>
      <c r="O7" s="32">
        <f>+O4*O35</f>
        <v>16607012855.409512</v>
      </c>
    </row>
    <row r="8" spans="2:17" x14ac:dyDescent="0.4">
      <c r="B8" s="12" t="s">
        <v>120</v>
      </c>
      <c r="C8" s="32">
        <f>SUMIFS('Data source PL'!$B:$B,'Data source PL'!$D:$D,'P&amp;L'!C$3,'Data source PL'!$F:$F,'P&amp;L'!$B8)</f>
        <v>523443949</v>
      </c>
      <c r="D8" s="32">
        <f>SUMIFS('Data source PL'!$B:$B,'Data source PL'!$D:$D,'P&amp;L'!D$3,'Data source PL'!$F:$F,'P&amp;L'!$B8)</f>
        <v>559182423</v>
      </c>
      <c r="E8" s="32">
        <f>SUMIFS('Data source PL'!$B:$B,'Data source PL'!$D:$D,'P&amp;L'!E$3,'Data source PL'!$F:$F,'P&amp;L'!$B8)</f>
        <v>560425554</v>
      </c>
      <c r="F8" s="32">
        <f>SUMIFS('Data source PL'!$B:$B,'Data source PL'!$D:$D,'P&amp;L'!F$3,'Data source PL'!$F:$F,'P&amp;L'!$B8)</f>
        <v>522047136</v>
      </c>
      <c r="H8" s="17">
        <f t="shared" si="1"/>
        <v>2.2231224531892302E-3</v>
      </c>
      <c r="I8" s="17">
        <f t="shared" si="0"/>
        <v>-6.8480849465333282E-2</v>
      </c>
      <c r="K8" s="32">
        <f>+'Fixed Asset Roll Forward'!G5</f>
        <v>576315038.42187881</v>
      </c>
      <c r="L8" s="32">
        <f>+'Fixed Asset Roll Forward'!H5</f>
        <v>579474159.49225402</v>
      </c>
      <c r="M8" s="32">
        <f>+'Fixed Asset Roll Forward'!I5</f>
        <v>582650597.55988228</v>
      </c>
      <c r="N8" s="32">
        <f>+'Fixed Asset Roll Forward'!J5</f>
        <v>585844447.54939222</v>
      </c>
      <c r="O8" s="32">
        <f>+'Fixed Asset Roll Forward'!K5</f>
        <v>589055804.9057498</v>
      </c>
    </row>
    <row r="9" spans="2:17" ht="18" thickBot="1" x14ac:dyDescent="0.45">
      <c r="B9" s="14" t="s">
        <v>141</v>
      </c>
      <c r="C9" s="33">
        <f>+C6-C7-C8</f>
        <v>19976112237</v>
      </c>
      <c r="D9" s="33">
        <f t="shared" ref="D9:F9" si="4">+D6-D7-D8</f>
        <v>13989383747</v>
      </c>
      <c r="E9" s="33">
        <f t="shared" si="4"/>
        <v>9153079112</v>
      </c>
      <c r="F9" s="33">
        <f t="shared" si="4"/>
        <v>8442457802</v>
      </c>
      <c r="H9" s="18">
        <f t="shared" si="1"/>
        <v>-0.34571248615845118</v>
      </c>
      <c r="I9" s="18">
        <f t="shared" si="0"/>
        <v>-7.7637404998319171E-2</v>
      </c>
      <c r="K9" s="33">
        <f>+K6-K7-K8</f>
        <v>12754289488.811726</v>
      </c>
      <c r="L9" s="33">
        <f t="shared" ref="L9:O9" si="5">+L6-L7-L8</f>
        <v>10484927598.111631</v>
      </c>
      <c r="M9" s="33">
        <f t="shared" si="5"/>
        <v>8600802861.2513542</v>
      </c>
      <c r="N9" s="33">
        <f t="shared" si="5"/>
        <v>7036421923.2639236</v>
      </c>
      <c r="O9" s="33">
        <f t="shared" si="5"/>
        <v>5737425282.8693085</v>
      </c>
    </row>
    <row r="10" spans="2:17" x14ac:dyDescent="0.4">
      <c r="B10" s="12" t="s">
        <v>122</v>
      </c>
      <c r="C10" s="32">
        <f>SUMIFS('Data source PL'!$B:$B,'Data source PL'!$D:$D,'P&amp;L'!C$3,'Data source PL'!$F:$F,'P&amp;L'!$B10)</f>
        <v>4022410051</v>
      </c>
      <c r="D10" s="32">
        <f>SUMIFS('Data source PL'!$B:$B,'Data source PL'!$D:$D,'P&amp;L'!D$3,'Data source PL'!$F:$F,'P&amp;L'!$B10)</f>
        <v>5358245084</v>
      </c>
      <c r="E10" s="32">
        <f>SUMIFS('Data source PL'!$B:$B,'Data source PL'!$D:$D,'P&amp;L'!E$3,'Data source PL'!$F:$F,'P&amp;L'!$B10)</f>
        <v>4140406618</v>
      </c>
      <c r="F10" s="32">
        <f>SUMIFS('Data source PL'!$B:$B,'Data source PL'!$D:$D,'P&amp;L'!F$3,'Data source PL'!$F:$F,'P&amp;L'!$B10)</f>
        <v>9335926116</v>
      </c>
      <c r="H10" s="17">
        <f t="shared" si="1"/>
        <v>-0.22728308371644468</v>
      </c>
      <c r="I10" s="17">
        <f t="shared" si="0"/>
        <v>1.2548331546503193</v>
      </c>
      <c r="K10" s="32">
        <f>+K4*K41</f>
        <v>1666325565.9041998</v>
      </c>
      <c r="L10" s="32">
        <f t="shared" ref="L10:O10" si="6">+L4*L41</f>
        <v>1383050219.7004859</v>
      </c>
      <c r="M10" s="32">
        <f t="shared" si="6"/>
        <v>1147931682.3514032</v>
      </c>
      <c r="N10" s="32">
        <f t="shared" si="6"/>
        <v>952783296.35166454</v>
      </c>
      <c r="O10" s="32">
        <f t="shared" si="6"/>
        <v>790810135.97188163</v>
      </c>
    </row>
    <row r="11" spans="2:17" x14ac:dyDescent="0.4">
      <c r="B11" s="12" t="s">
        <v>124</v>
      </c>
      <c r="C11" s="32">
        <f>SUMIFS('Data source PL'!$B:$B,'Data source PL'!$D:$D,'P&amp;L'!C$3,'Data source PL'!$F:$F,'P&amp;L'!$B11)</f>
        <v>4022616594</v>
      </c>
      <c r="D11" s="32">
        <f>SUMIFS('Data source PL'!$B:$B,'Data source PL'!$D:$D,'P&amp;L'!D$3,'Data source PL'!$F:$F,'P&amp;L'!$B11)</f>
        <v>4932508993</v>
      </c>
      <c r="E11" s="32">
        <f>SUMIFS('Data source PL'!$B:$B,'Data source PL'!$D:$D,'P&amp;L'!E$3,'Data source PL'!$F:$F,'P&amp;L'!$B11)</f>
        <v>6753437177</v>
      </c>
      <c r="F11" s="32">
        <f>SUMIFS('Data source PL'!$B:$B,'Data source PL'!$D:$D,'P&amp;L'!F$3,'Data source PL'!$F:$F,'P&amp;L'!$B11)</f>
        <v>7042567922</v>
      </c>
      <c r="H11" s="17">
        <f t="shared" si="1"/>
        <v>0.36916875095092205</v>
      </c>
      <c r="I11" s="17">
        <f t="shared" si="0"/>
        <v>4.2812383890189265E-2</v>
      </c>
      <c r="K11" s="32">
        <f>+K4*K47</f>
        <v>1666325565.9041998</v>
      </c>
      <c r="L11" s="32">
        <f t="shared" ref="L11:O11" si="7">+L4*L47</f>
        <v>1383050219.7004859</v>
      </c>
      <c r="M11" s="32">
        <f t="shared" si="7"/>
        <v>1147931682.3514032</v>
      </c>
      <c r="N11" s="32">
        <f t="shared" si="7"/>
        <v>952783296.35166454</v>
      </c>
      <c r="O11" s="32">
        <f t="shared" si="7"/>
        <v>790810135.97188163</v>
      </c>
    </row>
    <row r="12" spans="2:17" ht="18" thickBot="1" x14ac:dyDescent="0.45">
      <c r="B12" s="14" t="s">
        <v>134</v>
      </c>
      <c r="C12" s="33">
        <f>+C9+C10-C11+C13</f>
        <v>20499349643</v>
      </c>
      <c r="D12" s="33">
        <f t="shared" ref="D12:F12" si="8">+D9+D10-D11+D13</f>
        <v>14974302261</v>
      </c>
      <c r="E12" s="33">
        <f t="shared" si="8"/>
        <v>7100474107</v>
      </c>
      <c r="F12" s="33">
        <f t="shared" si="8"/>
        <v>11257863132</v>
      </c>
      <c r="H12" s="18">
        <f t="shared" si="1"/>
        <v>-0.52582270724607216</v>
      </c>
      <c r="I12" s="18">
        <f t="shared" si="0"/>
        <v>0.58550865228864635</v>
      </c>
      <c r="K12" s="33">
        <f>+K9+K10-K11+K13</f>
        <v>13330604527.233604</v>
      </c>
      <c r="L12" s="33">
        <f t="shared" ref="L12:O12" si="9">+L9+L10-L11+L13</f>
        <v>11064401757.603886</v>
      </c>
      <c r="M12" s="33">
        <f t="shared" si="9"/>
        <v>9183453458.8112373</v>
      </c>
      <c r="N12" s="33">
        <f t="shared" si="9"/>
        <v>7622266370.8133163</v>
      </c>
      <c r="O12" s="33">
        <f t="shared" si="9"/>
        <v>6326481087.7750587</v>
      </c>
    </row>
    <row r="13" spans="2:17" x14ac:dyDescent="0.4">
      <c r="B13" s="12" t="s">
        <v>120</v>
      </c>
      <c r="C13" s="32">
        <f>SUMIFS('Data source PL'!$B:$B,'Data source PL'!$D:$D,'P&amp;L'!C$3,'Data source PL'!$F:$F,'P&amp;L'!$B13)</f>
        <v>523443949</v>
      </c>
      <c r="D13" s="32">
        <f>SUMIFS('Data source PL'!$B:$B,'Data source PL'!$D:$D,'P&amp;L'!D$3,'Data source PL'!$F:$F,'P&amp;L'!$B13)</f>
        <v>559182423</v>
      </c>
      <c r="E13" s="32">
        <f>SUMIFS('Data source PL'!$B:$B,'Data source PL'!$D:$D,'P&amp;L'!E$3,'Data source PL'!$F:$F,'P&amp;L'!$B13)</f>
        <v>560425554</v>
      </c>
      <c r="F13" s="32">
        <f>SUMIFS('Data source PL'!$B:$B,'Data source PL'!$D:$D,'P&amp;L'!F$3,'Data source PL'!$F:$F,'P&amp;L'!$B13)</f>
        <v>522047136</v>
      </c>
      <c r="H13" s="17">
        <f t="shared" si="1"/>
        <v>2.2231224531892302E-3</v>
      </c>
      <c r="I13" s="17">
        <f t="shared" si="0"/>
        <v>-6.8480849465333282E-2</v>
      </c>
      <c r="K13" s="32">
        <f>+'Fixed Asset Roll Forward'!G5</f>
        <v>576315038.42187881</v>
      </c>
      <c r="L13" s="32">
        <f>+'Fixed Asset Roll Forward'!H5</f>
        <v>579474159.49225402</v>
      </c>
      <c r="M13" s="32">
        <f>+'Fixed Asset Roll Forward'!I5</f>
        <v>582650597.55988228</v>
      </c>
      <c r="N13" s="32">
        <f>+'Fixed Asset Roll Forward'!J5</f>
        <v>585844447.54939222</v>
      </c>
      <c r="O13" s="32">
        <f>+'Fixed Asset Roll Forward'!K5</f>
        <v>589055804.9057498</v>
      </c>
    </row>
    <row r="14" spans="2:17" ht="18" thickBot="1" x14ac:dyDescent="0.45">
      <c r="B14" s="14" t="s">
        <v>135</v>
      </c>
      <c r="C14" s="33">
        <f>+C12-C13</f>
        <v>19975905694</v>
      </c>
      <c r="D14" s="33">
        <f t="shared" ref="D14:F14" si="10">+D12-D13</f>
        <v>14415119838</v>
      </c>
      <c r="E14" s="33">
        <f t="shared" si="10"/>
        <v>6540048553</v>
      </c>
      <c r="F14" s="33">
        <f t="shared" si="10"/>
        <v>10735815996</v>
      </c>
      <c r="H14" s="18">
        <f t="shared" si="1"/>
        <v>-0.54630633484158486</v>
      </c>
      <c r="I14" s="18">
        <f t="shared" si="0"/>
        <v>0.64154989202264412</v>
      </c>
      <c r="K14" s="33">
        <f t="shared" ref="K14:O14" si="11">+K12-K13</f>
        <v>12754289488.811726</v>
      </c>
      <c r="L14" s="33">
        <f t="shared" si="11"/>
        <v>10484927598.111631</v>
      </c>
      <c r="M14" s="33">
        <f t="shared" si="11"/>
        <v>8600802861.2513542</v>
      </c>
      <c r="N14" s="33">
        <f t="shared" si="11"/>
        <v>7036421923.2639236</v>
      </c>
      <c r="O14" s="33">
        <f t="shared" si="11"/>
        <v>5737425282.8693085</v>
      </c>
    </row>
    <row r="15" spans="2:17" x14ac:dyDescent="0.4">
      <c r="B15" s="12" t="s">
        <v>130</v>
      </c>
      <c r="C15" s="32">
        <f>SUMIFS('Data source PL'!$B:$B,'Data source PL'!$D:$D,'P&amp;L'!C$3,'Data source PL'!$F:$F,'P&amp;L'!$B15)</f>
        <v>0</v>
      </c>
      <c r="D15" s="32">
        <f>SUMIFS('Data source PL'!$B:$B,'Data source PL'!$D:$D,'P&amp;L'!D$3,'Data source PL'!$F:$F,'P&amp;L'!$B15)</f>
        <v>0</v>
      </c>
      <c r="E15" s="32">
        <f>SUMIFS('Data source PL'!$B:$B,'Data source PL'!$D:$D,'P&amp;L'!E$3,'Data source PL'!$F:$F,'P&amp;L'!$B15)</f>
        <v>5004329</v>
      </c>
      <c r="F15" s="32">
        <f>SUMIFS('Data source PL'!$B:$B,'Data source PL'!$D:$D,'P&amp;L'!F$3,'Data source PL'!$F:$F,'P&amp;L'!$B15)</f>
        <v>220979837</v>
      </c>
      <c r="H15" s="17" t="str">
        <f t="shared" si="1"/>
        <v/>
      </c>
      <c r="I15" s="17">
        <f t="shared" si="0"/>
        <v>43.157735632489391</v>
      </c>
      <c r="K15" s="32">
        <f>-'Financial Liabilities'!C16</f>
        <v>39456951.751199998</v>
      </c>
      <c r="L15" s="32">
        <f>-'Financial Liabilities'!D16</f>
        <v>0</v>
      </c>
      <c r="M15" s="32">
        <f>-'Financial Liabilities'!E16</f>
        <v>0</v>
      </c>
      <c r="N15" s="32">
        <f>-'Financial Liabilities'!F16</f>
        <v>0</v>
      </c>
      <c r="O15" s="32">
        <f>-'Financial Liabilities'!G16</f>
        <v>0</v>
      </c>
      <c r="Q15" s="37"/>
    </row>
    <row r="16" spans="2:17" ht="18" thickBot="1" x14ac:dyDescent="0.45">
      <c r="B16" s="14" t="s">
        <v>136</v>
      </c>
      <c r="C16" s="33">
        <f>+C14-C15</f>
        <v>19975905694</v>
      </c>
      <c r="D16" s="33">
        <f t="shared" ref="D16:F16" si="12">+D14-D15</f>
        <v>14415119838</v>
      </c>
      <c r="E16" s="33">
        <f t="shared" si="12"/>
        <v>6535044224</v>
      </c>
      <c r="F16" s="33">
        <f t="shared" si="12"/>
        <v>10514836159</v>
      </c>
      <c r="H16" s="18">
        <f t="shared" si="1"/>
        <v>-0.54665349317646095</v>
      </c>
      <c r="I16" s="18">
        <f t="shared" si="0"/>
        <v>0.60899234933777247</v>
      </c>
      <c r="K16" s="33">
        <f t="shared" ref="K16:O16" si="13">+K14-K15</f>
        <v>12714832537.060526</v>
      </c>
      <c r="L16" s="33">
        <f t="shared" si="13"/>
        <v>10484927598.111631</v>
      </c>
      <c r="M16" s="33">
        <f t="shared" si="13"/>
        <v>8600802861.2513542</v>
      </c>
      <c r="N16" s="33">
        <f t="shared" si="13"/>
        <v>7036421923.2639236</v>
      </c>
      <c r="O16" s="33">
        <f t="shared" si="13"/>
        <v>5737425282.8693085</v>
      </c>
    </row>
    <row r="17" spans="2:15" x14ac:dyDescent="0.4">
      <c r="B17" s="12" t="s">
        <v>126</v>
      </c>
      <c r="C17" s="32">
        <f>SUMIFS('Data source PL'!$B:$B,'Data source PL'!$D:$D,'P&amp;L'!C$3,'Data source PL'!$F:$F,'P&amp;L'!$B17)</f>
        <v>6692425753</v>
      </c>
      <c r="D17" s="32">
        <f>SUMIFS('Data source PL'!$B:$B,'Data source PL'!$D:$D,'P&amp;L'!D$3,'Data source PL'!$F:$F,'P&amp;L'!$B17)</f>
        <v>3290206024</v>
      </c>
      <c r="E17" s="32">
        <f>SUMIFS('Data source PL'!$B:$B,'Data source PL'!$D:$D,'P&amp;L'!E$3,'Data source PL'!$F:$F,'P&amp;L'!$B17)</f>
        <v>1623849119</v>
      </c>
      <c r="F17" s="32">
        <f>SUMIFS('Data source PL'!$B:$B,'Data source PL'!$D:$D,'P&amp;L'!F$3,'Data source PL'!$F:$F,'P&amp;L'!$B17)</f>
        <v>5933092664</v>
      </c>
      <c r="H17" s="17">
        <f t="shared" si="1"/>
        <v>-0.50645974533052529</v>
      </c>
      <c r="I17" s="17">
        <f t="shared" si="0"/>
        <v>2.6537216386542868</v>
      </c>
      <c r="K17" s="32">
        <f>+K16*K52</f>
        <v>4373947525.1804972</v>
      </c>
      <c r="L17" s="32">
        <f t="shared" ref="L17:O17" si="14">+L16*L52</f>
        <v>3606852310.9356899</v>
      </c>
      <c r="M17" s="32">
        <f t="shared" si="14"/>
        <v>2958706713.5870228</v>
      </c>
      <c r="N17" s="32">
        <f t="shared" si="14"/>
        <v>2420554118.0097356</v>
      </c>
      <c r="O17" s="32">
        <f t="shared" si="14"/>
        <v>1973694662.8096013</v>
      </c>
    </row>
    <row r="18" spans="2:15" ht="18" thickBot="1" x14ac:dyDescent="0.45">
      <c r="B18" s="14" t="s">
        <v>137</v>
      </c>
      <c r="C18" s="33">
        <f>+C16-C17</f>
        <v>13283479941</v>
      </c>
      <c r="D18" s="33">
        <f t="shared" ref="D18:F18" si="15">+D16-D17</f>
        <v>11124913814</v>
      </c>
      <c r="E18" s="33">
        <f t="shared" si="15"/>
        <v>4911195105</v>
      </c>
      <c r="F18" s="33">
        <f t="shared" si="15"/>
        <v>4581743495</v>
      </c>
      <c r="H18" s="18">
        <f t="shared" si="1"/>
        <v>-0.55854084021580719</v>
      </c>
      <c r="I18" s="18">
        <f t="shared" si="0"/>
        <v>-6.7081759725772461E-2</v>
      </c>
      <c r="K18" s="33">
        <f t="shared" ref="K18:O18" si="16">+K16-K17</f>
        <v>8340885011.8800287</v>
      </c>
      <c r="L18" s="33">
        <f t="shared" si="16"/>
        <v>6878075287.1759415</v>
      </c>
      <c r="M18" s="33">
        <f t="shared" si="16"/>
        <v>5642096147.6643314</v>
      </c>
      <c r="N18" s="33">
        <f t="shared" si="16"/>
        <v>4615867805.2541885</v>
      </c>
      <c r="O18" s="33">
        <f t="shared" si="16"/>
        <v>3763730620.0597072</v>
      </c>
    </row>
    <row r="19" spans="2:15" x14ac:dyDescent="0.4">
      <c r="K19" s="37"/>
    </row>
    <row r="21" spans="2:15" x14ac:dyDescent="0.4">
      <c r="B21" s="26" t="s">
        <v>215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2:15" x14ac:dyDescent="0.4">
      <c r="B22" s="23" t="s">
        <v>217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5" x14ac:dyDescent="0.4">
      <c r="B23" s="26" t="s">
        <v>223</v>
      </c>
      <c r="C23" s="23"/>
      <c r="D23" s="23"/>
      <c r="E23" s="23"/>
      <c r="F23" s="23"/>
      <c r="G23" s="23"/>
      <c r="H23" s="23"/>
      <c r="I23" s="23"/>
      <c r="J23" s="23"/>
      <c r="K23" s="29">
        <f>VLOOKUP($C$2,$B24:$O26,COLUMNS($B24:K26),FALSE)</f>
        <v>-0.17</v>
      </c>
      <c r="L23" s="29">
        <f>VLOOKUP($C$2,$B24:$O26,COLUMNS($B24:L26),FALSE)</f>
        <v>-0.17</v>
      </c>
      <c r="M23" s="29">
        <f>VLOOKUP($C$2,$B24:$O26,COLUMNS($B24:M26),FALSE)</f>
        <v>-0.17</v>
      </c>
      <c r="N23" s="29">
        <f>VLOOKUP($C$2,$B24:$O26,COLUMNS($B24:N26),FALSE)</f>
        <v>-0.17</v>
      </c>
      <c r="O23" s="29">
        <f>VLOOKUP($C$2,$B24:$O26,COLUMNS($B24:O26),FALSE)</f>
        <v>-0.17</v>
      </c>
    </row>
    <row r="24" spans="2:15" x14ac:dyDescent="0.4">
      <c r="B24" s="23" t="s">
        <v>219</v>
      </c>
      <c r="C24" s="28"/>
      <c r="D24" s="28"/>
      <c r="E24" s="28"/>
      <c r="F24" s="28"/>
      <c r="G24" s="23"/>
      <c r="H24" s="23"/>
      <c r="I24" s="23"/>
      <c r="J24" s="23"/>
      <c r="K24" s="31">
        <v>-0.17</v>
      </c>
      <c r="L24" s="31">
        <v>-0.17</v>
      </c>
      <c r="M24" s="31">
        <v>-0.17</v>
      </c>
      <c r="N24" s="31">
        <v>-0.17</v>
      </c>
      <c r="O24" s="31">
        <v>-0.17</v>
      </c>
    </row>
    <row r="25" spans="2:15" x14ac:dyDescent="0.4">
      <c r="B25" s="23" t="s">
        <v>220</v>
      </c>
      <c r="C25" s="28"/>
      <c r="D25" s="28"/>
      <c r="E25" s="28"/>
      <c r="F25" s="28"/>
      <c r="G25" s="23"/>
      <c r="H25" s="23"/>
      <c r="I25" s="23"/>
      <c r="J25" s="23"/>
      <c r="K25" s="31">
        <v>-0.18</v>
      </c>
      <c r="L25" s="31">
        <v>-0.18</v>
      </c>
      <c r="M25" s="31">
        <v>-0.18</v>
      </c>
      <c r="N25" s="31">
        <v>-0.18</v>
      </c>
      <c r="O25" s="31">
        <v>-0.18</v>
      </c>
    </row>
    <row r="26" spans="2:15" x14ac:dyDescent="0.4">
      <c r="B26" s="23" t="s">
        <v>221</v>
      </c>
      <c r="C26" s="28"/>
      <c r="D26" s="28"/>
      <c r="E26" s="28"/>
      <c r="F26" s="28"/>
      <c r="G26" s="23"/>
      <c r="H26" s="23"/>
      <c r="I26" s="23"/>
      <c r="J26" s="23"/>
      <c r="K26" s="31">
        <v>-0.19</v>
      </c>
      <c r="L26" s="31">
        <v>-0.19</v>
      </c>
      <c r="M26" s="31">
        <v>-0.19</v>
      </c>
      <c r="N26" s="31">
        <v>-0.19</v>
      </c>
      <c r="O26" s="31">
        <v>-0.19</v>
      </c>
    </row>
    <row r="27" spans="2:15" x14ac:dyDescent="0.4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2:15" x14ac:dyDescent="0.4">
      <c r="B28" s="23" t="s">
        <v>222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2:15" x14ac:dyDescent="0.4">
      <c r="B29" s="26" t="s">
        <v>223</v>
      </c>
      <c r="C29" s="23"/>
      <c r="D29" s="23"/>
      <c r="E29" s="23"/>
      <c r="F29" s="23"/>
      <c r="G29" s="23"/>
      <c r="H29" s="23"/>
      <c r="I29" s="23"/>
      <c r="J29" s="23"/>
      <c r="K29" s="29">
        <f>VLOOKUP($C$2,$B30:$O32,COLUMNS($B30:K32),FALSE)</f>
        <v>0.71</v>
      </c>
      <c r="L29" s="29">
        <f>VLOOKUP($C$2,$B30:$O32,COLUMNS($B30:L32),FALSE)</f>
        <v>0.71</v>
      </c>
      <c r="M29" s="29">
        <f>VLOOKUP($C$2,$B30:$O32,COLUMNS($B30:M32),FALSE)</f>
        <v>0.71</v>
      </c>
      <c r="N29" s="29">
        <f>VLOOKUP($C$2,$B30:$O32,COLUMNS($B30:N32),FALSE)</f>
        <v>0.71</v>
      </c>
      <c r="O29" s="29">
        <f>VLOOKUP($C$2,$B30:$O32,COLUMNS($B30:O32),FALSE)</f>
        <v>0.71</v>
      </c>
    </row>
    <row r="30" spans="2:15" x14ac:dyDescent="0.4">
      <c r="B30" s="23" t="s">
        <v>219</v>
      </c>
      <c r="C30" s="30">
        <f>+C5/C4</f>
        <v>0.7272527332752885</v>
      </c>
      <c r="D30" s="30">
        <f>+D5/D4</f>
        <v>0.72288624143207303</v>
      </c>
      <c r="E30" s="30">
        <f>+E5/E4</f>
        <v>0.72688054986465545</v>
      </c>
      <c r="F30" s="30">
        <f>+F5/F4</f>
        <v>0.71614551067075616</v>
      </c>
      <c r="G30" s="23"/>
      <c r="H30" s="23"/>
      <c r="I30" s="23"/>
      <c r="J30" s="23"/>
      <c r="K30" s="31">
        <v>0.71</v>
      </c>
      <c r="L30" s="31">
        <v>0.71</v>
      </c>
      <c r="M30" s="31">
        <v>0.71</v>
      </c>
      <c r="N30" s="31">
        <v>0.71</v>
      </c>
      <c r="O30" s="31">
        <v>0.71</v>
      </c>
    </row>
    <row r="31" spans="2:15" x14ac:dyDescent="0.4">
      <c r="B31" s="23" t="s">
        <v>220</v>
      </c>
      <c r="C31" s="30">
        <f>+C30</f>
        <v>0.7272527332752885</v>
      </c>
      <c r="D31" s="30">
        <f t="shared" ref="D31:F32" si="17">+D30</f>
        <v>0.72288624143207303</v>
      </c>
      <c r="E31" s="30">
        <f t="shared" si="17"/>
        <v>0.72688054986465545</v>
      </c>
      <c r="F31" s="30">
        <f t="shared" si="17"/>
        <v>0.71614551067075616</v>
      </c>
      <c r="G31" s="23"/>
      <c r="H31" s="23"/>
      <c r="I31" s="23"/>
      <c r="J31" s="23"/>
      <c r="K31" s="31">
        <v>0.72</v>
      </c>
      <c r="L31" s="31">
        <v>0.72</v>
      </c>
      <c r="M31" s="31">
        <v>0.72</v>
      </c>
      <c r="N31" s="31">
        <v>0.72</v>
      </c>
      <c r="O31" s="31">
        <v>0.72</v>
      </c>
    </row>
    <row r="32" spans="2:15" x14ac:dyDescent="0.4">
      <c r="B32" s="23" t="s">
        <v>221</v>
      </c>
      <c r="C32" s="30">
        <f>+C31</f>
        <v>0.7272527332752885</v>
      </c>
      <c r="D32" s="30">
        <f t="shared" si="17"/>
        <v>0.72288624143207303</v>
      </c>
      <c r="E32" s="30">
        <f t="shared" si="17"/>
        <v>0.72688054986465545</v>
      </c>
      <c r="F32" s="30">
        <f t="shared" si="17"/>
        <v>0.71614551067075616</v>
      </c>
      <c r="G32" s="23"/>
      <c r="H32" s="23"/>
      <c r="I32" s="23"/>
      <c r="J32" s="23"/>
      <c r="K32" s="31">
        <v>0.73</v>
      </c>
      <c r="L32" s="31">
        <v>0.73</v>
      </c>
      <c r="M32" s="31">
        <v>0.73</v>
      </c>
      <c r="N32" s="31">
        <v>0.73</v>
      </c>
      <c r="O32" s="31">
        <v>0.73</v>
      </c>
    </row>
    <row r="33" spans="2:15" x14ac:dyDescent="0.4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2:15" x14ac:dyDescent="0.4">
      <c r="B34" s="23" t="s">
        <v>282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spans="2:15" x14ac:dyDescent="0.4">
      <c r="B35" s="26" t="s">
        <v>223</v>
      </c>
      <c r="C35" s="23"/>
      <c r="D35" s="23"/>
      <c r="E35" s="23"/>
      <c r="F35" s="23"/>
      <c r="G35" s="23"/>
      <c r="H35" s="23"/>
      <c r="I35" s="23"/>
      <c r="J35" s="23"/>
      <c r="K35" s="29">
        <f>VLOOKUP($C$2,$B36:$O38,COLUMNS($B36:K38),FALSE)</f>
        <v>0.21</v>
      </c>
      <c r="L35" s="29">
        <f>VLOOKUP($C$2,$B36:$O38,COLUMNS($B36:L38),FALSE)</f>
        <v>0.21</v>
      </c>
      <c r="M35" s="29">
        <f>VLOOKUP($C$2,$B36:$O38,COLUMNS($B36:M38),FALSE)</f>
        <v>0.21</v>
      </c>
      <c r="N35" s="29">
        <f>VLOOKUP($C$2,$B36:$O38,COLUMNS($B36:N38),FALSE)</f>
        <v>0.21</v>
      </c>
      <c r="O35" s="29">
        <f>VLOOKUP($C$2,$B36:$O38,COLUMNS($B36:O38),FALSE)</f>
        <v>0.21</v>
      </c>
    </row>
    <row r="36" spans="2:15" x14ac:dyDescent="0.4">
      <c r="B36" s="23" t="s">
        <v>219</v>
      </c>
      <c r="C36" s="30">
        <f>+C7/C4</f>
        <v>0.19244230581157587</v>
      </c>
      <c r="D36" s="30">
        <f>+D7/D4</f>
        <v>0.2175137267388387</v>
      </c>
      <c r="E36" s="30">
        <f>+E7/E4</f>
        <v>0.23174917630749178</v>
      </c>
      <c r="F36" s="30">
        <f>+F7/F4</f>
        <v>0.23920211616288409</v>
      </c>
      <c r="G36" s="23"/>
      <c r="H36" s="23"/>
      <c r="I36" s="23"/>
      <c r="J36" s="23"/>
      <c r="K36" s="31">
        <v>0.21</v>
      </c>
      <c r="L36" s="31">
        <v>0.21</v>
      </c>
      <c r="M36" s="31">
        <v>0.21</v>
      </c>
      <c r="N36" s="31">
        <v>0.21</v>
      </c>
      <c r="O36" s="31">
        <v>0.21</v>
      </c>
    </row>
    <row r="37" spans="2:15" x14ac:dyDescent="0.4">
      <c r="B37" s="23" t="s">
        <v>220</v>
      </c>
      <c r="C37" s="30">
        <f>+C36</f>
        <v>0.19244230581157587</v>
      </c>
      <c r="D37" s="30">
        <f t="shared" ref="D37:F38" si="18">+D36</f>
        <v>0.2175137267388387</v>
      </c>
      <c r="E37" s="30">
        <f t="shared" si="18"/>
        <v>0.23174917630749178</v>
      </c>
      <c r="F37" s="30">
        <f t="shared" si="18"/>
        <v>0.23920211616288409</v>
      </c>
      <c r="G37" s="23"/>
      <c r="H37" s="23"/>
      <c r="I37" s="23"/>
      <c r="J37" s="23"/>
      <c r="K37" s="31">
        <v>0.22</v>
      </c>
      <c r="L37" s="31">
        <v>0.22</v>
      </c>
      <c r="M37" s="31">
        <v>0.22</v>
      </c>
      <c r="N37" s="31">
        <v>0.22</v>
      </c>
      <c r="O37" s="31">
        <v>0.22</v>
      </c>
    </row>
    <row r="38" spans="2:15" x14ac:dyDescent="0.4">
      <c r="B38" s="23" t="s">
        <v>221</v>
      </c>
      <c r="C38" s="30">
        <f>+C37</f>
        <v>0.19244230581157587</v>
      </c>
      <c r="D38" s="30">
        <f t="shared" si="18"/>
        <v>0.2175137267388387</v>
      </c>
      <c r="E38" s="30">
        <f t="shared" si="18"/>
        <v>0.23174917630749178</v>
      </c>
      <c r="F38" s="30">
        <f t="shared" si="18"/>
        <v>0.23920211616288409</v>
      </c>
      <c r="G38" s="23"/>
      <c r="H38" s="23"/>
      <c r="I38" s="23"/>
      <c r="J38" s="23"/>
      <c r="K38" s="31">
        <v>0.23</v>
      </c>
      <c r="L38" s="31">
        <v>0.23</v>
      </c>
      <c r="M38" s="31">
        <v>0.23</v>
      </c>
      <c r="N38" s="31">
        <v>0.23</v>
      </c>
      <c r="O38" s="31">
        <v>0.23</v>
      </c>
    </row>
    <row r="39" spans="2:15" x14ac:dyDescent="0.4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spans="2:15" x14ac:dyDescent="0.4">
      <c r="B40" s="23" t="s">
        <v>260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spans="2:15" x14ac:dyDescent="0.4">
      <c r="B41" s="26" t="s">
        <v>223</v>
      </c>
      <c r="C41" s="23"/>
      <c r="D41" s="23"/>
      <c r="E41" s="23"/>
      <c r="F41" s="23"/>
      <c r="G41" s="23"/>
      <c r="H41" s="23"/>
      <c r="I41" s="23"/>
      <c r="J41" s="23"/>
      <c r="K41" s="29">
        <f>VLOOKUP($C$2,$B42:$O44,COLUMNS($B42:K44),FALSE)</f>
        <v>0.01</v>
      </c>
      <c r="L41" s="29">
        <f>VLOOKUP($C$2,$B42:$O44,COLUMNS($B42:L44),FALSE)</f>
        <v>0.01</v>
      </c>
      <c r="M41" s="29">
        <f>VLOOKUP($C$2,$B42:$O44,COLUMNS($B42:M44),FALSE)</f>
        <v>0.01</v>
      </c>
      <c r="N41" s="29">
        <f>VLOOKUP($C$2,$B42:$O44,COLUMNS($B42:N44),FALSE)</f>
        <v>0.01</v>
      </c>
      <c r="O41" s="29">
        <f>VLOOKUP($C$2,$B42:$O44,COLUMNS($B42:O44),FALSE)</f>
        <v>0.01</v>
      </c>
    </row>
    <row r="42" spans="2:15" x14ac:dyDescent="0.4">
      <c r="B42" s="23" t="s">
        <v>219</v>
      </c>
      <c r="C42" s="30">
        <f>+C10/C4</f>
        <v>1.5757389037659379E-2</v>
      </c>
      <c r="D42" s="30">
        <f t="shared" ref="D42:F42" si="19">+D10/D4</f>
        <v>2.1950725165822697E-2</v>
      </c>
      <c r="E42" s="30">
        <f t="shared" si="19"/>
        <v>1.7634186777598024E-2</v>
      </c>
      <c r="F42" s="30">
        <f t="shared" si="19"/>
        <v>4.6502429266127535E-2</v>
      </c>
      <c r="G42" s="23"/>
      <c r="H42" s="23"/>
      <c r="I42" s="23"/>
      <c r="J42" s="23"/>
      <c r="K42" s="31">
        <v>0.01</v>
      </c>
      <c r="L42" s="31">
        <v>0.01</v>
      </c>
      <c r="M42" s="31">
        <v>0.01</v>
      </c>
      <c r="N42" s="31">
        <v>0.01</v>
      </c>
      <c r="O42" s="31">
        <v>0.01</v>
      </c>
    </row>
    <row r="43" spans="2:15" x14ac:dyDescent="0.4">
      <c r="B43" s="23" t="s">
        <v>220</v>
      </c>
      <c r="C43" s="31">
        <f>+C42</f>
        <v>1.5757389037659379E-2</v>
      </c>
      <c r="D43" s="31">
        <f t="shared" ref="D43:F43" si="20">+D42</f>
        <v>2.1950725165822697E-2</v>
      </c>
      <c r="E43" s="31">
        <f t="shared" si="20"/>
        <v>1.7634186777598024E-2</v>
      </c>
      <c r="F43" s="31">
        <f t="shared" si="20"/>
        <v>4.6502429266127535E-2</v>
      </c>
      <c r="G43" s="23"/>
      <c r="H43" s="23"/>
      <c r="I43" s="23"/>
      <c r="J43" s="23"/>
      <c r="K43" s="31">
        <v>0</v>
      </c>
      <c r="L43" s="31">
        <v>0</v>
      </c>
      <c r="M43" s="31">
        <v>0</v>
      </c>
      <c r="N43" s="31">
        <v>0</v>
      </c>
      <c r="O43" s="31">
        <v>0</v>
      </c>
    </row>
    <row r="44" spans="2:15" x14ac:dyDescent="0.4">
      <c r="B44" s="23" t="s">
        <v>221</v>
      </c>
      <c r="C44" s="31">
        <f>+C43</f>
        <v>1.5757389037659379E-2</v>
      </c>
      <c r="D44" s="31">
        <f t="shared" ref="D44" si="21">+D43</f>
        <v>2.1950725165822697E-2</v>
      </c>
      <c r="E44" s="31">
        <f t="shared" ref="E44" si="22">+E43</f>
        <v>1.7634186777598024E-2</v>
      </c>
      <c r="F44" s="31">
        <f t="shared" ref="F44" si="23">+F43</f>
        <v>4.6502429266127535E-2</v>
      </c>
      <c r="G44" s="23"/>
      <c r="H44" s="23"/>
      <c r="I44" s="23"/>
      <c r="J44" s="23"/>
      <c r="K44" s="31">
        <v>-0.01</v>
      </c>
      <c r="L44" s="31">
        <v>-0.01</v>
      </c>
      <c r="M44" s="31">
        <v>-0.01</v>
      </c>
      <c r="N44" s="31">
        <v>-0.01</v>
      </c>
      <c r="O44" s="31">
        <v>-0.01</v>
      </c>
    </row>
    <row r="45" spans="2:15" x14ac:dyDescent="0.4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spans="2:15" x14ac:dyDescent="0.4">
      <c r="B46" s="23" t="s">
        <v>261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  <row r="47" spans="2:15" x14ac:dyDescent="0.4">
      <c r="B47" s="26" t="s">
        <v>223</v>
      </c>
      <c r="C47" s="23"/>
      <c r="D47" s="23"/>
      <c r="E47" s="23"/>
      <c r="F47" s="23"/>
      <c r="G47" s="23"/>
      <c r="H47" s="23"/>
      <c r="I47" s="23"/>
      <c r="J47" s="23"/>
      <c r="K47" s="29">
        <f>VLOOKUP($C$2,$B48:$O50,COLUMNS($B48:K50),FALSE)</f>
        <v>0.01</v>
      </c>
      <c r="L47" s="29">
        <f>VLOOKUP($C$2,$B48:$O50,COLUMNS($B48:L50),FALSE)</f>
        <v>0.01</v>
      </c>
      <c r="M47" s="29">
        <f>VLOOKUP($C$2,$B48:$O50,COLUMNS($B48:M50),FALSE)</f>
        <v>0.01</v>
      </c>
      <c r="N47" s="29">
        <f>VLOOKUP($C$2,$B48:$O50,COLUMNS($B48:N50),FALSE)</f>
        <v>0.01</v>
      </c>
      <c r="O47" s="29">
        <f>VLOOKUP($C$2,$B48:$O50,COLUMNS($B48:O50),FALSE)</f>
        <v>0.01</v>
      </c>
    </row>
    <row r="48" spans="2:15" x14ac:dyDescent="0.4">
      <c r="B48" s="23" t="s">
        <v>219</v>
      </c>
      <c r="C48" s="30">
        <f>C11/C4</f>
        <v>1.5758198149202644E-2</v>
      </c>
      <c r="D48" s="30">
        <f t="shared" ref="D48:F48" si="24">D11/D4</f>
        <v>2.0206643702543239E-2</v>
      </c>
      <c r="E48" s="30">
        <f t="shared" si="24"/>
        <v>2.8763206988476588E-2</v>
      </c>
      <c r="F48" s="30">
        <f t="shared" si="24"/>
        <v>3.5079167570042903E-2</v>
      </c>
      <c r="G48" s="23"/>
      <c r="H48" s="23"/>
      <c r="I48" s="23"/>
      <c r="J48" s="23"/>
      <c r="K48" s="31">
        <v>0.01</v>
      </c>
      <c r="L48" s="31">
        <v>0.01</v>
      </c>
      <c r="M48" s="31">
        <v>0.01</v>
      </c>
      <c r="N48" s="31">
        <v>0.01</v>
      </c>
      <c r="O48" s="31">
        <v>0.01</v>
      </c>
    </row>
    <row r="49" spans="2:15" x14ac:dyDescent="0.4">
      <c r="B49" s="23" t="s">
        <v>220</v>
      </c>
      <c r="C49" s="31">
        <f>+C48</f>
        <v>1.5758198149202644E-2</v>
      </c>
      <c r="D49" s="31">
        <f t="shared" ref="D49:F50" si="25">+D48</f>
        <v>2.0206643702543239E-2</v>
      </c>
      <c r="E49" s="31">
        <f t="shared" si="25"/>
        <v>2.8763206988476588E-2</v>
      </c>
      <c r="F49" s="31">
        <f t="shared" si="25"/>
        <v>3.5079167570042903E-2</v>
      </c>
      <c r="G49" s="23"/>
      <c r="H49" s="23"/>
      <c r="I49" s="23"/>
      <c r="J49" s="23"/>
      <c r="K49" s="31">
        <v>0.02</v>
      </c>
      <c r="L49" s="31">
        <v>0.02</v>
      </c>
      <c r="M49" s="31">
        <v>0.02</v>
      </c>
      <c r="N49" s="31">
        <v>0.02</v>
      </c>
      <c r="O49" s="31">
        <v>0.02</v>
      </c>
    </row>
    <row r="50" spans="2:15" x14ac:dyDescent="0.4">
      <c r="B50" s="23" t="s">
        <v>221</v>
      </c>
      <c r="C50" s="31">
        <f>+C49</f>
        <v>1.5758198149202644E-2</v>
      </c>
      <c r="D50" s="31">
        <f t="shared" si="25"/>
        <v>2.0206643702543239E-2</v>
      </c>
      <c r="E50" s="31">
        <f t="shared" si="25"/>
        <v>2.8763206988476588E-2</v>
      </c>
      <c r="F50" s="31">
        <f t="shared" si="25"/>
        <v>3.5079167570042903E-2</v>
      </c>
      <c r="G50" s="23"/>
      <c r="H50" s="23"/>
      <c r="I50" s="23"/>
      <c r="J50" s="23"/>
      <c r="K50" s="31">
        <v>0.03</v>
      </c>
      <c r="L50" s="31">
        <v>0.03</v>
      </c>
      <c r="M50" s="31">
        <v>0.03</v>
      </c>
      <c r="N50" s="31">
        <v>0.03</v>
      </c>
      <c r="O50" s="31">
        <v>0.03</v>
      </c>
    </row>
    <row r="51" spans="2:15" x14ac:dyDescent="0.4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</row>
    <row r="52" spans="2:15" x14ac:dyDescent="0.4">
      <c r="B52" s="23" t="s">
        <v>262</v>
      </c>
      <c r="C52" s="30">
        <f>+C17/C16</f>
        <v>0.33502489726962165</v>
      </c>
      <c r="D52" s="30">
        <f t="shared" ref="D52:F52" si="26">+D17/D16</f>
        <v>0.22824687279578618</v>
      </c>
      <c r="E52" s="30">
        <f t="shared" si="26"/>
        <v>0.24848326397492487</v>
      </c>
      <c r="F52" s="30">
        <f t="shared" si="26"/>
        <v>0.56425916431628542</v>
      </c>
      <c r="G52" s="44"/>
      <c r="H52" s="23"/>
      <c r="I52" s="23"/>
      <c r="J52" s="23"/>
      <c r="K52" s="31">
        <f>AVERAGE(C52:G52)</f>
        <v>0.34400354958915458</v>
      </c>
      <c r="L52" s="31">
        <f>+K52</f>
        <v>0.34400354958915458</v>
      </c>
      <c r="M52" s="31">
        <f t="shared" ref="M52:O52" si="27">+L52</f>
        <v>0.34400354958915458</v>
      </c>
      <c r="N52" s="31">
        <f t="shared" si="27"/>
        <v>0.34400354958915458</v>
      </c>
      <c r="O52" s="31">
        <f t="shared" si="27"/>
        <v>0.34400354958915458</v>
      </c>
    </row>
  </sheetData>
  <phoneticPr fontId="5" type="noConversion"/>
  <conditionalFormatting sqref="H4:I18">
    <cfRule type="iconSet" priority="2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2" xr:uid="{7EAFC1B9-5F21-48D3-B320-9C6B1FFF497D}">
      <formula1>$B$24:$B$26</formula1>
    </dataValidation>
  </dataValidations>
  <pageMargins left="0.7" right="0.7" top="0.75" bottom="0.75" header="0.3" footer="0.3"/>
  <pageSetup orientation="portrait" r:id="rId1"/>
  <ignoredErrors>
    <ignoredError sqref="C15:F15 C17:F17 K17:O17 K15:O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2458-B731-4F63-AA22-5C364361479F}">
  <dimension ref="B1:K26"/>
  <sheetViews>
    <sheetView zoomScale="80" zoomScaleNormal="80" workbookViewId="0">
      <selection activeCell="J22" sqref="J22"/>
    </sheetView>
  </sheetViews>
  <sheetFormatPr defaultRowHeight="17.399999999999999" x14ac:dyDescent="0.4"/>
  <cols>
    <col min="1" max="1" width="5.296875" style="10" customWidth="1"/>
    <col min="2" max="2" width="25.8984375" style="10" bestFit="1" customWidth="1"/>
    <col min="3" max="5" width="16.8984375" style="10" bestFit="1" customWidth="1"/>
    <col min="6" max="6" width="15.796875" style="10" bestFit="1" customWidth="1"/>
    <col min="7" max="11" width="16.8984375" style="10" bestFit="1" customWidth="1"/>
    <col min="12" max="16384" width="8.796875" style="10"/>
  </cols>
  <sheetData>
    <row r="1" spans="2:11" ht="21" x14ac:dyDescent="0.4">
      <c r="B1" s="11" t="s">
        <v>111</v>
      </c>
      <c r="C1" s="19"/>
    </row>
    <row r="2" spans="2:11" x14ac:dyDescent="0.4">
      <c r="G2" s="34" t="s">
        <v>214</v>
      </c>
      <c r="H2" s="34" t="s">
        <v>214</v>
      </c>
      <c r="I2" s="34" t="s">
        <v>214</v>
      </c>
      <c r="J2" s="34" t="s">
        <v>214</v>
      </c>
      <c r="K2" s="34" t="s">
        <v>214</v>
      </c>
    </row>
    <row r="3" spans="2:11" ht="24.6" thickBot="1" x14ac:dyDescent="0.45">
      <c r="B3" s="13" t="s">
        <v>224</v>
      </c>
      <c r="C3" s="21" t="s">
        <v>1</v>
      </c>
      <c r="D3" s="21" t="s">
        <v>0</v>
      </c>
      <c r="E3" s="21" t="s">
        <v>5</v>
      </c>
      <c r="F3" s="21" t="s">
        <v>4</v>
      </c>
      <c r="G3" s="21" t="s">
        <v>225</v>
      </c>
      <c r="H3" s="21" t="s">
        <v>226</v>
      </c>
      <c r="I3" s="21" t="s">
        <v>227</v>
      </c>
      <c r="J3" s="21" t="s">
        <v>228</v>
      </c>
      <c r="K3" s="21" t="s">
        <v>229</v>
      </c>
    </row>
    <row r="4" spans="2:11" ht="18" thickTop="1" x14ac:dyDescent="0.4">
      <c r="B4" s="10" t="s">
        <v>192</v>
      </c>
      <c r="C4" s="32">
        <f>SUMIFS('Data source BS'!$B:$B,'Data source BS'!$G:$G,BS!$B4,'Data source BS'!$C:$C,BS!C$3)</f>
        <v>31682256684</v>
      </c>
      <c r="D4" s="32">
        <f>SUMIFS('Data source BS'!$B:$B,'Data source BS'!$G:$G,BS!$B4,'Data source BS'!$C:$C,BS!D$3)</f>
        <v>27403334034</v>
      </c>
      <c r="E4" s="32">
        <f>SUMIFS('Data source BS'!$B:$B,'Data source BS'!$G:$G,BS!$B4,'Data source BS'!$C:$C,BS!E$3)</f>
        <v>6648385992</v>
      </c>
      <c r="F4" s="32">
        <f>SUMIFS('Data source BS'!$B:$B,'Data source BS'!$G:$G,BS!$B4,'Data source BS'!$C:$C,BS!F$3)</f>
        <v>10022966464</v>
      </c>
      <c r="G4" s="46">
        <f>+F4+'Cash Flow'!G18</f>
        <v>18753918839.874443</v>
      </c>
      <c r="H4" s="46">
        <f>+G4+'Cash Flow'!H18</f>
        <v>22710727292.135063</v>
      </c>
      <c r="I4" s="46">
        <f>+H4+'Cash Flow'!I18</f>
        <v>25950891488.355484</v>
      </c>
      <c r="J4" s="46">
        <f>+I4+'Cash Flow'!J18</f>
        <v>28595999834.482819</v>
      </c>
      <c r="K4" s="46">
        <f>+J4+'Cash Flow'!K18</f>
        <v>30746969385.746174</v>
      </c>
    </row>
    <row r="5" spans="2:11" x14ac:dyDescent="0.4">
      <c r="B5" s="10" t="s">
        <v>285</v>
      </c>
      <c r="C5" s="32">
        <f>SUMIFS('Data source BS'!$B:$B,'Data source BS'!$G:$G,BS!$B5,'Data source BS'!$C:$C,BS!C$3)</f>
        <v>69139848402</v>
      </c>
      <c r="D5" s="32">
        <f>SUMIFS('Data source BS'!$B:$B,'Data source BS'!$G:$G,BS!$B5,'Data source BS'!$C:$C,BS!D$3)</f>
        <v>67159273654</v>
      </c>
      <c r="E5" s="32">
        <f>SUMIFS('Data source BS'!$B:$B,'Data source BS'!$G:$G,BS!$B5,'Data source BS'!$C:$C,BS!E$3)</f>
        <v>70857265449</v>
      </c>
      <c r="F5" s="32">
        <f>SUMIFS('Data source BS'!$B:$B,'Data source BS'!$G:$G,BS!$B5,'Data source BS'!$C:$C,BS!F$3)</f>
        <v>57923994137</v>
      </c>
      <c r="G5" s="32">
        <f>+'P&amp;L'!K4*BS!G17/360</f>
        <v>47335303066.463707</v>
      </c>
      <c r="H5" s="32">
        <f>+'P&amp;L'!L4*BS!H17/360</f>
        <v>39288301545.164879</v>
      </c>
      <c r="I5" s="32">
        <f>+'P&amp;L'!M4*BS!I17/360</f>
        <v>32609290282.486843</v>
      </c>
      <c r="J5" s="32">
        <f>+'P&amp;L'!N4*BS!J17/360</f>
        <v>27065710934.464077</v>
      </c>
      <c r="K5" s="32">
        <f>+'P&amp;L'!O4*BS!K17/360</f>
        <v>22464540075.605183</v>
      </c>
    </row>
    <row r="6" spans="2:11" x14ac:dyDescent="0.4">
      <c r="B6" s="10" t="s">
        <v>202</v>
      </c>
      <c r="C6" s="32">
        <f>SUMIFS('Data source BS'!$B:$B,'Data source BS'!$G:$G,BS!$B6,'Data source BS'!$C:$C,BS!C$3)</f>
        <v>14993871218</v>
      </c>
      <c r="D6" s="32">
        <f>SUMIFS('Data source BS'!$B:$B,'Data source BS'!$G:$G,BS!$B6,'Data source BS'!$C:$C,BS!D$3)</f>
        <v>16927727624</v>
      </c>
      <c r="E6" s="32">
        <f>SUMIFS('Data source BS'!$B:$B,'Data source BS'!$G:$G,BS!$B6,'Data source BS'!$C:$C,BS!E$3)</f>
        <v>10132316304</v>
      </c>
      <c r="F6" s="32">
        <f>SUMIFS('Data source BS'!$B:$B,'Data source BS'!$G:$G,BS!$B6,'Data source BS'!$C:$C,BS!F$3)</f>
        <v>15052210495</v>
      </c>
      <c r="G6" s="32">
        <f>+'P&amp;L'!K5*BS!G19/360</f>
        <v>10078676333.333357</v>
      </c>
      <c r="H6" s="32">
        <f>+'P&amp;L'!L5*BS!H19/360</f>
        <v>8365301356.6666861</v>
      </c>
      <c r="I6" s="32">
        <f>+'P&amp;L'!M5*BS!I19/360</f>
        <v>6943200126.0333481</v>
      </c>
      <c r="J6" s="32">
        <f>+'P&amp;L'!N5*BS!J19/360</f>
        <v>5762856104.6076794</v>
      </c>
      <c r="K6" s="32">
        <f>+'P&amp;L'!O5*BS!K19/360</f>
        <v>4783170566.8243732</v>
      </c>
    </row>
    <row r="7" spans="2:11" x14ac:dyDescent="0.4">
      <c r="B7" s="10" t="s">
        <v>159</v>
      </c>
      <c r="C7" s="32">
        <f>SUMIFS('Data source BS'!$B:$B,'Data source BS'!$G:$G,BS!$B7,'Data source BS'!$C:$C,BS!C$3)</f>
        <v>1050431600</v>
      </c>
      <c r="D7" s="32">
        <f>SUMIFS('Data source BS'!$B:$B,'Data source BS'!$G:$G,BS!$B7,'Data source BS'!$C:$C,BS!D$3)</f>
        <v>1050431600</v>
      </c>
      <c r="E7" s="32">
        <f>SUMIFS('Data source BS'!$B:$B,'Data source BS'!$G:$G,BS!$B7,'Data source BS'!$C:$C,BS!E$3)</f>
        <v>1050431600</v>
      </c>
      <c r="F7" s="32">
        <f>SUMIFS('Data source BS'!$B:$B,'Data source BS'!$G:$G,BS!$B7,'Data source BS'!$C:$C,BS!F$3)</f>
        <v>566667600</v>
      </c>
      <c r="G7" s="32">
        <f>+F7</f>
        <v>566667600</v>
      </c>
      <c r="H7" s="32">
        <f t="shared" ref="H7:K7" si="0">+G7</f>
        <v>566667600</v>
      </c>
      <c r="I7" s="32">
        <f t="shared" si="0"/>
        <v>566667600</v>
      </c>
      <c r="J7" s="32">
        <f t="shared" si="0"/>
        <v>566667600</v>
      </c>
      <c r="K7" s="32">
        <f t="shared" si="0"/>
        <v>566667600</v>
      </c>
    </row>
    <row r="8" spans="2:11" x14ac:dyDescent="0.4">
      <c r="B8" s="10" t="s">
        <v>239</v>
      </c>
      <c r="C8" s="32">
        <f>SUMIFS('Data source BS'!$B:$B,'Data source BS'!$G:$G,BS!$B8,'Data source BS'!$C:$C,BS!C$3)</f>
        <v>4060883031</v>
      </c>
      <c r="D8" s="32">
        <f>SUMIFS('Data source BS'!$B:$B,'Data source BS'!$G:$G,BS!$B8,'Data source BS'!$C:$C,BS!D$3)</f>
        <v>3911768960</v>
      </c>
      <c r="E8" s="32">
        <f>SUMIFS('Data source BS'!$B:$B,'Data source BS'!$G:$G,BS!$B8,'Data source BS'!$C:$C,BS!E$3)</f>
        <v>3702722010</v>
      </c>
      <c r="F8" s="32">
        <f>SUMIFS('Data source BS'!$B:$B,'Data source BS'!$G:$G,BS!$B8,'Data source BS'!$C:$C,BS!F$3)</f>
        <v>4097450298</v>
      </c>
      <c r="G8" s="32">
        <f>+'Fixed Asset Roll Forward'!G7</f>
        <v>4119910828.6269159</v>
      </c>
      <c r="H8" s="32">
        <f>+'Fixed Asset Roll Forward'!H7</f>
        <v>4142494478.6083946</v>
      </c>
      <c r="I8" s="32">
        <f>+'Fixed Asset Roll Forward'!I7</f>
        <v>4165201922.8339</v>
      </c>
      <c r="J8" s="32">
        <f>+'Fixed Asset Roll Forward'!J7</f>
        <v>4188033839.8923607</v>
      </c>
      <c r="K8" s="32">
        <f>+'Fixed Asset Roll Forward'!K7</f>
        <v>4210990912.0924501</v>
      </c>
    </row>
    <row r="9" spans="2:11" x14ac:dyDescent="0.4">
      <c r="B9" s="10" t="s">
        <v>237</v>
      </c>
      <c r="C9" s="32">
        <f>SUMIFS('Data source BS'!$B:$B,'Data source BS'!$G:$G,BS!$B9,'Data source BS'!$C:$C,BS!C$3)</f>
        <v>7226011101</v>
      </c>
      <c r="D9" s="32">
        <f>SUMIFS('Data source BS'!$B:$B,'Data source BS'!$G:$G,BS!$B9,'Data source BS'!$C:$C,BS!D$3)</f>
        <v>7938637368</v>
      </c>
      <c r="E9" s="32">
        <f>SUMIFS('Data source BS'!$B:$B,'Data source BS'!$G:$G,BS!$B9,'Data source BS'!$C:$C,BS!E$3)</f>
        <v>8474538703</v>
      </c>
      <c r="F9" s="32">
        <f>SUMIFS('Data source BS'!$B:$B,'Data source BS'!$G:$G,BS!$B9,'Data source BS'!$C:$C,BS!F$3)</f>
        <v>8323387775</v>
      </c>
      <c r="G9" s="32">
        <f>+'P&amp;L'!K4*BS!G20</f>
        <v>5764704039.4377718</v>
      </c>
      <c r="H9" s="32">
        <f>+'P&amp;L'!L4*BS!H20</f>
        <v>4784704352.7333508</v>
      </c>
      <c r="I9" s="32">
        <f>+'P&amp;L'!M4*BS!I20</f>
        <v>3971304612.7686806</v>
      </c>
      <c r="J9" s="32">
        <f>+'P&amp;L'!N4*BS!J20</f>
        <v>3296182828.5980048</v>
      </c>
      <c r="K9" s="32">
        <f>+'P&amp;L'!O4*BS!K20</f>
        <v>2735831747.7363439</v>
      </c>
    </row>
    <row r="10" spans="2:11" ht="18" thickBot="1" x14ac:dyDescent="0.45">
      <c r="B10" s="14" t="s">
        <v>212</v>
      </c>
      <c r="C10" s="33">
        <f t="shared" ref="C10:K10" si="1">SUM(C4:C9)</f>
        <v>128153302036</v>
      </c>
      <c r="D10" s="33">
        <f t="shared" si="1"/>
        <v>124391173240</v>
      </c>
      <c r="E10" s="33">
        <f t="shared" si="1"/>
        <v>100865660058</v>
      </c>
      <c r="F10" s="33">
        <f t="shared" si="1"/>
        <v>95986676769</v>
      </c>
      <c r="G10" s="33">
        <f t="shared" si="1"/>
        <v>86619180707.736206</v>
      </c>
      <c r="H10" s="33">
        <f t="shared" si="1"/>
        <v>79858196625.30838</v>
      </c>
      <c r="I10" s="33">
        <f t="shared" si="1"/>
        <v>74206556032.478256</v>
      </c>
      <c r="J10" s="33">
        <f t="shared" si="1"/>
        <v>69475451142.044952</v>
      </c>
      <c r="K10" s="33">
        <f t="shared" si="1"/>
        <v>65508170288.004524</v>
      </c>
    </row>
    <row r="11" spans="2:11" x14ac:dyDescent="0.4">
      <c r="B11" s="10" t="s">
        <v>206</v>
      </c>
      <c r="C11" s="32">
        <f>SUMIFS('Data source BS'!$B:$B,'Data source BS'!$G:$G,BS!$B11,'Data source BS'!$C:$C,BS!C$3)</f>
        <v>79807416891</v>
      </c>
      <c r="D11" s="32">
        <f>SUMIFS('Data source BS'!$B:$B,'Data source BS'!$G:$G,BS!$B11,'Data source BS'!$C:$C,BS!D$3)</f>
        <v>71491112355</v>
      </c>
      <c r="E11" s="32">
        <f>SUMIFS('Data source BS'!$B:$B,'Data source BS'!$G:$G,BS!$B11,'Data source BS'!$C:$C,BS!E$3)</f>
        <v>50836087221</v>
      </c>
      <c r="F11" s="32">
        <f>SUMIFS('Data source BS'!$B:$B,'Data source BS'!$G:$G,BS!$B11,'Data source BS'!$C:$C,BS!F$3)</f>
        <v>40817513240</v>
      </c>
      <c r="G11" s="32">
        <f>+G18*'P&amp;L'!K5/360</f>
        <v>41904990765.508652</v>
      </c>
      <c r="H11" s="32">
        <f>+H18*'P&amp;L'!L5/360</f>
        <v>34781142335.372185</v>
      </c>
      <c r="I11" s="32">
        <f>+I18*'P&amp;L'!M5/360</f>
        <v>28868348138.35891</v>
      </c>
      <c r="J11" s="32">
        <f>+J18*'P&amp;L'!N5/360</f>
        <v>23960728954.837894</v>
      </c>
      <c r="K11" s="32">
        <f>+K18*'P&amp;L'!O5/360</f>
        <v>19887405032.51545</v>
      </c>
    </row>
    <row r="12" spans="2:11" x14ac:dyDescent="0.4">
      <c r="B12" s="10" t="s">
        <v>241</v>
      </c>
      <c r="C12" s="32">
        <f>SUMIFS('Data source BS'!$B:$B,'Data source BS'!$G:$G,BS!$B12,'Data source BS'!$C:$C,BS!C$3)</f>
        <v>0</v>
      </c>
      <c r="D12" s="32">
        <f>SUMIFS('Data source BS'!$B:$B,'Data source BS'!$G:$G,BS!$B12,'Data source BS'!$C:$C,BS!D$3)</f>
        <v>0</v>
      </c>
      <c r="E12" s="32">
        <f>SUMIFS('Data source BS'!$B:$B,'Data source BS'!$G:$G,BS!$B12,'Data source BS'!$C:$C,BS!E$3)</f>
        <v>3996738194</v>
      </c>
      <c r="F12" s="32">
        <f>SUMIFS('Data source BS'!$B:$B,'Data source BS'!$G:$G,BS!$B12,'Data source BS'!$C:$C,BS!F$3)</f>
        <v>2121341492</v>
      </c>
      <c r="G12" s="32">
        <f>+'Financial Liabilities'!G7</f>
        <v>0</v>
      </c>
      <c r="H12" s="32">
        <f>+'Financial Liabilities'!H7</f>
        <v>0</v>
      </c>
      <c r="I12" s="32">
        <f>+'Financial Liabilities'!I7</f>
        <v>0</v>
      </c>
      <c r="J12" s="32">
        <f>+'Financial Liabilities'!J7</f>
        <v>0</v>
      </c>
      <c r="K12" s="32">
        <f>+'Financial Liabilities'!K7</f>
        <v>0</v>
      </c>
    </row>
    <row r="13" spans="2:11" x14ac:dyDescent="0.4">
      <c r="B13" s="10" t="s">
        <v>238</v>
      </c>
      <c r="C13" s="32">
        <f>SUMIFS('Data source BS'!$B:$B,'Data source BS'!$G:$G,BS!$B13,'Data source BS'!$C:$C,BS!C$3)</f>
        <v>24786080991</v>
      </c>
      <c r="D13" s="32">
        <f>SUMIFS('Data source BS'!$B:$B,'Data source BS'!$G:$G,BS!$B13,'Data source BS'!$C:$C,BS!D$3)</f>
        <v>31171342917</v>
      </c>
      <c r="E13" s="32">
        <f>SUMIFS('Data source BS'!$B:$B,'Data source BS'!$G:$G,BS!$B13,'Data source BS'!$C:$C,BS!E$3)</f>
        <v>30517921570</v>
      </c>
      <c r="F13" s="32">
        <f>SUMIFS('Data source BS'!$B:$B,'Data source BS'!$G:$G,BS!$B13,'Data source BS'!$C:$C,BS!F$3)</f>
        <v>35479226776</v>
      </c>
      <c r="G13" s="32">
        <f>+'P&amp;L'!K4*BS!G21</f>
        <v>22141063674.099522</v>
      </c>
      <c r="H13" s="32">
        <f>+'P&amp;L'!L4*BS!H21</f>
        <v>18377082849.502602</v>
      </c>
      <c r="I13" s="32">
        <f>+'P&amp;L'!M4*BS!I21</f>
        <v>15252978765.087158</v>
      </c>
      <c r="J13" s="32">
        <f>+'P&amp;L'!N4*BS!J21</f>
        <v>12659972375.022341</v>
      </c>
      <c r="K13" s="32">
        <f>+'P&amp;L'!O4*BS!K21</f>
        <v>10507777071.268541</v>
      </c>
    </row>
    <row r="14" spans="2:11" x14ac:dyDescent="0.4">
      <c r="B14" s="10" t="s">
        <v>211</v>
      </c>
      <c r="C14" s="32">
        <f>SUMIFS('Data source BS'!$B:$B,'Data source BS'!$C:$C,BS!C$3,'Data source BS'!$F:$F,BS!$B14)</f>
        <v>23559804154</v>
      </c>
      <c r="D14" s="32">
        <f>SUMIFS('Data source BS'!$B:$B,'Data source BS'!$C:$C,BS!D$3,'Data source BS'!$F:$F,BS!$B14)</f>
        <v>21728717968</v>
      </c>
      <c r="E14" s="32">
        <f>SUMIFS('Data source BS'!$B:$B,'Data source BS'!$C:$C,BS!E$3,'Data source BS'!$F:$F,BS!$B14)</f>
        <v>15514913073</v>
      </c>
      <c r="F14" s="32">
        <f>SUMIFS('Data source BS'!$B:$B,'Data source BS'!$C:$C,BS!F$3,'Data source BS'!$F:$F,BS!$B14)</f>
        <v>17568595261</v>
      </c>
      <c r="G14" s="32">
        <f>+'Equity Schedule'!G8</f>
        <v>22573126268.128017</v>
      </c>
      <c r="H14" s="32">
        <f>+'Equity Schedule'!H8</f>
        <v>26699971440.433582</v>
      </c>
      <c r="I14" s="32">
        <f>+'Equity Schedule'!I8</f>
        <v>30085229129.032185</v>
      </c>
      <c r="J14" s="32">
        <f>+'Equity Schedule'!J8</f>
        <v>32854749812.1847</v>
      </c>
      <c r="K14" s="32">
        <f>+'Equity Schedule'!K8</f>
        <v>35112988184.220528</v>
      </c>
    </row>
    <row r="15" spans="2:11" ht="18" thickBot="1" x14ac:dyDescent="0.45">
      <c r="B15" s="14" t="s">
        <v>242</v>
      </c>
      <c r="C15" s="33">
        <f>SUM(C11:C14)</f>
        <v>128153302036</v>
      </c>
      <c r="D15" s="33">
        <f>SUM(D11:D14)</f>
        <v>124391173240</v>
      </c>
      <c r="E15" s="33">
        <f>SUM(E11:E14)</f>
        <v>100865660058</v>
      </c>
      <c r="F15" s="33">
        <f>SUM(F11:F14)</f>
        <v>95986676769</v>
      </c>
      <c r="G15" s="33">
        <f>SUM(G11:G14)</f>
        <v>86619180707.736191</v>
      </c>
      <c r="H15" s="33">
        <f>SUM(H11:H14)</f>
        <v>79858196625.308365</v>
      </c>
      <c r="I15" s="33">
        <f>SUM(I11:I14)</f>
        <v>74206556032.478256</v>
      </c>
      <c r="J15" s="33">
        <f>SUM(J11:J14)</f>
        <v>69475451142.044937</v>
      </c>
      <c r="K15" s="33">
        <f>SUM(K11:K14)</f>
        <v>65508170288.004517</v>
      </c>
    </row>
    <row r="17" spans="2:11" x14ac:dyDescent="0.4">
      <c r="B17" s="23" t="s">
        <v>230</v>
      </c>
      <c r="C17" s="35">
        <f>+C5/'P&amp;L'!C4*360</f>
        <v>97.505438571965769</v>
      </c>
      <c r="D17" s="35">
        <f>+D5/'P&amp;L'!D4*360</f>
        <v>99.04550924298168</v>
      </c>
      <c r="E17" s="35">
        <f>+E5/'P&amp;L'!E4*360</f>
        <v>108.64239499964572</v>
      </c>
      <c r="F17" s="35">
        <f>+F5/'P&amp;L'!F4*360</f>
        <v>103.86739423723546</v>
      </c>
      <c r="G17" s="36">
        <f>AVERAGE(C17:F17)</f>
        <v>102.26518426295715</v>
      </c>
      <c r="H17" s="36">
        <f>+G17</f>
        <v>102.26518426295715</v>
      </c>
      <c r="I17" s="36">
        <f t="shared" ref="I17:K17" si="2">+H17</f>
        <v>102.26518426295715</v>
      </c>
      <c r="J17" s="36">
        <f t="shared" si="2"/>
        <v>102.26518426295715</v>
      </c>
      <c r="K17" s="36">
        <f t="shared" si="2"/>
        <v>102.26518426295715</v>
      </c>
    </row>
    <row r="18" spans="2:11" x14ac:dyDescent="0.4">
      <c r="B18" s="23" t="s">
        <v>231</v>
      </c>
      <c r="C18" s="35">
        <f>+C11/'P&amp;L'!C5*360</f>
        <v>154.75985326432144</v>
      </c>
      <c r="D18" s="35">
        <f>+D11/'P&amp;L'!D5*360</f>
        <v>145.85149809038782</v>
      </c>
      <c r="E18" s="35">
        <f>+E11/'P&amp;L'!E5*360</f>
        <v>107.23190249951085</v>
      </c>
      <c r="F18" s="35">
        <f>+F11/'P&amp;L'!F5*360</f>
        <v>102.20355539570959</v>
      </c>
      <c r="G18" s="36">
        <f t="shared" ref="G18:G22" si="3">AVERAGE(C18:F18)</f>
        <v>127.51170231248243</v>
      </c>
      <c r="H18" s="36">
        <f t="shared" ref="H18:K21" si="4">+G18</f>
        <v>127.51170231248243</v>
      </c>
      <c r="I18" s="36">
        <f t="shared" si="4"/>
        <v>127.51170231248243</v>
      </c>
      <c r="J18" s="36">
        <f t="shared" si="4"/>
        <v>127.51170231248243</v>
      </c>
      <c r="K18" s="36">
        <f t="shared" si="4"/>
        <v>127.51170231248243</v>
      </c>
    </row>
    <row r="19" spans="2:11" x14ac:dyDescent="0.4">
      <c r="B19" s="23" t="s">
        <v>232</v>
      </c>
      <c r="C19" s="35">
        <f>+C6/'P&amp;L'!C5*360</f>
        <v>29.075609761070879</v>
      </c>
      <c r="D19" s="35">
        <f>+D6/'P&amp;L'!D5*360</f>
        <v>34.534844288987578</v>
      </c>
      <c r="E19" s="35">
        <f>+E6/'P&amp;L'!E5*360</f>
        <v>21.37276122926912</v>
      </c>
      <c r="F19" s="35">
        <f>+F6/'P&amp;L'!F5*360</f>
        <v>37.689445217011311</v>
      </c>
      <c r="G19" s="36">
        <f t="shared" si="3"/>
        <v>30.668165124084723</v>
      </c>
      <c r="H19" s="36">
        <f t="shared" si="4"/>
        <v>30.668165124084723</v>
      </c>
      <c r="I19" s="36">
        <f t="shared" si="4"/>
        <v>30.668165124084723</v>
      </c>
      <c r="J19" s="36">
        <f t="shared" si="4"/>
        <v>30.668165124084723</v>
      </c>
      <c r="K19" s="36">
        <f t="shared" si="4"/>
        <v>30.668165124084723</v>
      </c>
    </row>
    <row r="20" spans="2:11" x14ac:dyDescent="0.4">
      <c r="B20" s="23" t="s">
        <v>233</v>
      </c>
      <c r="C20" s="29">
        <f>SUM(C9:C9)/'P&amp;L'!C4</f>
        <v>2.8307175714369349E-2</v>
      </c>
      <c r="D20" s="29">
        <f>SUM(D9:D9)/'P&amp;L'!D4</f>
        <v>3.2521626824507169E-2</v>
      </c>
      <c r="E20" s="29">
        <f>SUM(E9:E9)/'P&amp;L'!E4</f>
        <v>3.6093459442607161E-2</v>
      </c>
      <c r="F20" s="29">
        <f>SUM(F9:F9)/'P&amp;L'!F4</f>
        <v>4.1458956128427885E-2</v>
      </c>
      <c r="G20" s="29">
        <f t="shared" si="3"/>
        <v>3.4595304527477888E-2</v>
      </c>
      <c r="H20" s="29">
        <f t="shared" si="4"/>
        <v>3.4595304527477888E-2</v>
      </c>
      <c r="I20" s="29">
        <f t="shared" si="4"/>
        <v>3.4595304527477888E-2</v>
      </c>
      <c r="J20" s="29">
        <f t="shared" si="4"/>
        <v>3.4595304527477888E-2</v>
      </c>
      <c r="K20" s="29">
        <f t="shared" si="4"/>
        <v>3.4595304527477888E-2</v>
      </c>
    </row>
    <row r="21" spans="2:11" x14ac:dyDescent="0.4">
      <c r="B21" s="23" t="s">
        <v>234</v>
      </c>
      <c r="C21" s="29">
        <f>SUM(C13)/'P&amp;L'!C4</f>
        <v>9.7096993081802765E-2</v>
      </c>
      <c r="D21" s="29">
        <f>SUM(D13)/'P&amp;L'!D4</f>
        <v>0.12769732826589777</v>
      </c>
      <c r="E21" s="29">
        <f>SUM(E13)/'P&amp;L'!E4</f>
        <v>0.12997726520141203</v>
      </c>
      <c r="F21" s="29">
        <f>SUM(F13)/'P&amp;L'!F4</f>
        <v>0.17672271749668997</v>
      </c>
      <c r="G21" s="29">
        <f t="shared" si="3"/>
        <v>0.13287357601145064</v>
      </c>
      <c r="H21" s="29">
        <f t="shared" si="4"/>
        <v>0.13287357601145064</v>
      </c>
      <c r="I21" s="29">
        <f t="shared" si="4"/>
        <v>0.13287357601145064</v>
      </c>
      <c r="J21" s="29">
        <f t="shared" si="4"/>
        <v>0.13287357601145064</v>
      </c>
      <c r="K21" s="29">
        <f t="shared" si="4"/>
        <v>0.13287357601145064</v>
      </c>
    </row>
    <row r="22" spans="2:11" x14ac:dyDescent="0.4">
      <c r="B22" s="23"/>
      <c r="C22" s="29"/>
      <c r="D22" s="29"/>
      <c r="E22" s="29"/>
      <c r="F22" s="29"/>
      <c r="G22" s="29"/>
      <c r="H22" s="29"/>
      <c r="I22" s="29"/>
      <c r="J22" s="29"/>
      <c r="K22" s="29"/>
    </row>
    <row r="26" spans="2:11" x14ac:dyDescent="0.4">
      <c r="B26" s="10" t="s">
        <v>213</v>
      </c>
      <c r="C26" s="19">
        <f>+C10-C15</f>
        <v>0</v>
      </c>
      <c r="D26" s="19">
        <f>+D10-D15</f>
        <v>0</v>
      </c>
      <c r="E26" s="19">
        <f>+E10-E15</f>
        <v>0</v>
      </c>
      <c r="F26" s="19">
        <f>+F10-F15</f>
        <v>0</v>
      </c>
      <c r="G26" s="19">
        <f>+G10-G15</f>
        <v>0</v>
      </c>
      <c r="H26" s="19">
        <f>+H10-H15</f>
        <v>0</v>
      </c>
      <c r="I26" s="19">
        <f>+I10-I15</f>
        <v>0</v>
      </c>
      <c r="J26" s="19">
        <f>+J10-J15</f>
        <v>0</v>
      </c>
      <c r="K26" s="19">
        <f>+K10-K15</f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AC4A-D071-4DED-B316-542155280633}">
  <dimension ref="B1:K10"/>
  <sheetViews>
    <sheetView zoomScale="85" zoomScaleNormal="85" workbookViewId="0">
      <selection activeCell="J22" sqref="J22"/>
    </sheetView>
  </sheetViews>
  <sheetFormatPr defaultRowHeight="17.399999999999999" x14ac:dyDescent="0.4"/>
  <cols>
    <col min="1" max="1" width="3.19921875" style="10" customWidth="1"/>
    <col min="2" max="2" width="21.59765625" style="10" customWidth="1"/>
    <col min="3" max="11" width="14.59765625" style="10" bestFit="1" customWidth="1"/>
    <col min="12" max="16384" width="8.796875" style="10"/>
  </cols>
  <sheetData>
    <row r="1" spans="2:11" ht="21" x14ac:dyDescent="0.4">
      <c r="B1" s="11" t="s">
        <v>243</v>
      </c>
      <c r="C1" s="19"/>
    </row>
    <row r="2" spans="2:11" x14ac:dyDescent="0.4">
      <c r="G2" s="34" t="s">
        <v>214</v>
      </c>
      <c r="H2" s="34" t="s">
        <v>214</v>
      </c>
      <c r="I2" s="34" t="s">
        <v>214</v>
      </c>
      <c r="J2" s="34" t="s">
        <v>214</v>
      </c>
      <c r="K2" s="34" t="s">
        <v>214</v>
      </c>
    </row>
    <row r="3" spans="2:11" ht="24.6" thickBot="1" x14ac:dyDescent="0.45">
      <c r="B3" s="13" t="s">
        <v>224</v>
      </c>
      <c r="C3" s="21" t="s">
        <v>1</v>
      </c>
      <c r="D3" s="21" t="s">
        <v>0</v>
      </c>
      <c r="E3" s="21" t="s">
        <v>5</v>
      </c>
      <c r="F3" s="21" t="s">
        <v>4</v>
      </c>
      <c r="G3" s="21" t="s">
        <v>225</v>
      </c>
      <c r="H3" s="21" t="s">
        <v>226</v>
      </c>
      <c r="I3" s="21" t="s">
        <v>227</v>
      </c>
      <c r="J3" s="21" t="s">
        <v>228</v>
      </c>
      <c r="K3" s="21" t="s">
        <v>229</v>
      </c>
    </row>
    <row r="4" spans="2:11" ht="18" thickTop="1" x14ac:dyDescent="0.4">
      <c r="B4" s="10" t="s">
        <v>244</v>
      </c>
      <c r="C4" s="39"/>
      <c r="D4" s="37">
        <f>+BS!C8</f>
        <v>4060883031</v>
      </c>
      <c r="E4" s="37">
        <f>+BS!D8</f>
        <v>3911768960</v>
      </c>
      <c r="F4" s="37">
        <f>+BS!E8</f>
        <v>3702722010</v>
      </c>
      <c r="G4" s="37">
        <f>+F7</f>
        <v>4097450298</v>
      </c>
      <c r="H4" s="37">
        <f t="shared" ref="H4:K4" si="0">+G7</f>
        <v>4119910828.6269159</v>
      </c>
      <c r="I4" s="37">
        <f t="shared" si="0"/>
        <v>4142494478.6083946</v>
      </c>
      <c r="J4" s="37">
        <f t="shared" si="0"/>
        <v>4165201922.8339</v>
      </c>
      <c r="K4" s="37">
        <f t="shared" si="0"/>
        <v>4188033839.8923607</v>
      </c>
    </row>
    <row r="5" spans="2:11" x14ac:dyDescent="0.4">
      <c r="B5" s="10" t="s">
        <v>121</v>
      </c>
      <c r="C5" s="39"/>
      <c r="D5" s="37">
        <f>+'P&amp;L'!D8</f>
        <v>559182423</v>
      </c>
      <c r="E5" s="37">
        <f>+'P&amp;L'!E8</f>
        <v>560425554</v>
      </c>
      <c r="F5" s="37">
        <f>+'P&amp;L'!F8</f>
        <v>522047136</v>
      </c>
      <c r="G5" s="37">
        <f>+G4*G9</f>
        <v>576315038.42187881</v>
      </c>
      <c r="H5" s="37">
        <f t="shared" ref="H5:K5" si="1">+H4*H9</f>
        <v>579474159.49225402</v>
      </c>
      <c r="I5" s="37">
        <f t="shared" si="1"/>
        <v>582650597.55988228</v>
      </c>
      <c r="J5" s="37">
        <f t="shared" si="1"/>
        <v>585844447.54939222</v>
      </c>
      <c r="K5" s="37">
        <f t="shared" si="1"/>
        <v>589055804.9057498</v>
      </c>
    </row>
    <row r="6" spans="2:11" x14ac:dyDescent="0.4">
      <c r="B6" s="10" t="s">
        <v>245</v>
      </c>
      <c r="C6" s="39"/>
      <c r="D6" s="37">
        <f>+D7-D4+D5</f>
        <v>410068352</v>
      </c>
      <c r="E6" s="37">
        <f t="shared" ref="E6:F6" si="2">+E7-E4+E5</f>
        <v>351378604</v>
      </c>
      <c r="F6" s="37">
        <f t="shared" si="2"/>
        <v>916775424</v>
      </c>
      <c r="G6" s="37">
        <f>+G4*G10</f>
        <v>598775569.04879475</v>
      </c>
      <c r="H6" s="37">
        <f t="shared" ref="H6:K6" si="3">+H4*H10</f>
        <v>602057809.47373271</v>
      </c>
      <c r="I6" s="37">
        <f t="shared" si="3"/>
        <v>605358041.7853874</v>
      </c>
      <c r="J6" s="37">
        <f t="shared" si="3"/>
        <v>608676364.6078527</v>
      </c>
      <c r="K6" s="37">
        <f t="shared" si="3"/>
        <v>612012877.10583901</v>
      </c>
    </row>
    <row r="7" spans="2:11" ht="18" thickBot="1" x14ac:dyDescent="0.45">
      <c r="B7" s="14" t="s">
        <v>246</v>
      </c>
      <c r="C7" s="40">
        <f>SUM(C4:C6)</f>
        <v>0</v>
      </c>
      <c r="D7" s="38">
        <f>+BS!D8</f>
        <v>3911768960</v>
      </c>
      <c r="E7" s="38">
        <f>+BS!E8</f>
        <v>3702722010</v>
      </c>
      <c r="F7" s="38">
        <f>+BS!F8</f>
        <v>4097450298</v>
      </c>
      <c r="G7" s="38">
        <f>+G4-G5+G6</f>
        <v>4119910828.6269159</v>
      </c>
      <c r="H7" s="38">
        <f t="shared" ref="H7:K7" si="4">+H4-H5+H6</f>
        <v>4142494478.6083946</v>
      </c>
      <c r="I7" s="38">
        <f t="shared" si="4"/>
        <v>4165201922.8339</v>
      </c>
      <c r="J7" s="38">
        <f t="shared" si="4"/>
        <v>4188033839.8923607</v>
      </c>
      <c r="K7" s="38">
        <f t="shared" si="4"/>
        <v>4210990912.0924501</v>
      </c>
    </row>
    <row r="9" spans="2:11" x14ac:dyDescent="0.4">
      <c r="B9" s="23" t="s">
        <v>247</v>
      </c>
      <c r="C9" s="23"/>
      <c r="D9" s="29">
        <f>+D5/D4</f>
        <v>0.13769971179453064</v>
      </c>
      <c r="E9" s="29">
        <f t="shared" ref="E9:F9" si="5">+E5/E4</f>
        <v>0.14326652717240232</v>
      </c>
      <c r="F9" s="29">
        <f t="shared" si="5"/>
        <v>0.1409900971744838</v>
      </c>
      <c r="G9" s="41">
        <f>AVERAGE(D9:F9)</f>
        <v>0.14065211204713893</v>
      </c>
      <c r="H9" s="41">
        <f>+G9</f>
        <v>0.14065211204713893</v>
      </c>
      <c r="I9" s="41">
        <f t="shared" ref="I9:K9" si="6">+H9</f>
        <v>0.14065211204713893</v>
      </c>
      <c r="J9" s="41">
        <f t="shared" si="6"/>
        <v>0.14065211204713893</v>
      </c>
      <c r="K9" s="41">
        <f t="shared" si="6"/>
        <v>0.14065211204713893</v>
      </c>
    </row>
    <row r="10" spans="2:11" x14ac:dyDescent="0.4">
      <c r="B10" s="23" t="s">
        <v>248</v>
      </c>
      <c r="C10" s="23"/>
      <c r="D10" s="29">
        <f>+D6/D4</f>
        <v>0.10098009444488233</v>
      </c>
      <c r="E10" s="29">
        <f t="shared" ref="E10:F10" si="7">+E6/E4</f>
        <v>8.9826011605756997E-2</v>
      </c>
      <c r="F10" s="29">
        <f t="shared" si="7"/>
        <v>0.24759499133989807</v>
      </c>
      <c r="G10" s="41">
        <f>AVERAGE(D10:F10)</f>
        <v>0.14613369913017912</v>
      </c>
      <c r="H10" s="41">
        <f>+G10</f>
        <v>0.14613369913017912</v>
      </c>
      <c r="I10" s="41">
        <f t="shared" ref="I10:K10" si="8">+H10</f>
        <v>0.14613369913017912</v>
      </c>
      <c r="J10" s="41">
        <f t="shared" si="8"/>
        <v>0.14613369913017912</v>
      </c>
      <c r="K10" s="41">
        <f t="shared" si="8"/>
        <v>0.14613369913017912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CC69-A29B-4C37-9490-16E57BAB0263}">
  <dimension ref="B1:K18"/>
  <sheetViews>
    <sheetView zoomScale="85" zoomScaleNormal="85" workbookViewId="0">
      <selection activeCell="J22" sqref="J22"/>
    </sheetView>
  </sheetViews>
  <sheetFormatPr defaultRowHeight="17.399999999999999" x14ac:dyDescent="0.4"/>
  <cols>
    <col min="1" max="1" width="3.19921875" style="10" customWidth="1"/>
    <col min="2" max="2" width="21.59765625" style="10" customWidth="1"/>
    <col min="3" max="3" width="16.296875" style="10" bestFit="1" customWidth="1"/>
    <col min="4" max="11" width="14.59765625" style="10" bestFit="1" customWidth="1"/>
    <col min="12" max="16384" width="8.796875" style="10"/>
  </cols>
  <sheetData>
    <row r="1" spans="2:11" ht="21" x14ac:dyDescent="0.4">
      <c r="B1" s="11" t="s">
        <v>241</v>
      </c>
      <c r="C1" s="19"/>
    </row>
    <row r="2" spans="2:11" x14ac:dyDescent="0.4">
      <c r="G2" s="34" t="s">
        <v>214</v>
      </c>
      <c r="H2" s="34" t="s">
        <v>214</v>
      </c>
      <c r="I2" s="34" t="s">
        <v>214</v>
      </c>
      <c r="J2" s="34" t="s">
        <v>214</v>
      </c>
      <c r="K2" s="34" t="s">
        <v>214</v>
      </c>
    </row>
    <row r="3" spans="2:11" ht="24.6" thickBot="1" x14ac:dyDescent="0.45">
      <c r="B3" s="13" t="s">
        <v>224</v>
      </c>
      <c r="C3" s="21" t="s">
        <v>1</v>
      </c>
      <c r="D3" s="21" t="s">
        <v>0</v>
      </c>
      <c r="E3" s="21" t="s">
        <v>5</v>
      </c>
      <c r="F3" s="21" t="s">
        <v>4</v>
      </c>
      <c r="G3" s="21" t="s">
        <v>225</v>
      </c>
      <c r="H3" s="21" t="s">
        <v>226</v>
      </c>
      <c r="I3" s="21" t="s">
        <v>227</v>
      </c>
      <c r="J3" s="21" t="s">
        <v>228</v>
      </c>
      <c r="K3" s="21" t="s">
        <v>229</v>
      </c>
    </row>
    <row r="4" spans="2:11" ht="18" thickTop="1" x14ac:dyDescent="0.4">
      <c r="B4" s="10" t="s">
        <v>249</v>
      </c>
      <c r="C4" s="39"/>
      <c r="D4" s="37">
        <f>+C7</f>
        <v>0</v>
      </c>
      <c r="E4" s="37">
        <f t="shared" ref="E4:K4" si="0">+D7</f>
        <v>0</v>
      </c>
      <c r="F4" s="37">
        <f t="shared" si="0"/>
        <v>3996738194</v>
      </c>
      <c r="G4" s="37">
        <f t="shared" si="0"/>
        <v>2121341492</v>
      </c>
      <c r="H4" s="37">
        <f t="shared" si="0"/>
        <v>0</v>
      </c>
      <c r="I4" s="37">
        <f t="shared" si="0"/>
        <v>0</v>
      </c>
      <c r="J4" s="37">
        <f t="shared" si="0"/>
        <v>0</v>
      </c>
      <c r="K4" s="37">
        <f t="shared" si="0"/>
        <v>0</v>
      </c>
    </row>
    <row r="5" spans="2:11" x14ac:dyDescent="0.4">
      <c r="B5" s="10" t="s">
        <v>250</v>
      </c>
      <c r="C5" s="39"/>
      <c r="D5" s="37"/>
      <c r="E5" s="37">
        <v>3996734197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</row>
    <row r="6" spans="2:11" x14ac:dyDescent="0.4">
      <c r="B6" s="10" t="s">
        <v>251</v>
      </c>
      <c r="C6" s="39"/>
      <c r="D6" s="37"/>
      <c r="E6" s="37">
        <f>+E7-E4-E5</f>
        <v>3997</v>
      </c>
      <c r="F6" s="37">
        <f>+F7-F4-F5</f>
        <v>-1875396702</v>
      </c>
      <c r="G6" s="37">
        <f>+C17</f>
        <v>-2121341492.0000002</v>
      </c>
      <c r="H6" s="37">
        <f t="shared" ref="H6:K6" si="1">+D17</f>
        <v>0</v>
      </c>
      <c r="I6" s="37">
        <f t="shared" si="1"/>
        <v>0</v>
      </c>
      <c r="J6" s="37">
        <f t="shared" si="1"/>
        <v>0</v>
      </c>
      <c r="K6" s="37">
        <f t="shared" si="1"/>
        <v>0</v>
      </c>
    </row>
    <row r="7" spans="2:11" ht="18" thickBot="1" x14ac:dyDescent="0.45">
      <c r="B7" s="14" t="s">
        <v>252</v>
      </c>
      <c r="C7" s="40">
        <f>SUM(C4:C6)</f>
        <v>0</v>
      </c>
      <c r="D7" s="38">
        <f>+BS!D12</f>
        <v>0</v>
      </c>
      <c r="E7" s="38">
        <f>+BS!E12</f>
        <v>3996738194</v>
      </c>
      <c r="F7" s="38">
        <f>+BS!F12</f>
        <v>2121341492</v>
      </c>
      <c r="G7" s="38">
        <f>+G4+G5+G6</f>
        <v>0</v>
      </c>
      <c r="H7" s="38">
        <f t="shared" ref="H7:K7" si="2">+H4+H5+H6</f>
        <v>0</v>
      </c>
      <c r="I7" s="38">
        <f t="shared" si="2"/>
        <v>0</v>
      </c>
      <c r="J7" s="38">
        <f t="shared" si="2"/>
        <v>0</v>
      </c>
      <c r="K7" s="38">
        <f t="shared" si="2"/>
        <v>0</v>
      </c>
    </row>
    <row r="9" spans="2:11" x14ac:dyDescent="0.4">
      <c r="B9" s="23" t="s">
        <v>253</v>
      </c>
      <c r="C9" s="23">
        <v>1</v>
      </c>
      <c r="D9" s="29"/>
      <c r="E9" s="29"/>
      <c r="F9" s="29"/>
      <c r="G9" s="41"/>
      <c r="H9" s="41"/>
      <c r="I9" s="41"/>
      <c r="J9" s="41"/>
      <c r="K9" s="41"/>
    </row>
    <row r="10" spans="2:11" x14ac:dyDescent="0.4">
      <c r="B10" s="23" t="s">
        <v>254</v>
      </c>
      <c r="C10" s="42">
        <v>1.8599999999999998E-2</v>
      </c>
      <c r="D10" s="29"/>
      <c r="E10" s="29"/>
      <c r="F10" s="29"/>
      <c r="G10" s="41"/>
      <c r="H10" s="41"/>
      <c r="I10" s="41"/>
      <c r="J10" s="41"/>
      <c r="K10" s="41"/>
    </row>
    <row r="11" spans="2:11" x14ac:dyDescent="0.4">
      <c r="B11" s="23" t="s">
        <v>255</v>
      </c>
      <c r="C11" s="43">
        <f>PMT(C10,C9,F7)</f>
        <v>-2160798443.7512002</v>
      </c>
      <c r="D11" s="23"/>
      <c r="E11" s="23"/>
      <c r="F11" s="23"/>
      <c r="G11" s="23"/>
      <c r="H11" s="23"/>
      <c r="I11" s="23"/>
      <c r="J11" s="23"/>
      <c r="K11" s="23"/>
    </row>
    <row r="14" spans="2:11" ht="18" thickBot="1" x14ac:dyDescent="0.45">
      <c r="B14" s="14" t="s">
        <v>256</v>
      </c>
      <c r="C14" s="14">
        <v>1</v>
      </c>
      <c r="D14" s="14">
        <v>2</v>
      </c>
      <c r="E14" s="14"/>
      <c r="F14" s="14"/>
      <c r="G14" s="14"/>
      <c r="H14" s="14"/>
      <c r="I14" s="14"/>
      <c r="J14" s="14"/>
      <c r="K14" s="14"/>
    </row>
    <row r="15" spans="2:11" x14ac:dyDescent="0.4">
      <c r="B15" s="10" t="s">
        <v>257</v>
      </c>
      <c r="C15" s="37">
        <f>+C11</f>
        <v>-2160798443.7512002</v>
      </c>
      <c r="D15" s="37">
        <v>0</v>
      </c>
      <c r="E15" s="37"/>
      <c r="F15" s="37"/>
      <c r="G15" s="37"/>
      <c r="H15" s="37"/>
      <c r="I15" s="37"/>
      <c r="J15" s="37"/>
      <c r="K15" s="37"/>
    </row>
    <row r="16" spans="2:11" x14ac:dyDescent="0.4">
      <c r="B16" s="10" t="s">
        <v>131</v>
      </c>
      <c r="C16" s="37">
        <f>-G4*C10</f>
        <v>-39456951.751199998</v>
      </c>
      <c r="D16" s="37">
        <f>+C18*C10</f>
        <v>0</v>
      </c>
      <c r="E16" s="37"/>
      <c r="F16" s="37"/>
      <c r="G16" s="37"/>
      <c r="H16" s="37"/>
      <c r="I16" s="37"/>
      <c r="J16" s="37"/>
      <c r="K16" s="37"/>
    </row>
    <row r="17" spans="2:11" x14ac:dyDescent="0.4">
      <c r="B17" s="10" t="s">
        <v>258</v>
      </c>
      <c r="C17" s="37">
        <f>+C15-C16</f>
        <v>-2121341492.0000002</v>
      </c>
      <c r="D17" s="37">
        <f>+D15-D16</f>
        <v>0</v>
      </c>
      <c r="E17" s="37"/>
      <c r="F17" s="37"/>
      <c r="G17" s="37"/>
      <c r="H17" s="37"/>
      <c r="I17" s="37"/>
      <c r="J17" s="37"/>
      <c r="K17" s="37"/>
    </row>
    <row r="18" spans="2:11" x14ac:dyDescent="0.4">
      <c r="B18" s="10" t="s">
        <v>259</v>
      </c>
      <c r="C18" s="37">
        <f>+G4+C17</f>
        <v>0</v>
      </c>
      <c r="D18" s="37">
        <f>+C18+D17</f>
        <v>0</v>
      </c>
      <c r="E18" s="37"/>
      <c r="F18" s="37"/>
      <c r="G18" s="37"/>
      <c r="H18" s="37"/>
      <c r="I18" s="37"/>
      <c r="J18" s="37"/>
      <c r="K18" s="37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937B-B4A0-4D69-B2DC-6468DC1FEF8C}">
  <dimension ref="B1:K16"/>
  <sheetViews>
    <sheetView zoomScale="85" zoomScaleNormal="85" workbookViewId="0">
      <selection activeCell="J22" sqref="J22"/>
    </sheetView>
  </sheetViews>
  <sheetFormatPr defaultRowHeight="17.399999999999999" x14ac:dyDescent="0.4"/>
  <cols>
    <col min="1" max="1" width="3.19921875" style="10" customWidth="1"/>
    <col min="2" max="2" width="21.59765625" style="10" customWidth="1"/>
    <col min="3" max="3" width="16.296875" style="10" bestFit="1" customWidth="1"/>
    <col min="4" max="11" width="14.59765625" style="10" bestFit="1" customWidth="1"/>
    <col min="12" max="16384" width="8.796875" style="10"/>
  </cols>
  <sheetData>
    <row r="1" spans="2:11" ht="21" x14ac:dyDescent="0.4">
      <c r="B1" s="11" t="s">
        <v>263</v>
      </c>
      <c r="C1" s="19"/>
    </row>
    <row r="2" spans="2:11" x14ac:dyDescent="0.4">
      <c r="G2" s="34" t="s">
        <v>214</v>
      </c>
      <c r="H2" s="34" t="s">
        <v>214</v>
      </c>
      <c r="I2" s="34" t="s">
        <v>214</v>
      </c>
      <c r="J2" s="34" t="s">
        <v>214</v>
      </c>
      <c r="K2" s="34" t="s">
        <v>214</v>
      </c>
    </row>
    <row r="3" spans="2:11" ht="24.6" thickBot="1" x14ac:dyDescent="0.45">
      <c r="B3" s="13" t="s">
        <v>224</v>
      </c>
      <c r="C3" s="21" t="s">
        <v>1</v>
      </c>
      <c r="D3" s="21" t="s">
        <v>0</v>
      </c>
      <c r="E3" s="21" t="s">
        <v>5</v>
      </c>
      <c r="F3" s="21" t="s">
        <v>4</v>
      </c>
      <c r="G3" s="21" t="s">
        <v>225</v>
      </c>
      <c r="H3" s="21" t="s">
        <v>226</v>
      </c>
      <c r="I3" s="21" t="s">
        <v>227</v>
      </c>
      <c r="J3" s="21" t="s">
        <v>228</v>
      </c>
      <c r="K3" s="21" t="s">
        <v>229</v>
      </c>
    </row>
    <row r="4" spans="2:11" ht="18" thickTop="1" x14ac:dyDescent="0.4">
      <c r="B4" s="10" t="s">
        <v>264</v>
      </c>
      <c r="C4" s="39"/>
      <c r="D4" s="39"/>
      <c r="E4" s="39"/>
      <c r="F4" s="37">
        <f>+BS!E14</f>
        <v>15514913073</v>
      </c>
      <c r="G4" s="37">
        <f>+F8</f>
        <v>17568595261</v>
      </c>
      <c r="H4" s="37">
        <f>+G8</f>
        <v>22573126268.128017</v>
      </c>
      <c r="I4" s="37">
        <f>+H8</f>
        <v>26699971440.433582</v>
      </c>
      <c r="J4" s="37">
        <f>+I8</f>
        <v>30085229129.032185</v>
      </c>
      <c r="K4" s="37">
        <f>+J8</f>
        <v>32854749812.1847</v>
      </c>
    </row>
    <row r="5" spans="2:11" x14ac:dyDescent="0.4">
      <c r="B5" s="10" t="s">
        <v>265</v>
      </c>
      <c r="C5" s="39"/>
      <c r="D5" s="39"/>
      <c r="E5" s="39"/>
      <c r="F5" s="37">
        <v>2382938693</v>
      </c>
      <c r="G5" s="37"/>
      <c r="H5" s="37">
        <v>0</v>
      </c>
      <c r="I5" s="37">
        <v>0</v>
      </c>
      <c r="J5" s="37">
        <v>0</v>
      </c>
      <c r="K5" s="37">
        <v>0</v>
      </c>
    </row>
    <row r="6" spans="2:11" x14ac:dyDescent="0.4">
      <c r="B6" s="10" t="s">
        <v>266</v>
      </c>
      <c r="C6" s="39"/>
      <c r="D6" s="39"/>
      <c r="E6" s="39"/>
      <c r="F6" s="37">
        <f>+'P&amp;L'!F18</f>
        <v>4581743495</v>
      </c>
      <c r="G6" s="37">
        <f>+'P&amp;L'!K18</f>
        <v>8340885011.8800287</v>
      </c>
      <c r="H6" s="37">
        <f>+'P&amp;L'!L18</f>
        <v>6878075287.1759415</v>
      </c>
      <c r="I6" s="37">
        <f>+'P&amp;L'!M18</f>
        <v>5642096147.6643314</v>
      </c>
      <c r="J6" s="37">
        <f>+'P&amp;L'!N18</f>
        <v>4615867805.2541885</v>
      </c>
      <c r="K6" s="37">
        <f>+'P&amp;L'!O18</f>
        <v>3763730620.0597072</v>
      </c>
    </row>
    <row r="7" spans="2:11" x14ac:dyDescent="0.4">
      <c r="B7" s="10" t="s">
        <v>268</v>
      </c>
      <c r="C7" s="39"/>
      <c r="D7" s="39"/>
      <c r="E7" s="39"/>
      <c r="F7" s="37">
        <v>-4911000000</v>
      </c>
      <c r="G7" s="37">
        <f>+IF(G6&gt;0,-G12*G6,0)</f>
        <v>-3336354004.7520118</v>
      </c>
      <c r="H7" s="37">
        <f t="shared" ref="H7:K7" si="0">+IF(H6&gt;0,-H12*H6,0)</f>
        <v>-2751230114.8703766</v>
      </c>
      <c r="I7" s="37">
        <f t="shared" si="0"/>
        <v>-2256838459.0657325</v>
      </c>
      <c r="J7" s="37">
        <f t="shared" si="0"/>
        <v>-1846347122.1016755</v>
      </c>
      <c r="K7" s="37">
        <f t="shared" si="0"/>
        <v>-1505492248.0238829</v>
      </c>
    </row>
    <row r="8" spans="2:11" ht="18" thickBot="1" x14ac:dyDescent="0.45">
      <c r="B8" s="14" t="s">
        <v>267</v>
      </c>
      <c r="C8" s="38"/>
      <c r="D8" s="38"/>
      <c r="E8" s="38"/>
      <c r="F8" s="38">
        <f>+BS!F14</f>
        <v>17568595261</v>
      </c>
      <c r="G8" s="38">
        <f>SUM(G4:G7)</f>
        <v>22573126268.128017</v>
      </c>
      <c r="H8" s="38">
        <f>SUM(H4:H7)</f>
        <v>26699971440.433582</v>
      </c>
      <c r="I8" s="38">
        <f>SUM(I4:I7)</f>
        <v>30085229129.032185</v>
      </c>
      <c r="J8" s="38">
        <f>SUM(J4:J7)</f>
        <v>32854749812.1847</v>
      </c>
      <c r="K8" s="38">
        <f>SUM(K4:K7)</f>
        <v>35112988184.220528</v>
      </c>
    </row>
    <row r="10" spans="2:11" x14ac:dyDescent="0.4">
      <c r="B10" s="10" t="s">
        <v>213</v>
      </c>
      <c r="F10" s="16">
        <f>+BS!F14-F8</f>
        <v>0</v>
      </c>
    </row>
    <row r="11" spans="2:11" x14ac:dyDescent="0.4">
      <c r="F11" s="16"/>
    </row>
    <row r="12" spans="2:11" x14ac:dyDescent="0.4">
      <c r="B12" s="23" t="s">
        <v>269</v>
      </c>
      <c r="C12" s="23"/>
      <c r="D12" s="29"/>
      <c r="E12" s="29"/>
      <c r="F12" s="29">
        <f>-F7/F6</f>
        <v>1.0718627102017635</v>
      </c>
      <c r="G12" s="41">
        <v>0.4</v>
      </c>
      <c r="H12" s="41">
        <v>0.4</v>
      </c>
      <c r="I12" s="41">
        <v>0.4</v>
      </c>
      <c r="J12" s="41">
        <v>0.4</v>
      </c>
      <c r="K12" s="41">
        <v>0.4</v>
      </c>
    </row>
    <row r="15" spans="2:11" x14ac:dyDescent="0.4">
      <c r="C15" s="37"/>
      <c r="D15" s="37"/>
      <c r="E15" s="37"/>
      <c r="F15" s="37"/>
      <c r="G15" s="37"/>
      <c r="H15" s="37"/>
      <c r="I15" s="37"/>
      <c r="J15" s="37"/>
      <c r="K15" s="37"/>
    </row>
    <row r="16" spans="2:11" x14ac:dyDescent="0.4">
      <c r="C16" s="37"/>
      <c r="D16" s="37"/>
      <c r="E16" s="37"/>
      <c r="F16" s="37"/>
      <c r="G16" s="37"/>
      <c r="H16" s="37"/>
      <c r="I16" s="37"/>
      <c r="J16" s="37"/>
      <c r="K16" s="37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E86E-EA79-4637-A55E-8AB49B8E42AA}">
  <dimension ref="B1:N23"/>
  <sheetViews>
    <sheetView zoomScale="85" zoomScaleNormal="85" workbookViewId="0">
      <selection activeCell="J22" sqref="J22"/>
    </sheetView>
  </sheetViews>
  <sheetFormatPr defaultRowHeight="17.399999999999999" x14ac:dyDescent="0.4"/>
  <cols>
    <col min="1" max="1" width="3.19921875" style="10" customWidth="1"/>
    <col min="2" max="2" width="21.59765625" style="10" customWidth="1"/>
    <col min="3" max="3" width="16.296875" style="10" bestFit="1" customWidth="1"/>
    <col min="4" max="11" width="14.59765625" style="10" bestFit="1" customWidth="1"/>
    <col min="12" max="12" width="2.69921875" style="10" customWidth="1"/>
    <col min="13" max="13" width="32.69921875" style="10" bestFit="1" customWidth="1"/>
    <col min="14" max="16384" width="8.796875" style="10"/>
  </cols>
  <sheetData>
    <row r="1" spans="2:14" ht="21" x14ac:dyDescent="0.4">
      <c r="B1" s="11" t="s">
        <v>270</v>
      </c>
      <c r="C1" s="19"/>
    </row>
    <row r="2" spans="2:14" x14ac:dyDescent="0.4">
      <c r="G2" s="34" t="s">
        <v>214</v>
      </c>
      <c r="H2" s="34" t="s">
        <v>214</v>
      </c>
      <c r="I2" s="34" t="s">
        <v>214</v>
      </c>
      <c r="J2" s="34" t="s">
        <v>214</v>
      </c>
      <c r="K2" s="34" t="s">
        <v>214</v>
      </c>
      <c r="L2" s="34"/>
    </row>
    <row r="3" spans="2:14" ht="24.6" thickBot="1" x14ac:dyDescent="0.45">
      <c r="B3" s="13" t="s">
        <v>224</v>
      </c>
      <c r="C3" s="21" t="s">
        <v>1</v>
      </c>
      <c r="D3" s="21" t="s">
        <v>0</v>
      </c>
      <c r="E3" s="21" t="s">
        <v>5</v>
      </c>
      <c r="F3" s="21" t="s">
        <v>4</v>
      </c>
      <c r="G3" s="21" t="s">
        <v>225</v>
      </c>
      <c r="H3" s="21" t="s">
        <v>226</v>
      </c>
      <c r="I3" s="21" t="s">
        <v>227</v>
      </c>
      <c r="J3" s="21" t="s">
        <v>228</v>
      </c>
      <c r="K3" s="21" t="s">
        <v>229</v>
      </c>
      <c r="L3" s="34"/>
      <c r="M3" s="48" t="s">
        <v>284</v>
      </c>
    </row>
    <row r="4" spans="2:14" ht="18" thickTop="1" x14ac:dyDescent="0.4">
      <c r="B4" s="22" t="s">
        <v>134</v>
      </c>
      <c r="C4" s="37"/>
      <c r="D4" s="37">
        <f>+'P&amp;L'!D12</f>
        <v>14974302261</v>
      </c>
      <c r="E4" s="37">
        <f>+'P&amp;L'!E12</f>
        <v>7100474107</v>
      </c>
      <c r="F4" s="37">
        <f>+'P&amp;L'!F12</f>
        <v>11257863132</v>
      </c>
      <c r="G4" s="37">
        <f>+'P&amp;L'!K12</f>
        <v>13330604527.233604</v>
      </c>
      <c r="H4" s="37">
        <f>+'P&amp;L'!L12</f>
        <v>11064401757.603886</v>
      </c>
      <c r="I4" s="37">
        <f>+'P&amp;L'!M12</f>
        <v>9183453458.8112373</v>
      </c>
      <c r="J4" s="37">
        <f>+'P&amp;L'!N12</f>
        <v>7622266370.8133163</v>
      </c>
      <c r="K4" s="37">
        <f>+'P&amp;L'!O12</f>
        <v>6326481087.7750587</v>
      </c>
      <c r="L4" s="34"/>
    </row>
    <row r="5" spans="2:14" x14ac:dyDescent="0.4">
      <c r="B5" s="10" t="s">
        <v>271</v>
      </c>
      <c r="C5" s="37"/>
      <c r="D5" s="37">
        <f>-'P&amp;L'!D15</f>
        <v>0</v>
      </c>
      <c r="E5" s="37">
        <f>-'P&amp;L'!E15</f>
        <v>-5004329</v>
      </c>
      <c r="F5" s="37">
        <f>-'P&amp;L'!F15</f>
        <v>-220979837</v>
      </c>
      <c r="G5" s="37">
        <f>-'P&amp;L'!K15</f>
        <v>-39456951.751199998</v>
      </c>
      <c r="H5" s="37">
        <f>+'P&amp;L'!L15</f>
        <v>0</v>
      </c>
      <c r="I5" s="37">
        <f>+'P&amp;L'!M15</f>
        <v>0</v>
      </c>
      <c r="J5" s="37">
        <f>+'P&amp;L'!N15</f>
        <v>0</v>
      </c>
      <c r="K5" s="37">
        <f>+'P&amp;L'!O15</f>
        <v>0</v>
      </c>
      <c r="L5" s="34"/>
    </row>
    <row r="6" spans="2:14" x14ac:dyDescent="0.4">
      <c r="B6" s="10" t="s">
        <v>272</v>
      </c>
      <c r="C6" s="37"/>
      <c r="D6" s="37">
        <f>-'P&amp;L'!D17</f>
        <v>-3290206024</v>
      </c>
      <c r="E6" s="37">
        <f>-'P&amp;L'!E17</f>
        <v>-1623849119</v>
      </c>
      <c r="F6" s="37">
        <f>-'P&amp;L'!F17</f>
        <v>-5933092664</v>
      </c>
      <c r="G6" s="37">
        <f>-'P&amp;L'!K17</f>
        <v>-4373947525.1804972</v>
      </c>
      <c r="H6" s="37">
        <f>-'P&amp;L'!L17</f>
        <v>-3606852310.9356899</v>
      </c>
      <c r="I6" s="37">
        <f>-'P&amp;L'!M17</f>
        <v>-2958706713.5870228</v>
      </c>
      <c r="J6" s="37">
        <f>-'P&amp;L'!N17</f>
        <v>-2420554118.0097356</v>
      </c>
      <c r="K6" s="37">
        <f>-'P&amp;L'!O17</f>
        <v>-1973694662.8096013</v>
      </c>
      <c r="L6" s="34"/>
    </row>
    <row r="7" spans="2:14" x14ac:dyDescent="0.4">
      <c r="B7" s="10" t="s">
        <v>273</v>
      </c>
      <c r="C7" s="37"/>
      <c r="D7" s="37">
        <f>-(BS!D5-BS!C5)</f>
        <v>1980574748</v>
      </c>
      <c r="E7" s="37">
        <f>-(BS!E5-BS!D5)</f>
        <v>-3697991795</v>
      </c>
      <c r="F7" s="37">
        <f>-(BS!F5-BS!E5)</f>
        <v>12933271312</v>
      </c>
      <c r="G7" s="37">
        <f>-(BS!G5-BS!F5)</f>
        <v>10588691070.536293</v>
      </c>
      <c r="H7" s="37">
        <f>-(BS!H5-BS!G5)</f>
        <v>8047001521.2988281</v>
      </c>
      <c r="I7" s="37">
        <f>-(BS!I5-BS!H5)</f>
        <v>6679011262.6780357</v>
      </c>
      <c r="J7" s="37">
        <f>-(BS!J5-BS!I5)</f>
        <v>5543579348.0227661</v>
      </c>
      <c r="K7" s="37">
        <f>-(BS!K5-BS!J5)</f>
        <v>4601170858.8588943</v>
      </c>
      <c r="L7" s="34"/>
    </row>
    <row r="8" spans="2:14" x14ac:dyDescent="0.4">
      <c r="B8" s="10" t="s">
        <v>274</v>
      </c>
      <c r="C8" s="37"/>
      <c r="D8" s="37">
        <f>-(BS!D6-BS!C6)</f>
        <v>-1933856406</v>
      </c>
      <c r="E8" s="37">
        <f>-(BS!E6-BS!D6)</f>
        <v>6795411320</v>
      </c>
      <c r="F8" s="37">
        <f>-(BS!F6-BS!E6)</f>
        <v>-4919894191</v>
      </c>
      <c r="G8" s="37">
        <f>-(BS!G6-BS!F6)</f>
        <v>4973534161.6666431</v>
      </c>
      <c r="H8" s="37">
        <f>-(BS!H6-BS!G6)</f>
        <v>1713374976.6666708</v>
      </c>
      <c r="I8" s="37">
        <f>-(BS!I6-BS!H6)</f>
        <v>1422101230.633338</v>
      </c>
      <c r="J8" s="37">
        <f>-(BS!J6-BS!I6)</f>
        <v>1180344021.4256687</v>
      </c>
      <c r="K8" s="37">
        <f>-(BS!K6-BS!J6)</f>
        <v>979685537.78330612</v>
      </c>
      <c r="L8" s="34"/>
    </row>
    <row r="9" spans="2:14" x14ac:dyDescent="0.4">
      <c r="B9" s="10" t="s">
        <v>275</v>
      </c>
      <c r="C9" s="37"/>
      <c r="D9" s="37">
        <f>+BS!D11-BS!C11</f>
        <v>-8316304536</v>
      </c>
      <c r="E9" s="37">
        <f>+BS!E11-BS!D11</f>
        <v>-20655025134</v>
      </c>
      <c r="F9" s="37">
        <f>+BS!F11-BS!E11</f>
        <v>-10018573981</v>
      </c>
      <c r="G9" s="37">
        <f>+BS!G11-BS!F11</f>
        <v>1087477525.5086517</v>
      </c>
      <c r="H9" s="37">
        <f>+BS!H11-BS!G11</f>
        <v>-7123848430.136467</v>
      </c>
      <c r="I9" s="37">
        <f>+BS!I11-BS!H11</f>
        <v>-5912794197.0132751</v>
      </c>
      <c r="J9" s="37">
        <f>+BS!J11-BS!I11</f>
        <v>-4907619183.5210152</v>
      </c>
      <c r="K9" s="37">
        <f>+BS!K11-BS!J11</f>
        <v>-4073323922.3224449</v>
      </c>
      <c r="L9" s="34"/>
    </row>
    <row r="10" spans="2:14" x14ac:dyDescent="0.4">
      <c r="B10" s="10" t="s">
        <v>276</v>
      </c>
      <c r="C10" s="37"/>
      <c r="D10" s="37">
        <f>-(BS!D9-BS!C9)</f>
        <v>-712626267</v>
      </c>
      <c r="E10" s="37">
        <f>-(BS!E9-BS!D9)</f>
        <v>-535901335</v>
      </c>
      <c r="F10" s="37">
        <f>-(BS!F9-BS!E9)</f>
        <v>151150928</v>
      </c>
      <c r="G10" s="37">
        <f>-(BS!G9-BS!F9)</f>
        <v>2558683735.5622282</v>
      </c>
      <c r="H10" s="37">
        <f>-(BS!H9-BS!G9)</f>
        <v>979999686.70442104</v>
      </c>
      <c r="I10" s="37">
        <f>-(BS!I9-BS!H9)</f>
        <v>813399739.96467018</v>
      </c>
      <c r="J10" s="37">
        <f>-(BS!J9-BS!I9)</f>
        <v>675121784.17067575</v>
      </c>
      <c r="K10" s="37">
        <f>-(BS!K9-BS!J9)</f>
        <v>560351080.86166096</v>
      </c>
      <c r="L10" s="34"/>
    </row>
    <row r="11" spans="2:14" x14ac:dyDescent="0.4">
      <c r="B11" s="10" t="s">
        <v>277</v>
      </c>
      <c r="C11" s="37"/>
      <c r="D11" s="37">
        <f>+BS!D13-BS!C13</f>
        <v>6385261926</v>
      </c>
      <c r="E11" s="37">
        <f>+BS!E13-BS!D13</f>
        <v>-653421347</v>
      </c>
      <c r="F11" s="37">
        <f>+BS!F13-BS!E13</f>
        <v>4961305206</v>
      </c>
      <c r="G11" s="37">
        <f>+BS!G13-BS!F13</f>
        <v>-13338163101.900478</v>
      </c>
      <c r="H11" s="37">
        <f>+BS!H13-BS!G13</f>
        <v>-3763980824.59692</v>
      </c>
      <c r="I11" s="37">
        <f>+BS!I13-BS!H13</f>
        <v>-3124104084.4154434</v>
      </c>
      <c r="J11" s="37">
        <f>+BS!J13-BS!I13</f>
        <v>-2593006390.0648174</v>
      </c>
      <c r="K11" s="37">
        <f>+BS!K13-BS!J13</f>
        <v>-2152195303.7537994</v>
      </c>
      <c r="L11" s="34"/>
    </row>
    <row r="12" spans="2:14" x14ac:dyDescent="0.4">
      <c r="B12" s="10" t="s">
        <v>159</v>
      </c>
      <c r="C12" s="37"/>
      <c r="D12" s="37">
        <f>-(BS!D7-BS!C7)</f>
        <v>0</v>
      </c>
      <c r="E12" s="37">
        <f>-(BS!E7-BS!D7)</f>
        <v>0</v>
      </c>
      <c r="F12" s="37">
        <f>-(BS!F7-BS!E7)</f>
        <v>483764000</v>
      </c>
      <c r="G12" s="37">
        <f>+BS!G7-BS!F7</f>
        <v>0</v>
      </c>
      <c r="H12" s="37">
        <f>+BS!H7-BS!G7</f>
        <v>0</v>
      </c>
      <c r="I12" s="37">
        <f>+BS!I7-BS!H7</f>
        <v>0</v>
      </c>
      <c r="J12" s="37">
        <f>+BS!J7-BS!I7</f>
        <v>0</v>
      </c>
      <c r="K12" s="37">
        <f>+BS!K7-BS!J7</f>
        <v>0</v>
      </c>
      <c r="L12" s="34"/>
    </row>
    <row r="13" spans="2:14" x14ac:dyDescent="0.4">
      <c r="B13" s="10" t="s">
        <v>245</v>
      </c>
      <c r="C13" s="37"/>
      <c r="D13" s="37">
        <f>-'Fixed Asset Roll Forward'!D6</f>
        <v>-410068352</v>
      </c>
      <c r="E13" s="37">
        <f>-'Fixed Asset Roll Forward'!E6</f>
        <v>-351378604</v>
      </c>
      <c r="F13" s="37">
        <f>-'Fixed Asset Roll Forward'!F6</f>
        <v>-916775424</v>
      </c>
      <c r="G13" s="37">
        <f>-'Fixed Asset Roll Forward'!G6</f>
        <v>-598775569.04879475</v>
      </c>
      <c r="H13" s="37">
        <f>-'Fixed Asset Roll Forward'!H6</f>
        <v>-602057809.47373271</v>
      </c>
      <c r="I13" s="37">
        <f>-'Fixed Asset Roll Forward'!I6</f>
        <v>-605358041.7853874</v>
      </c>
      <c r="J13" s="37">
        <f>-'Fixed Asset Roll Forward'!J6</f>
        <v>-608676364.6078527</v>
      </c>
      <c r="K13" s="37">
        <f>-'Fixed Asset Roll Forward'!K6</f>
        <v>-612012877.10583901</v>
      </c>
      <c r="L13" s="34"/>
      <c r="N13" s="45"/>
    </row>
    <row r="14" spans="2:14" ht="18" thickBot="1" x14ac:dyDescent="0.45">
      <c r="B14" s="14" t="s">
        <v>278</v>
      </c>
      <c r="C14" s="38"/>
      <c r="D14" s="38">
        <f>SUM(D4:D13)</f>
        <v>8677077350</v>
      </c>
      <c r="E14" s="38">
        <f>SUM(E4:E13)</f>
        <v>-13626686236</v>
      </c>
      <c r="F14" s="38">
        <f>SUM(F4:F13)</f>
        <v>7778038481</v>
      </c>
      <c r="G14" s="38">
        <f>SUM(G4:G13)</f>
        <v>14188647872.626453</v>
      </c>
      <c r="H14" s="38">
        <f>SUM(H4:H13)</f>
        <v>6708038567.1309958</v>
      </c>
      <c r="I14" s="38">
        <f>SUM(I4:I13)</f>
        <v>5497002655.2861519</v>
      </c>
      <c r="J14" s="38">
        <f>SUM(J4:J13)</f>
        <v>4491455468.2290058</v>
      </c>
      <c r="K14" s="38">
        <f>SUM(K4:K13)</f>
        <v>3656461799.2872362</v>
      </c>
      <c r="L14" s="34"/>
    </row>
    <row r="15" spans="2:14" x14ac:dyDescent="0.4">
      <c r="B15" s="10" t="s">
        <v>268</v>
      </c>
      <c r="C15" s="37"/>
      <c r="D15" s="47">
        <v>-12956000000</v>
      </c>
      <c r="E15" s="47">
        <v>-11125000000</v>
      </c>
      <c r="F15" s="47">
        <v>-4911000000</v>
      </c>
      <c r="G15" s="37">
        <f>+'Equity Schedule'!G7</f>
        <v>-3336354004.7520118</v>
      </c>
      <c r="H15" s="37">
        <f>+'Equity Schedule'!H7</f>
        <v>-2751230114.8703766</v>
      </c>
      <c r="I15" s="37">
        <f>+'Equity Schedule'!I7</f>
        <v>-2256838459.0657325</v>
      </c>
      <c r="J15" s="37">
        <f>+'Equity Schedule'!J7</f>
        <v>-1846347122.1016755</v>
      </c>
      <c r="K15" s="37">
        <f>+'Equity Schedule'!K7</f>
        <v>-1505492248.0238829</v>
      </c>
      <c r="L15" s="34"/>
    </row>
    <row r="16" spans="2:14" x14ac:dyDescent="0.4">
      <c r="B16" s="10" t="s">
        <v>279</v>
      </c>
      <c r="C16" s="37"/>
      <c r="D16" s="47">
        <v>0</v>
      </c>
      <c r="E16" s="47">
        <v>3996738194</v>
      </c>
      <c r="F16" s="47">
        <v>-1875396702</v>
      </c>
      <c r="G16" s="37">
        <f>+'Financial Liabilities'!G7-'Financial Liabilities'!F7</f>
        <v>-2121341492</v>
      </c>
      <c r="H16" s="37">
        <f>+'Financial Liabilities'!H7-'Financial Liabilities'!G7</f>
        <v>0</v>
      </c>
      <c r="I16" s="37">
        <f>+'Financial Liabilities'!I7-'Financial Liabilities'!H7</f>
        <v>0</v>
      </c>
      <c r="J16" s="37">
        <f>+'Financial Liabilities'!J7-'Financial Liabilities'!I7</f>
        <v>0</v>
      </c>
      <c r="K16" s="37">
        <f>+'Financial Liabilities'!K7-'Financial Liabilities'!J7</f>
        <v>0</v>
      </c>
      <c r="L16" s="34"/>
    </row>
    <row r="17" spans="2:13" x14ac:dyDescent="0.4">
      <c r="B17" s="10" t="s">
        <v>280</v>
      </c>
      <c r="C17" s="37"/>
      <c r="D17" s="47"/>
      <c r="E17" s="47"/>
      <c r="F17" s="47">
        <v>2382938693</v>
      </c>
      <c r="G17" s="37">
        <f>+'Equity Schedule'!G8-'Equity Schedule'!F8-'Equity Schedule'!G6-'Equity Schedule'!G7</f>
        <v>0</v>
      </c>
      <c r="H17" s="37">
        <f>+'Equity Schedule'!H8-'Equity Schedule'!G8-'Equity Schedule'!H6-'Equity Schedule'!H7</f>
        <v>0</v>
      </c>
      <c r="I17" s="37">
        <f>+'Equity Schedule'!I8-'Equity Schedule'!H8-'Equity Schedule'!I6-'Equity Schedule'!I7</f>
        <v>0</v>
      </c>
      <c r="J17" s="37">
        <f>+'Equity Schedule'!J8-'Equity Schedule'!I8-'Equity Schedule'!J6-'Equity Schedule'!J7</f>
        <v>2.384185791015625E-6</v>
      </c>
      <c r="K17" s="37">
        <f>+'Equity Schedule'!K8-'Equity Schedule'!J8-'Equity Schedule'!K6-'Equity Schedule'!K7</f>
        <v>3.337860107421875E-6</v>
      </c>
      <c r="L17" s="34"/>
      <c r="M17" s="10" t="s">
        <v>283</v>
      </c>
    </row>
    <row r="18" spans="2:13" ht="18" thickBot="1" x14ac:dyDescent="0.45">
      <c r="B18" s="14" t="s">
        <v>281</v>
      </c>
      <c r="C18" s="38"/>
      <c r="D18" s="38">
        <f t="shared" ref="D18:F18" si="0">SUM(D14:D17)</f>
        <v>-4278922650</v>
      </c>
      <c r="E18" s="38">
        <f t="shared" si="0"/>
        <v>-20754948042</v>
      </c>
      <c r="F18" s="38">
        <f t="shared" si="0"/>
        <v>3374580472</v>
      </c>
      <c r="G18" s="38">
        <f>SUM(G14:G17)</f>
        <v>8730952375.8744411</v>
      </c>
      <c r="H18" s="38">
        <f>SUM(H14:H17)</f>
        <v>3956808452.2606192</v>
      </c>
      <c r="I18" s="38">
        <f>SUM(I14:I17)</f>
        <v>3240164196.2204194</v>
      </c>
      <c r="J18" s="38">
        <f>SUM(J14:J17)</f>
        <v>2645108346.1273327</v>
      </c>
      <c r="K18" s="38">
        <f>SUM(K14:K17)</f>
        <v>2150969551.2633567</v>
      </c>
      <c r="L18" s="34"/>
    </row>
    <row r="19" spans="2:13" x14ac:dyDescent="0.4">
      <c r="H19" s="37"/>
      <c r="I19" s="37"/>
      <c r="J19" s="37"/>
      <c r="K19" s="37"/>
      <c r="L19" s="34"/>
    </row>
    <row r="20" spans="2:13" x14ac:dyDescent="0.4">
      <c r="B20" s="16" t="s">
        <v>213</v>
      </c>
      <c r="C20" s="16"/>
      <c r="D20" s="16">
        <f>+D18-(BS!D4-BS!C4)</f>
        <v>0</v>
      </c>
      <c r="E20" s="16">
        <f>+E18-(BS!E4-BS!D4)</f>
        <v>0</v>
      </c>
      <c r="F20" s="16">
        <f>+F18-(BS!F4-BS!E4)</f>
        <v>0</v>
      </c>
      <c r="G20" s="16"/>
      <c r="H20" s="16"/>
      <c r="I20" s="16"/>
      <c r="J20" s="16"/>
      <c r="K20" s="16"/>
      <c r="L20" s="34"/>
    </row>
    <row r="23" spans="2:13" x14ac:dyDescent="0.4">
      <c r="D23" s="16"/>
      <c r="E23" s="16"/>
      <c r="F23" s="16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6D72-890F-4347-A53E-89941B82253B}">
  <sheetPr>
    <tabColor theme="0" tint="-0.499984740745262"/>
  </sheetPr>
  <dimension ref="A1"/>
  <sheetViews>
    <sheetView workbookViewId="0"/>
  </sheetViews>
  <sheetFormatPr defaultRowHeight="17.399999999999999" x14ac:dyDescent="0.4"/>
  <sheetData/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FD73-E5BA-4CCB-B0B0-14094A228147}">
  <sheetPr>
    <tabColor theme="0" tint="-0.249977111117893"/>
  </sheetPr>
  <dimension ref="B2:G237"/>
  <sheetViews>
    <sheetView zoomScale="85" zoomScaleNormal="85" workbookViewId="0">
      <selection activeCell="J25" sqref="J25"/>
    </sheetView>
  </sheetViews>
  <sheetFormatPr defaultRowHeight="17.399999999999999" x14ac:dyDescent="0.4"/>
  <cols>
    <col min="1" max="1" width="5.69921875" customWidth="1"/>
    <col min="2" max="2" width="22.69921875" bestFit="1" customWidth="1"/>
    <col min="3" max="3" width="14" bestFit="1" customWidth="1"/>
    <col min="4" max="4" width="22.296875" bestFit="1" customWidth="1"/>
    <col min="5" max="5" width="66.19921875" bestFit="1" customWidth="1"/>
    <col min="6" max="7" width="25.8984375" bestFit="1" customWidth="1"/>
  </cols>
  <sheetData>
    <row r="2" spans="2:7" x14ac:dyDescent="0.4">
      <c r="B2" t="s">
        <v>8</v>
      </c>
    </row>
    <row r="5" spans="2:7" x14ac:dyDescent="0.4">
      <c r="B5" s="9"/>
      <c r="C5" s="9"/>
      <c r="D5" s="9"/>
    </row>
    <row r="6" spans="2:7" x14ac:dyDescent="0.4">
      <c r="B6" s="9" t="s">
        <v>112</v>
      </c>
      <c r="C6" s="9" t="s">
        <v>113</v>
      </c>
      <c r="D6" s="9" t="s">
        <v>114</v>
      </c>
      <c r="E6" s="9" t="s">
        <v>200</v>
      </c>
      <c r="F6" s="9" t="s">
        <v>142</v>
      </c>
      <c r="G6" s="9" t="s">
        <v>235</v>
      </c>
    </row>
    <row r="7" spans="2:7" x14ac:dyDescent="0.4">
      <c r="B7" s="4">
        <v>27403334034</v>
      </c>
      <c r="C7" s="9" t="s">
        <v>0</v>
      </c>
      <c r="D7" t="s">
        <v>98</v>
      </c>
      <c r="E7" t="s">
        <v>192</v>
      </c>
      <c r="F7" t="s">
        <v>192</v>
      </c>
      <c r="G7" t="str">
        <f>+F7</f>
        <v>Cash and Cash Equivalents</v>
      </c>
    </row>
    <row r="8" spans="2:7" x14ac:dyDescent="0.4">
      <c r="B8" s="4">
        <v>65277831176</v>
      </c>
      <c r="C8" s="9" t="s">
        <v>0</v>
      </c>
      <c r="D8" t="s">
        <v>102</v>
      </c>
      <c r="E8" t="s">
        <v>143</v>
      </c>
      <c r="F8" t="s">
        <v>201</v>
      </c>
      <c r="G8" s="10" t="s">
        <v>285</v>
      </c>
    </row>
    <row r="9" spans="2:7" x14ac:dyDescent="0.4">
      <c r="B9" s="4">
        <v>-1011193095</v>
      </c>
      <c r="C9" s="9" t="s">
        <v>0</v>
      </c>
      <c r="D9" t="s">
        <v>10</v>
      </c>
      <c r="E9" t="s">
        <v>193</v>
      </c>
      <c r="F9" t="s">
        <v>201</v>
      </c>
      <c r="G9" s="10" t="s">
        <v>285</v>
      </c>
    </row>
    <row r="10" spans="2:7" x14ac:dyDescent="0.4">
      <c r="B10" s="4">
        <v>2892635573</v>
      </c>
      <c r="C10" s="9" t="s">
        <v>0</v>
      </c>
      <c r="D10" t="s">
        <v>11</v>
      </c>
      <c r="E10" t="s">
        <v>144</v>
      </c>
      <c r="F10" t="s">
        <v>201</v>
      </c>
      <c r="G10" s="10" t="s">
        <v>285</v>
      </c>
    </row>
    <row r="11" spans="2:7" x14ac:dyDescent="0.4">
      <c r="B11" s="3">
        <v>0</v>
      </c>
      <c r="C11" s="9" t="s">
        <v>0</v>
      </c>
      <c r="D11" t="s">
        <v>104</v>
      </c>
      <c r="E11" t="s">
        <v>145</v>
      </c>
      <c r="F11" t="s">
        <v>204</v>
      </c>
      <c r="G11" t="s">
        <v>237</v>
      </c>
    </row>
    <row r="12" spans="2:7" x14ac:dyDescent="0.4">
      <c r="B12" s="4">
        <v>960538</v>
      </c>
      <c r="C12" s="9" t="s">
        <v>0</v>
      </c>
      <c r="D12" t="s">
        <v>12</v>
      </c>
      <c r="E12" t="s">
        <v>146</v>
      </c>
      <c r="F12" t="s">
        <v>204</v>
      </c>
      <c r="G12" t="s">
        <v>236</v>
      </c>
    </row>
    <row r="13" spans="2:7" x14ac:dyDescent="0.4">
      <c r="B13" s="4">
        <v>306462186</v>
      </c>
      <c r="C13" s="9" t="s">
        <v>0</v>
      </c>
      <c r="D13" t="s">
        <v>13</v>
      </c>
      <c r="E13" t="s">
        <v>147</v>
      </c>
      <c r="F13" t="s">
        <v>204</v>
      </c>
      <c r="G13" t="s">
        <v>236</v>
      </c>
    </row>
    <row r="14" spans="2:7" x14ac:dyDescent="0.4">
      <c r="B14" s="4">
        <v>16964496</v>
      </c>
      <c r="C14" s="9" t="s">
        <v>0</v>
      </c>
      <c r="D14" t="s">
        <v>14</v>
      </c>
      <c r="E14" t="s">
        <v>148</v>
      </c>
      <c r="F14" t="s">
        <v>204</v>
      </c>
      <c r="G14" t="s">
        <v>236</v>
      </c>
    </row>
    <row r="15" spans="2:7" x14ac:dyDescent="0.4">
      <c r="B15" s="4">
        <v>2769111240</v>
      </c>
      <c r="C15" s="9" t="s">
        <v>0</v>
      </c>
      <c r="D15" t="s">
        <v>15</v>
      </c>
      <c r="E15" t="s">
        <v>194</v>
      </c>
      <c r="F15" t="s">
        <v>204</v>
      </c>
      <c r="G15" t="s">
        <v>236</v>
      </c>
    </row>
    <row r="16" spans="2:7" x14ac:dyDescent="0.4">
      <c r="B16" s="3">
        <v>0</v>
      </c>
      <c r="C16" s="9" t="s">
        <v>0</v>
      </c>
      <c r="D16" t="s">
        <v>16</v>
      </c>
      <c r="E16" t="s">
        <v>197</v>
      </c>
      <c r="F16" t="s">
        <v>204</v>
      </c>
      <c r="G16" t="s">
        <v>236</v>
      </c>
    </row>
    <row r="17" spans="2:7" x14ac:dyDescent="0.4">
      <c r="B17" s="4">
        <v>8576759068</v>
      </c>
      <c r="C17" s="9" t="s">
        <v>0</v>
      </c>
      <c r="D17" t="s">
        <v>17</v>
      </c>
      <c r="E17" t="s">
        <v>150</v>
      </c>
      <c r="F17" t="s">
        <v>203</v>
      </c>
      <c r="G17" t="str">
        <f t="shared" ref="G8:G67" si="0">+F17</f>
        <v>Inventory, net</v>
      </c>
    </row>
    <row r="18" spans="2:7" x14ac:dyDescent="0.4">
      <c r="B18" s="4">
        <v>-676865738</v>
      </c>
      <c r="C18" s="9" t="s">
        <v>0</v>
      </c>
      <c r="D18" t="s">
        <v>99</v>
      </c>
      <c r="E18" t="s">
        <v>151</v>
      </c>
      <c r="F18" t="s">
        <v>203</v>
      </c>
      <c r="G18" t="str">
        <f t="shared" si="0"/>
        <v>Inventory, net</v>
      </c>
    </row>
    <row r="19" spans="2:7" x14ac:dyDescent="0.4">
      <c r="B19" s="4">
        <v>372769804</v>
      </c>
      <c r="C19" s="9" t="s">
        <v>0</v>
      </c>
      <c r="D19" t="s">
        <v>18</v>
      </c>
      <c r="E19" t="s">
        <v>152</v>
      </c>
      <c r="F19" t="s">
        <v>203</v>
      </c>
      <c r="G19" t="str">
        <f t="shared" si="0"/>
        <v>Inventory, net</v>
      </c>
    </row>
    <row r="20" spans="2:7" x14ac:dyDescent="0.4">
      <c r="B20" s="4">
        <v>-4110090</v>
      </c>
      <c r="C20" s="9" t="s">
        <v>0</v>
      </c>
      <c r="D20" t="s">
        <v>100</v>
      </c>
      <c r="E20" t="s">
        <v>153</v>
      </c>
      <c r="F20" t="s">
        <v>203</v>
      </c>
      <c r="G20" t="str">
        <f t="shared" si="0"/>
        <v>Inventory, net</v>
      </c>
    </row>
    <row r="21" spans="2:7" x14ac:dyDescent="0.4">
      <c r="B21" s="4">
        <v>1824362401</v>
      </c>
      <c r="C21" s="9" t="s">
        <v>0</v>
      </c>
      <c r="D21" t="s">
        <v>19</v>
      </c>
      <c r="E21" t="s">
        <v>154</v>
      </c>
      <c r="F21" t="s">
        <v>203</v>
      </c>
      <c r="G21" t="str">
        <f t="shared" si="0"/>
        <v>Inventory, net</v>
      </c>
    </row>
    <row r="22" spans="2:7" x14ac:dyDescent="0.4">
      <c r="B22" s="3">
        <v>0</v>
      </c>
      <c r="C22" s="9" t="s">
        <v>0</v>
      </c>
      <c r="D22" t="s">
        <v>105</v>
      </c>
      <c r="E22" t="s">
        <v>155</v>
      </c>
      <c r="F22" t="s">
        <v>203</v>
      </c>
      <c r="G22" t="str">
        <f t="shared" si="0"/>
        <v>Inventory, net</v>
      </c>
    </row>
    <row r="23" spans="2:7" x14ac:dyDescent="0.4">
      <c r="B23" s="4">
        <v>1030410695</v>
      </c>
      <c r="C23" s="9" t="s">
        <v>0</v>
      </c>
      <c r="D23" t="s">
        <v>20</v>
      </c>
      <c r="E23" t="s">
        <v>156</v>
      </c>
      <c r="F23" t="s">
        <v>203</v>
      </c>
      <c r="G23" t="str">
        <f t="shared" si="0"/>
        <v>Inventory, net</v>
      </c>
    </row>
    <row r="24" spans="2:7" x14ac:dyDescent="0.4">
      <c r="B24" s="4">
        <v>-54143170</v>
      </c>
      <c r="C24" s="9" t="s">
        <v>0</v>
      </c>
      <c r="D24" t="s">
        <v>101</v>
      </c>
      <c r="E24" t="s">
        <v>157</v>
      </c>
      <c r="F24" t="s">
        <v>203</v>
      </c>
      <c r="G24" t="str">
        <f t="shared" si="0"/>
        <v>Inventory, net</v>
      </c>
    </row>
    <row r="25" spans="2:7" x14ac:dyDescent="0.4">
      <c r="B25" s="4">
        <v>5858544654</v>
      </c>
      <c r="C25" s="9" t="s">
        <v>0</v>
      </c>
      <c r="D25" t="s">
        <v>21</v>
      </c>
      <c r="E25" t="s">
        <v>158</v>
      </c>
      <c r="F25" t="s">
        <v>203</v>
      </c>
      <c r="G25" t="str">
        <f t="shared" si="0"/>
        <v>Inventory, net</v>
      </c>
    </row>
    <row r="26" spans="2:7" x14ac:dyDescent="0.4">
      <c r="B26" s="4">
        <v>1050431600</v>
      </c>
      <c r="C26" s="9" t="s">
        <v>0</v>
      </c>
      <c r="D26" t="s">
        <v>22</v>
      </c>
      <c r="E26" t="s">
        <v>159</v>
      </c>
      <c r="F26" t="s">
        <v>159</v>
      </c>
      <c r="G26" t="s">
        <v>159</v>
      </c>
    </row>
    <row r="27" spans="2:7" x14ac:dyDescent="0.4">
      <c r="B27" s="4">
        <v>2049916846</v>
      </c>
      <c r="C27" s="9" t="s">
        <v>0</v>
      </c>
      <c r="D27" t="s">
        <v>23</v>
      </c>
      <c r="E27" t="s">
        <v>160</v>
      </c>
      <c r="F27" t="s">
        <v>208</v>
      </c>
      <c r="G27" t="s">
        <v>239</v>
      </c>
    </row>
    <row r="28" spans="2:7" x14ac:dyDescent="0.4">
      <c r="B28" s="4">
        <v>-884633472</v>
      </c>
      <c r="C28" s="9" t="s">
        <v>0</v>
      </c>
      <c r="D28" t="s">
        <v>24</v>
      </c>
      <c r="E28" t="s">
        <v>161</v>
      </c>
      <c r="F28" t="s">
        <v>208</v>
      </c>
      <c r="G28" t="s">
        <v>239</v>
      </c>
    </row>
    <row r="29" spans="2:7" x14ac:dyDescent="0.4">
      <c r="B29" s="4">
        <v>1831974493</v>
      </c>
      <c r="C29" s="9" t="s">
        <v>0</v>
      </c>
      <c r="D29" t="s">
        <v>25</v>
      </c>
      <c r="E29" t="s">
        <v>162</v>
      </c>
      <c r="F29" t="s">
        <v>208</v>
      </c>
      <c r="G29" t="s">
        <v>239</v>
      </c>
    </row>
    <row r="30" spans="2:7" x14ac:dyDescent="0.4">
      <c r="B30" s="4">
        <v>-992079815</v>
      </c>
      <c r="C30" s="9" t="s">
        <v>0</v>
      </c>
      <c r="D30" t="s">
        <v>26</v>
      </c>
      <c r="E30" t="s">
        <v>163</v>
      </c>
      <c r="F30" t="s">
        <v>208</v>
      </c>
      <c r="G30" t="s">
        <v>239</v>
      </c>
    </row>
    <row r="31" spans="2:7" x14ac:dyDescent="0.4">
      <c r="B31" s="4">
        <v>1446319334</v>
      </c>
      <c r="C31" s="9" t="s">
        <v>0</v>
      </c>
      <c r="D31" t="s">
        <v>27</v>
      </c>
      <c r="E31" t="s">
        <v>164</v>
      </c>
      <c r="F31" t="s">
        <v>208</v>
      </c>
      <c r="G31" t="s">
        <v>239</v>
      </c>
    </row>
    <row r="32" spans="2:7" x14ac:dyDescent="0.4">
      <c r="B32" s="4">
        <v>-847734867</v>
      </c>
      <c r="C32" s="9" t="s">
        <v>0</v>
      </c>
      <c r="D32" t="s">
        <v>28</v>
      </c>
      <c r="E32" t="s">
        <v>165</v>
      </c>
      <c r="F32" t="s">
        <v>208</v>
      </c>
      <c r="G32" t="s">
        <v>239</v>
      </c>
    </row>
    <row r="33" spans="2:7" x14ac:dyDescent="0.4">
      <c r="B33" s="4">
        <v>2300000</v>
      </c>
      <c r="C33" s="9" t="s">
        <v>0</v>
      </c>
      <c r="D33" t="s">
        <v>29</v>
      </c>
      <c r="E33" t="s">
        <v>166</v>
      </c>
      <c r="F33" t="s">
        <v>208</v>
      </c>
      <c r="G33" t="s">
        <v>239</v>
      </c>
    </row>
    <row r="34" spans="2:7" x14ac:dyDescent="0.4">
      <c r="B34" s="4">
        <v>-2300000</v>
      </c>
      <c r="C34" s="9" t="s">
        <v>0</v>
      </c>
      <c r="D34" t="s">
        <v>30</v>
      </c>
      <c r="E34" t="s">
        <v>167</v>
      </c>
      <c r="F34" t="s">
        <v>208</v>
      </c>
      <c r="G34" t="s">
        <v>239</v>
      </c>
    </row>
    <row r="35" spans="2:7" x14ac:dyDescent="0.4">
      <c r="B35" s="4">
        <v>1127149000</v>
      </c>
      <c r="C35" s="9" t="s">
        <v>0</v>
      </c>
      <c r="D35" t="s">
        <v>31</v>
      </c>
      <c r="E35" t="s">
        <v>168</v>
      </c>
      <c r="F35" t="s">
        <v>208</v>
      </c>
      <c r="G35" t="s">
        <v>239</v>
      </c>
    </row>
    <row r="36" spans="2:7" x14ac:dyDescent="0.4">
      <c r="B36" s="4">
        <v>-788695682</v>
      </c>
      <c r="C36" s="9" t="s">
        <v>0</v>
      </c>
      <c r="D36" t="s">
        <v>32</v>
      </c>
      <c r="E36" t="s">
        <v>169</v>
      </c>
      <c r="F36" t="s">
        <v>208</v>
      </c>
      <c r="G36" t="s">
        <v>239</v>
      </c>
    </row>
    <row r="37" spans="2:7" x14ac:dyDescent="0.4">
      <c r="B37" s="4">
        <v>4633048287</v>
      </c>
      <c r="C37" s="9" t="s">
        <v>0</v>
      </c>
      <c r="D37" t="s">
        <v>33</v>
      </c>
      <c r="E37" t="s">
        <v>170</v>
      </c>
      <c r="F37" t="s">
        <v>208</v>
      </c>
      <c r="G37" t="s">
        <v>239</v>
      </c>
    </row>
    <row r="38" spans="2:7" x14ac:dyDescent="0.4">
      <c r="B38" s="4">
        <v>-3794824844</v>
      </c>
      <c r="C38" s="9" t="s">
        <v>0</v>
      </c>
      <c r="D38" t="s">
        <v>34</v>
      </c>
      <c r="E38" t="s">
        <v>171</v>
      </c>
      <c r="F38" t="s">
        <v>208</v>
      </c>
      <c r="G38" t="s">
        <v>239</v>
      </c>
    </row>
    <row r="39" spans="2:7" x14ac:dyDescent="0.4">
      <c r="B39" s="4">
        <v>131329680</v>
      </c>
      <c r="C39" s="9" t="s">
        <v>0</v>
      </c>
      <c r="D39" t="s">
        <v>35</v>
      </c>
      <c r="E39" t="s">
        <v>172</v>
      </c>
      <c r="F39" t="s">
        <v>208</v>
      </c>
      <c r="G39" t="s">
        <v>239</v>
      </c>
    </row>
    <row r="40" spans="2:7" x14ac:dyDescent="0.4">
      <c r="B40" s="4">
        <v>4381242710</v>
      </c>
      <c r="C40" s="9" t="s">
        <v>0</v>
      </c>
      <c r="D40" t="s">
        <v>16</v>
      </c>
      <c r="E40" t="s">
        <v>196</v>
      </c>
      <c r="F40" t="s">
        <v>205</v>
      </c>
      <c r="G40" t="s">
        <v>236</v>
      </c>
    </row>
    <row r="41" spans="2:7" x14ac:dyDescent="0.4">
      <c r="B41" s="4">
        <v>463896198</v>
      </c>
      <c r="C41" s="9" t="s">
        <v>0</v>
      </c>
      <c r="D41" t="s">
        <v>15</v>
      </c>
      <c r="E41" t="s">
        <v>195</v>
      </c>
      <c r="F41" t="s">
        <v>205</v>
      </c>
      <c r="G41" t="s">
        <v>236</v>
      </c>
    </row>
    <row r="42" spans="2:7" x14ac:dyDescent="0.4">
      <c r="B42" s="3">
        <v>0</v>
      </c>
      <c r="C42" s="9" t="s">
        <v>0</v>
      </c>
      <c r="D42" t="s">
        <v>36</v>
      </c>
      <c r="E42" t="s">
        <v>173</v>
      </c>
      <c r="F42" t="s">
        <v>205</v>
      </c>
      <c r="G42" t="s">
        <v>236</v>
      </c>
    </row>
    <row r="43" spans="2:7" x14ac:dyDescent="0.4">
      <c r="B43" s="3">
        <v>0</v>
      </c>
      <c r="C43" s="9" t="s">
        <v>0</v>
      </c>
      <c r="D43" t="s">
        <v>106</v>
      </c>
      <c r="E43" t="s">
        <v>174</v>
      </c>
      <c r="F43" t="s">
        <v>205</v>
      </c>
      <c r="G43" t="s">
        <v>236</v>
      </c>
    </row>
    <row r="44" spans="2:7" x14ac:dyDescent="0.4">
      <c r="B44" s="3">
        <v>0</v>
      </c>
      <c r="C44" s="9" t="s">
        <v>0</v>
      </c>
      <c r="D44" t="s">
        <v>37</v>
      </c>
      <c r="E44" t="s">
        <v>175</v>
      </c>
      <c r="F44" t="s">
        <v>205</v>
      </c>
      <c r="G44" t="s">
        <v>236</v>
      </c>
    </row>
    <row r="45" spans="2:7" x14ac:dyDescent="0.4">
      <c r="B45" s="3">
        <v>0</v>
      </c>
      <c r="C45" s="9" t="s">
        <v>0</v>
      </c>
      <c r="D45" t="s">
        <v>107</v>
      </c>
      <c r="E45" t="s">
        <v>176</v>
      </c>
      <c r="F45" t="s">
        <v>205</v>
      </c>
      <c r="G45" t="s">
        <v>236</v>
      </c>
    </row>
    <row r="46" spans="2:7" x14ac:dyDescent="0.4">
      <c r="B46" s="3">
        <v>0</v>
      </c>
      <c r="C46" s="9" t="s">
        <v>0</v>
      </c>
      <c r="D46" t="s">
        <v>38</v>
      </c>
      <c r="E46" t="s">
        <v>177</v>
      </c>
      <c r="F46" t="s">
        <v>205</v>
      </c>
      <c r="G46" t="s">
        <v>236</v>
      </c>
    </row>
    <row r="47" spans="2:7" x14ac:dyDescent="0.4">
      <c r="B47" s="3">
        <v>0</v>
      </c>
      <c r="C47" s="9" t="s">
        <v>0</v>
      </c>
      <c r="D47" t="s">
        <v>39</v>
      </c>
      <c r="E47" t="s">
        <v>178</v>
      </c>
      <c r="F47" t="s">
        <v>209</v>
      </c>
      <c r="G47" t="s">
        <v>240</v>
      </c>
    </row>
    <row r="48" spans="2:7" x14ac:dyDescent="0.4">
      <c r="B48" s="4">
        <v>71491112355</v>
      </c>
      <c r="C48" s="9" t="s">
        <v>0</v>
      </c>
      <c r="D48" t="s">
        <v>40</v>
      </c>
      <c r="E48" t="s">
        <v>179</v>
      </c>
      <c r="F48" t="s">
        <v>207</v>
      </c>
      <c r="G48" t="str">
        <f t="shared" si="0"/>
        <v>Trade Payables, net</v>
      </c>
    </row>
    <row r="49" spans="2:7" x14ac:dyDescent="0.4">
      <c r="B49" s="4">
        <v>12042848366</v>
      </c>
      <c r="C49" s="9" t="s">
        <v>0</v>
      </c>
      <c r="D49" t="s">
        <v>41</v>
      </c>
      <c r="E49" t="s">
        <v>180</v>
      </c>
      <c r="F49" t="s">
        <v>209</v>
      </c>
      <c r="G49" t="s">
        <v>238</v>
      </c>
    </row>
    <row r="50" spans="2:7" x14ac:dyDescent="0.4">
      <c r="B50" s="3" t="s">
        <v>9</v>
      </c>
      <c r="C50" s="9" t="s">
        <v>0</v>
      </c>
      <c r="D50" t="s">
        <v>42</v>
      </c>
      <c r="E50" t="s">
        <v>181</v>
      </c>
      <c r="F50" t="s">
        <v>209</v>
      </c>
      <c r="G50" t="s">
        <v>238</v>
      </c>
    </row>
    <row r="51" spans="2:7" x14ac:dyDescent="0.4">
      <c r="B51" s="4">
        <v>708427812</v>
      </c>
      <c r="C51" s="9" t="s">
        <v>0</v>
      </c>
      <c r="D51" t="s">
        <v>43</v>
      </c>
      <c r="E51" t="s">
        <v>182</v>
      </c>
      <c r="F51" t="s">
        <v>209</v>
      </c>
      <c r="G51" t="s">
        <v>238</v>
      </c>
    </row>
    <row r="52" spans="2:7" x14ac:dyDescent="0.4">
      <c r="B52" s="4">
        <v>760556846</v>
      </c>
      <c r="C52" s="9" t="s">
        <v>0</v>
      </c>
      <c r="D52" t="s">
        <v>44</v>
      </c>
      <c r="E52" t="s">
        <v>183</v>
      </c>
      <c r="F52" t="s">
        <v>209</v>
      </c>
      <c r="G52" t="s">
        <v>238</v>
      </c>
    </row>
    <row r="53" spans="2:7" x14ac:dyDescent="0.4">
      <c r="B53" s="4">
        <v>10337178021</v>
      </c>
      <c r="C53" s="9" t="s">
        <v>0</v>
      </c>
      <c r="D53" t="s">
        <v>45</v>
      </c>
      <c r="E53" t="s">
        <v>184</v>
      </c>
      <c r="F53" t="s">
        <v>209</v>
      </c>
      <c r="G53" t="s">
        <v>238</v>
      </c>
    </row>
    <row r="54" spans="2:7" x14ac:dyDescent="0.4">
      <c r="B54" s="4">
        <v>1917475124</v>
      </c>
      <c r="C54" s="9" t="s">
        <v>0</v>
      </c>
      <c r="D54" t="s">
        <v>46</v>
      </c>
      <c r="E54" t="s">
        <v>185</v>
      </c>
      <c r="F54" t="s">
        <v>209</v>
      </c>
      <c r="G54" t="s">
        <v>238</v>
      </c>
    </row>
    <row r="55" spans="2:7" x14ac:dyDescent="0.4">
      <c r="B55" s="4">
        <v>2691939116</v>
      </c>
      <c r="C55" s="9" t="s">
        <v>0</v>
      </c>
      <c r="D55" t="s">
        <v>47</v>
      </c>
      <c r="E55" t="s">
        <v>186</v>
      </c>
      <c r="F55" t="s">
        <v>209</v>
      </c>
      <c r="G55" t="s">
        <v>238</v>
      </c>
    </row>
    <row r="56" spans="2:7" x14ac:dyDescent="0.4">
      <c r="B56" s="4">
        <v>1188473746</v>
      </c>
      <c r="C56" s="9" t="s">
        <v>0</v>
      </c>
      <c r="D56" t="s">
        <v>48</v>
      </c>
      <c r="E56" t="s">
        <v>198</v>
      </c>
      <c r="F56" t="s">
        <v>209</v>
      </c>
      <c r="G56" s="10" t="s">
        <v>238</v>
      </c>
    </row>
    <row r="57" spans="2:7" x14ac:dyDescent="0.4">
      <c r="B57" s="4">
        <v>60729193</v>
      </c>
      <c r="C57" s="9" t="s">
        <v>0</v>
      </c>
      <c r="D57" t="s">
        <v>49</v>
      </c>
      <c r="E57" t="s">
        <v>149</v>
      </c>
      <c r="F57" t="s">
        <v>209</v>
      </c>
      <c r="G57" t="s">
        <v>238</v>
      </c>
    </row>
    <row r="58" spans="2:7" x14ac:dyDescent="0.4">
      <c r="B58" s="4">
        <v>1463714693</v>
      </c>
      <c r="C58" s="9" t="s">
        <v>0</v>
      </c>
      <c r="D58" t="s">
        <v>48</v>
      </c>
      <c r="E58" t="s">
        <v>199</v>
      </c>
      <c r="F58" t="s">
        <v>210</v>
      </c>
      <c r="G58" s="10" t="s">
        <v>238</v>
      </c>
    </row>
    <row r="59" spans="2:7" x14ac:dyDescent="0.4">
      <c r="B59" s="4">
        <v>1537510000</v>
      </c>
      <c r="C59" s="9" t="s">
        <v>0</v>
      </c>
      <c r="D59" t="s">
        <v>50</v>
      </c>
      <c r="E59" t="s">
        <v>187</v>
      </c>
      <c r="F59" t="s">
        <v>211</v>
      </c>
      <c r="G59" t="str">
        <f t="shared" si="0"/>
        <v>Equity</v>
      </c>
    </row>
    <row r="60" spans="2:7" x14ac:dyDescent="0.4">
      <c r="B60" s="4">
        <v>11450695560</v>
      </c>
      <c r="C60" s="9" t="s">
        <v>0</v>
      </c>
      <c r="D60" t="s">
        <v>51</v>
      </c>
      <c r="E60" t="s">
        <v>188</v>
      </c>
      <c r="F60" t="s">
        <v>211</v>
      </c>
      <c r="G60" t="str">
        <f t="shared" si="0"/>
        <v>Equity</v>
      </c>
    </row>
    <row r="61" spans="2:7" x14ac:dyDescent="0.4">
      <c r="B61" s="4">
        <v>-3298563760</v>
      </c>
      <c r="C61" s="9" t="s">
        <v>0</v>
      </c>
      <c r="D61" t="s">
        <v>52</v>
      </c>
      <c r="E61" t="s">
        <v>189</v>
      </c>
      <c r="F61" t="s">
        <v>211</v>
      </c>
      <c r="G61" t="str">
        <f t="shared" si="0"/>
        <v>Equity</v>
      </c>
    </row>
    <row r="62" spans="2:7" x14ac:dyDescent="0.4">
      <c r="B62" s="4">
        <v>913500000</v>
      </c>
      <c r="C62" s="9" t="s">
        <v>0</v>
      </c>
      <c r="D62" t="s">
        <v>53</v>
      </c>
      <c r="E62" t="s">
        <v>190</v>
      </c>
      <c r="F62" t="s">
        <v>211</v>
      </c>
      <c r="G62" t="str">
        <f t="shared" si="0"/>
        <v>Equity</v>
      </c>
    </row>
    <row r="63" spans="2:7" x14ac:dyDescent="0.4">
      <c r="B63" s="4">
        <v>11125576168</v>
      </c>
      <c r="C63" s="9" t="s">
        <v>0</v>
      </c>
      <c r="D63" t="s">
        <v>103</v>
      </c>
      <c r="E63" t="s">
        <v>191</v>
      </c>
      <c r="F63" t="s">
        <v>211</v>
      </c>
      <c r="G63" t="str">
        <f t="shared" si="0"/>
        <v>Equity</v>
      </c>
    </row>
    <row r="64" spans="2:7" x14ac:dyDescent="0.4">
      <c r="B64" s="4">
        <v>31682256684</v>
      </c>
      <c r="C64" s="9" t="s">
        <v>1</v>
      </c>
      <c r="D64" t="s">
        <v>98</v>
      </c>
      <c r="E64" t="s">
        <v>192</v>
      </c>
      <c r="F64" t="s">
        <v>192</v>
      </c>
      <c r="G64" t="str">
        <f t="shared" si="0"/>
        <v>Cash and Cash Equivalents</v>
      </c>
    </row>
    <row r="65" spans="2:7" x14ac:dyDescent="0.4">
      <c r="B65" s="4">
        <v>68001240805</v>
      </c>
      <c r="C65" s="9" t="s">
        <v>1</v>
      </c>
      <c r="D65" t="s">
        <v>102</v>
      </c>
      <c r="E65" t="s">
        <v>143</v>
      </c>
      <c r="F65" t="s">
        <v>201</v>
      </c>
      <c r="G65" s="10" t="s">
        <v>285</v>
      </c>
    </row>
    <row r="66" spans="2:7" x14ac:dyDescent="0.4">
      <c r="B66" s="4">
        <v>-206155299</v>
      </c>
      <c r="C66" s="9" t="s">
        <v>1</v>
      </c>
      <c r="D66" t="s">
        <v>10</v>
      </c>
      <c r="E66" t="s">
        <v>193</v>
      </c>
      <c r="F66" t="s">
        <v>201</v>
      </c>
      <c r="G66" s="10" t="s">
        <v>285</v>
      </c>
    </row>
    <row r="67" spans="2:7" x14ac:dyDescent="0.4">
      <c r="B67" s="4">
        <v>1344762896</v>
      </c>
      <c r="C67" s="9" t="s">
        <v>1</v>
      </c>
      <c r="D67" t="s">
        <v>11</v>
      </c>
      <c r="E67" t="s">
        <v>144</v>
      </c>
      <c r="F67" t="s">
        <v>201</v>
      </c>
      <c r="G67" s="10" t="s">
        <v>285</v>
      </c>
    </row>
    <row r="68" spans="2:7" x14ac:dyDescent="0.4">
      <c r="B68" s="3">
        <v>0</v>
      </c>
      <c r="C68" s="9" t="s">
        <v>1</v>
      </c>
      <c r="D68" t="s">
        <v>104</v>
      </c>
      <c r="E68" t="s">
        <v>145</v>
      </c>
      <c r="F68" t="s">
        <v>204</v>
      </c>
      <c r="G68" t="s">
        <v>236</v>
      </c>
    </row>
    <row r="69" spans="2:7" x14ac:dyDescent="0.4">
      <c r="B69" s="4">
        <v>462956</v>
      </c>
      <c r="C69" s="9" t="s">
        <v>1</v>
      </c>
      <c r="D69" t="s">
        <v>12</v>
      </c>
      <c r="E69" t="s">
        <v>146</v>
      </c>
      <c r="F69" t="s">
        <v>204</v>
      </c>
      <c r="G69" t="s">
        <v>236</v>
      </c>
    </row>
    <row r="70" spans="2:7" x14ac:dyDescent="0.4">
      <c r="B70" s="4">
        <v>647367971</v>
      </c>
      <c r="C70" s="9" t="s">
        <v>1</v>
      </c>
      <c r="D70" t="s">
        <v>13</v>
      </c>
      <c r="E70" t="s">
        <v>147</v>
      </c>
      <c r="F70" t="s">
        <v>204</v>
      </c>
      <c r="G70" t="s">
        <v>236</v>
      </c>
    </row>
    <row r="71" spans="2:7" x14ac:dyDescent="0.4">
      <c r="B71" s="4">
        <v>618521274</v>
      </c>
      <c r="C71" s="9" t="s">
        <v>1</v>
      </c>
      <c r="D71" t="s">
        <v>14</v>
      </c>
      <c r="E71" t="s">
        <v>148</v>
      </c>
      <c r="F71" t="s">
        <v>204</v>
      </c>
      <c r="G71" t="s">
        <v>236</v>
      </c>
    </row>
    <row r="72" spans="2:7" x14ac:dyDescent="0.4">
      <c r="B72" s="4">
        <v>1914161359</v>
      </c>
      <c r="C72" s="9" t="s">
        <v>1</v>
      </c>
      <c r="D72" t="s">
        <v>15</v>
      </c>
      <c r="E72" t="s">
        <v>194</v>
      </c>
      <c r="F72" t="s">
        <v>204</v>
      </c>
      <c r="G72" t="s">
        <v>236</v>
      </c>
    </row>
    <row r="73" spans="2:7" x14ac:dyDescent="0.4">
      <c r="B73" s="3">
        <v>0</v>
      </c>
      <c r="C73" s="9" t="s">
        <v>1</v>
      </c>
      <c r="D73" t="s">
        <v>16</v>
      </c>
      <c r="E73" t="s">
        <v>197</v>
      </c>
      <c r="F73" t="s">
        <v>204</v>
      </c>
      <c r="G73" t="s">
        <v>236</v>
      </c>
    </row>
    <row r="74" spans="2:7" x14ac:dyDescent="0.4">
      <c r="B74" s="4">
        <v>11966809667</v>
      </c>
      <c r="C74" s="9" t="s">
        <v>1</v>
      </c>
      <c r="D74" t="s">
        <v>17</v>
      </c>
      <c r="E74" t="s">
        <v>150</v>
      </c>
      <c r="F74" t="s">
        <v>203</v>
      </c>
      <c r="G74" t="str">
        <f t="shared" ref="G74:G135" si="1">+F74</f>
        <v>Inventory, net</v>
      </c>
    </row>
    <row r="75" spans="2:7" x14ac:dyDescent="0.4">
      <c r="B75" s="4">
        <v>-725413387</v>
      </c>
      <c r="C75" s="9" t="s">
        <v>1</v>
      </c>
      <c r="D75" t="s">
        <v>99</v>
      </c>
      <c r="E75" t="s">
        <v>151</v>
      </c>
      <c r="F75" t="s">
        <v>203</v>
      </c>
      <c r="G75" t="str">
        <f t="shared" si="1"/>
        <v>Inventory, net</v>
      </c>
    </row>
    <row r="76" spans="2:7" x14ac:dyDescent="0.4">
      <c r="B76" s="4">
        <v>189648672</v>
      </c>
      <c r="C76" s="9" t="s">
        <v>1</v>
      </c>
      <c r="D76" t="s">
        <v>18</v>
      </c>
      <c r="E76" t="s">
        <v>152</v>
      </c>
      <c r="F76" t="s">
        <v>203</v>
      </c>
      <c r="G76" t="str">
        <f t="shared" si="1"/>
        <v>Inventory, net</v>
      </c>
    </row>
    <row r="77" spans="2:7" x14ac:dyDescent="0.4">
      <c r="B77" s="3" t="s">
        <v>9</v>
      </c>
      <c r="C77" s="9" t="s">
        <v>1</v>
      </c>
      <c r="D77" t="s">
        <v>100</v>
      </c>
      <c r="E77" t="s">
        <v>153</v>
      </c>
      <c r="F77" t="s">
        <v>203</v>
      </c>
      <c r="G77" t="str">
        <f t="shared" si="1"/>
        <v>Inventory, net</v>
      </c>
    </row>
    <row r="78" spans="2:7" x14ac:dyDescent="0.4">
      <c r="B78" s="4">
        <v>1303391080</v>
      </c>
      <c r="C78" s="9" t="s">
        <v>1</v>
      </c>
      <c r="D78" t="s">
        <v>19</v>
      </c>
      <c r="E78" t="s">
        <v>154</v>
      </c>
      <c r="F78" t="s">
        <v>203</v>
      </c>
      <c r="G78" t="str">
        <f t="shared" si="1"/>
        <v>Inventory, net</v>
      </c>
    </row>
    <row r="79" spans="2:7" x14ac:dyDescent="0.4">
      <c r="B79" s="3">
        <v>0</v>
      </c>
      <c r="C79" s="9" t="s">
        <v>1</v>
      </c>
      <c r="D79" t="s">
        <v>105</v>
      </c>
      <c r="E79" t="s">
        <v>155</v>
      </c>
      <c r="F79" t="s">
        <v>203</v>
      </c>
      <c r="G79" t="str">
        <f t="shared" si="1"/>
        <v>Inventory, net</v>
      </c>
    </row>
    <row r="80" spans="2:7" x14ac:dyDescent="0.4">
      <c r="B80" s="4">
        <v>1051553026</v>
      </c>
      <c r="C80" s="9" t="s">
        <v>1</v>
      </c>
      <c r="D80" t="s">
        <v>20</v>
      </c>
      <c r="E80" t="s">
        <v>156</v>
      </c>
      <c r="F80" t="s">
        <v>203</v>
      </c>
      <c r="G80" t="str">
        <f t="shared" si="1"/>
        <v>Inventory, net</v>
      </c>
    </row>
    <row r="81" spans="2:7" x14ac:dyDescent="0.4">
      <c r="B81" s="4">
        <v>-22129941</v>
      </c>
      <c r="C81" s="9" t="s">
        <v>1</v>
      </c>
      <c r="D81" t="s">
        <v>101</v>
      </c>
      <c r="E81" t="s">
        <v>157</v>
      </c>
      <c r="F81" t="s">
        <v>203</v>
      </c>
      <c r="G81" t="str">
        <f t="shared" si="1"/>
        <v>Inventory, net</v>
      </c>
    </row>
    <row r="82" spans="2:7" x14ac:dyDescent="0.4">
      <c r="B82" s="4">
        <v>1230012101</v>
      </c>
      <c r="C82" s="9" t="s">
        <v>1</v>
      </c>
      <c r="D82" t="s">
        <v>21</v>
      </c>
      <c r="E82" t="s">
        <v>158</v>
      </c>
      <c r="F82" t="s">
        <v>203</v>
      </c>
      <c r="G82" t="str">
        <f t="shared" si="1"/>
        <v>Inventory, net</v>
      </c>
    </row>
    <row r="83" spans="2:7" x14ac:dyDescent="0.4">
      <c r="B83" s="4">
        <v>1050431600</v>
      </c>
      <c r="C83" s="9" t="s">
        <v>1</v>
      </c>
      <c r="D83" t="s">
        <v>22</v>
      </c>
      <c r="E83" t="s">
        <v>159</v>
      </c>
      <c r="F83" t="s">
        <v>159</v>
      </c>
      <c r="G83" t="s">
        <v>159</v>
      </c>
    </row>
    <row r="84" spans="2:7" x14ac:dyDescent="0.4">
      <c r="B84" s="4">
        <v>2049916846</v>
      </c>
      <c r="C84" s="9" t="s">
        <v>1</v>
      </c>
      <c r="D84" t="s">
        <v>23</v>
      </c>
      <c r="E84" t="s">
        <v>160</v>
      </c>
      <c r="F84" t="s">
        <v>208</v>
      </c>
      <c r="G84" t="s">
        <v>239</v>
      </c>
    </row>
    <row r="85" spans="2:7" x14ac:dyDescent="0.4">
      <c r="B85" s="4">
        <v>-835397331</v>
      </c>
      <c r="C85" s="9" t="s">
        <v>1</v>
      </c>
      <c r="D85" t="s">
        <v>24</v>
      </c>
      <c r="E85" t="s">
        <v>161</v>
      </c>
      <c r="F85" t="s">
        <v>208</v>
      </c>
      <c r="G85" t="s">
        <v>239</v>
      </c>
    </row>
    <row r="86" spans="2:7" x14ac:dyDescent="0.4">
      <c r="B86" s="4">
        <v>1827934493</v>
      </c>
      <c r="C86" s="9" t="s">
        <v>1</v>
      </c>
      <c r="D86" t="s">
        <v>25</v>
      </c>
      <c r="E86" t="s">
        <v>162</v>
      </c>
      <c r="F86" t="s">
        <v>208</v>
      </c>
      <c r="G86" t="s">
        <v>239</v>
      </c>
    </row>
    <row r="87" spans="2:7" x14ac:dyDescent="0.4">
      <c r="B87" s="4">
        <v>-812276825</v>
      </c>
      <c r="C87" s="9" t="s">
        <v>1</v>
      </c>
      <c r="D87" t="s">
        <v>26</v>
      </c>
      <c r="E87" t="s">
        <v>163</v>
      </c>
      <c r="F87" t="s">
        <v>208</v>
      </c>
      <c r="G87" t="s">
        <v>239</v>
      </c>
    </row>
    <row r="88" spans="2:7" x14ac:dyDescent="0.4">
      <c r="B88" s="4">
        <v>1315317284</v>
      </c>
      <c r="C88" s="9" t="s">
        <v>1</v>
      </c>
      <c r="D88" t="s">
        <v>27</v>
      </c>
      <c r="E88" t="s">
        <v>164</v>
      </c>
      <c r="F88" t="s">
        <v>208</v>
      </c>
      <c r="G88" t="s">
        <v>239</v>
      </c>
    </row>
    <row r="89" spans="2:7" x14ac:dyDescent="0.4">
      <c r="B89" s="4">
        <v>-729193223</v>
      </c>
      <c r="C89" s="9" t="s">
        <v>1</v>
      </c>
      <c r="D89" t="s">
        <v>28</v>
      </c>
      <c r="E89" t="s">
        <v>165</v>
      </c>
      <c r="F89" t="s">
        <v>208</v>
      </c>
      <c r="G89" t="s">
        <v>239</v>
      </c>
    </row>
    <row r="90" spans="2:7" x14ac:dyDescent="0.4">
      <c r="B90" s="4">
        <v>2300000</v>
      </c>
      <c r="C90" s="9" t="s">
        <v>1</v>
      </c>
      <c r="D90" t="s">
        <v>29</v>
      </c>
      <c r="E90" t="s">
        <v>166</v>
      </c>
      <c r="F90" t="s">
        <v>208</v>
      </c>
      <c r="G90" t="s">
        <v>239</v>
      </c>
    </row>
    <row r="91" spans="2:7" x14ac:dyDescent="0.4">
      <c r="B91" s="4">
        <v>-2300000</v>
      </c>
      <c r="C91" s="9" t="s">
        <v>1</v>
      </c>
      <c r="D91" t="s">
        <v>30</v>
      </c>
      <c r="E91" t="s">
        <v>167</v>
      </c>
      <c r="F91" t="s">
        <v>208</v>
      </c>
      <c r="G91" t="s">
        <v>239</v>
      </c>
    </row>
    <row r="92" spans="2:7" x14ac:dyDescent="0.4">
      <c r="B92" s="4">
        <v>992560754</v>
      </c>
      <c r="C92" s="9" t="s">
        <v>1</v>
      </c>
      <c r="D92" t="s">
        <v>31</v>
      </c>
      <c r="E92" t="s">
        <v>168</v>
      </c>
      <c r="F92" t="s">
        <v>208</v>
      </c>
      <c r="G92" t="s">
        <v>239</v>
      </c>
    </row>
    <row r="93" spans="2:7" x14ac:dyDescent="0.4">
      <c r="B93" s="4">
        <v>-739557363</v>
      </c>
      <c r="C93" s="9" t="s">
        <v>1</v>
      </c>
      <c r="D93" t="s">
        <v>32</v>
      </c>
      <c r="E93" t="s">
        <v>169</v>
      </c>
      <c r="F93" t="s">
        <v>208</v>
      </c>
      <c r="G93" t="s">
        <v>239</v>
      </c>
    </row>
    <row r="94" spans="2:7" x14ac:dyDescent="0.4">
      <c r="B94" s="4">
        <v>4350841520</v>
      </c>
      <c r="C94" s="9" t="s">
        <v>1</v>
      </c>
      <c r="D94" t="s">
        <v>33</v>
      </c>
      <c r="E94" t="s">
        <v>170</v>
      </c>
      <c r="F94" t="s">
        <v>208</v>
      </c>
      <c r="G94" t="s">
        <v>239</v>
      </c>
    </row>
    <row r="95" spans="2:7" x14ac:dyDescent="0.4">
      <c r="B95" s="4">
        <v>-3425871124</v>
      </c>
      <c r="C95" s="9" t="s">
        <v>1</v>
      </c>
      <c r="D95" t="s">
        <v>34</v>
      </c>
      <c r="E95" t="s">
        <v>171</v>
      </c>
      <c r="F95" t="s">
        <v>208</v>
      </c>
      <c r="G95" t="s">
        <v>239</v>
      </c>
    </row>
    <row r="96" spans="2:7" x14ac:dyDescent="0.4">
      <c r="B96" s="4">
        <v>66608000</v>
      </c>
      <c r="C96" s="9" t="s">
        <v>1</v>
      </c>
      <c r="D96" t="s">
        <v>35</v>
      </c>
      <c r="E96" t="s">
        <v>172</v>
      </c>
      <c r="F96" t="s">
        <v>208</v>
      </c>
      <c r="G96" t="s">
        <v>239</v>
      </c>
    </row>
    <row r="97" spans="2:7" x14ac:dyDescent="0.4">
      <c r="B97" s="4">
        <v>3638322710</v>
      </c>
      <c r="C97" s="9" t="s">
        <v>1</v>
      </c>
      <c r="D97" t="s">
        <v>16</v>
      </c>
      <c r="E97" t="s">
        <v>196</v>
      </c>
      <c r="F97" t="s">
        <v>205</v>
      </c>
      <c r="G97" t="s">
        <v>236</v>
      </c>
    </row>
    <row r="98" spans="2:7" x14ac:dyDescent="0.4">
      <c r="B98" s="4">
        <v>407174831</v>
      </c>
      <c r="C98" s="9" t="s">
        <v>1</v>
      </c>
      <c r="D98" t="s">
        <v>15</v>
      </c>
      <c r="E98" t="s">
        <v>195</v>
      </c>
      <c r="F98" t="s">
        <v>205</v>
      </c>
      <c r="G98" t="s">
        <v>236</v>
      </c>
    </row>
    <row r="99" spans="2:7" x14ac:dyDescent="0.4">
      <c r="B99" s="3">
        <v>0</v>
      </c>
      <c r="C99" s="9" t="s">
        <v>1</v>
      </c>
      <c r="D99" t="s">
        <v>36</v>
      </c>
      <c r="E99" t="s">
        <v>173</v>
      </c>
      <c r="F99" t="s">
        <v>205</v>
      </c>
      <c r="G99" t="s">
        <v>236</v>
      </c>
    </row>
    <row r="100" spans="2:7" x14ac:dyDescent="0.4">
      <c r="B100" s="3">
        <v>0</v>
      </c>
      <c r="C100" s="9" t="s">
        <v>1</v>
      </c>
      <c r="D100" t="s">
        <v>106</v>
      </c>
      <c r="E100" t="s">
        <v>174</v>
      </c>
      <c r="F100" t="s">
        <v>205</v>
      </c>
      <c r="G100" t="s">
        <v>236</v>
      </c>
    </row>
    <row r="101" spans="2:7" x14ac:dyDescent="0.4">
      <c r="B101" s="3">
        <v>0</v>
      </c>
      <c r="C101" s="9" t="s">
        <v>1</v>
      </c>
      <c r="D101" t="s">
        <v>37</v>
      </c>
      <c r="E101" t="s">
        <v>175</v>
      </c>
      <c r="F101" t="s">
        <v>205</v>
      </c>
      <c r="G101" t="s">
        <v>236</v>
      </c>
    </row>
    <row r="102" spans="2:7" x14ac:dyDescent="0.4">
      <c r="B102" s="3">
        <v>0</v>
      </c>
      <c r="C102" s="9" t="s">
        <v>1</v>
      </c>
      <c r="D102" t="s">
        <v>107</v>
      </c>
      <c r="E102" t="s">
        <v>176</v>
      </c>
      <c r="F102" t="s">
        <v>205</v>
      </c>
      <c r="G102" t="s">
        <v>236</v>
      </c>
    </row>
    <row r="103" spans="2:7" x14ac:dyDescent="0.4">
      <c r="B103" s="3">
        <v>0</v>
      </c>
      <c r="C103" s="9" t="s">
        <v>1</v>
      </c>
      <c r="D103" t="s">
        <v>38</v>
      </c>
      <c r="E103" t="s">
        <v>177</v>
      </c>
      <c r="F103" t="s">
        <v>205</v>
      </c>
      <c r="G103" t="s">
        <v>236</v>
      </c>
    </row>
    <row r="104" spans="2:7" x14ac:dyDescent="0.4">
      <c r="B104" s="3">
        <v>0</v>
      </c>
      <c r="C104" s="9" t="s">
        <v>1</v>
      </c>
      <c r="D104" t="s">
        <v>39</v>
      </c>
      <c r="E104" t="s">
        <v>178</v>
      </c>
      <c r="F104" t="s">
        <v>209</v>
      </c>
      <c r="G104" t="s">
        <v>241</v>
      </c>
    </row>
    <row r="105" spans="2:7" x14ac:dyDescent="0.4">
      <c r="B105" s="4">
        <v>79807416891</v>
      </c>
      <c r="C105" s="9" t="s">
        <v>1</v>
      </c>
      <c r="D105" t="s">
        <v>40</v>
      </c>
      <c r="E105" t="s">
        <v>179</v>
      </c>
      <c r="F105" t="s">
        <v>207</v>
      </c>
      <c r="G105" t="str">
        <f t="shared" si="1"/>
        <v>Trade Payables, net</v>
      </c>
    </row>
    <row r="106" spans="2:7" x14ac:dyDescent="0.4">
      <c r="B106" s="4">
        <v>5267820154</v>
      </c>
      <c r="C106" s="9" t="s">
        <v>1</v>
      </c>
      <c r="D106" t="s">
        <v>41</v>
      </c>
      <c r="E106" t="s">
        <v>180</v>
      </c>
      <c r="F106" t="s">
        <v>209</v>
      </c>
      <c r="G106" t="s">
        <v>238</v>
      </c>
    </row>
    <row r="107" spans="2:7" x14ac:dyDescent="0.4">
      <c r="B107" s="4">
        <v>495537789</v>
      </c>
      <c r="C107" s="9" t="s">
        <v>1</v>
      </c>
      <c r="D107" t="s">
        <v>42</v>
      </c>
      <c r="E107" t="s">
        <v>181</v>
      </c>
      <c r="F107" t="s">
        <v>209</v>
      </c>
      <c r="G107" t="s">
        <v>238</v>
      </c>
    </row>
    <row r="108" spans="2:7" x14ac:dyDescent="0.4">
      <c r="B108" s="4">
        <v>739602055</v>
      </c>
      <c r="C108" s="9" t="s">
        <v>1</v>
      </c>
      <c r="D108" t="s">
        <v>43</v>
      </c>
      <c r="E108" t="s">
        <v>182</v>
      </c>
      <c r="F108" t="s">
        <v>209</v>
      </c>
      <c r="G108" t="s">
        <v>238</v>
      </c>
    </row>
    <row r="109" spans="2:7" x14ac:dyDescent="0.4">
      <c r="B109" s="4">
        <v>2473802403</v>
      </c>
      <c r="C109" s="9" t="s">
        <v>1</v>
      </c>
      <c r="D109" t="s">
        <v>44</v>
      </c>
      <c r="E109" t="s">
        <v>183</v>
      </c>
      <c r="F109" t="s">
        <v>209</v>
      </c>
      <c r="G109" t="s">
        <v>238</v>
      </c>
    </row>
    <row r="110" spans="2:7" x14ac:dyDescent="0.4">
      <c r="B110" s="4">
        <v>7321036381</v>
      </c>
      <c r="C110" s="9" t="s">
        <v>1</v>
      </c>
      <c r="D110" t="s">
        <v>45</v>
      </c>
      <c r="E110" t="s">
        <v>184</v>
      </c>
      <c r="F110" t="s">
        <v>209</v>
      </c>
      <c r="G110" t="s">
        <v>238</v>
      </c>
    </row>
    <row r="111" spans="2:7" x14ac:dyDescent="0.4">
      <c r="B111" s="4">
        <v>3792385442</v>
      </c>
      <c r="C111" s="9" t="s">
        <v>1</v>
      </c>
      <c r="D111" t="s">
        <v>46</v>
      </c>
      <c r="E111" t="s">
        <v>185</v>
      </c>
      <c r="F111" t="s">
        <v>209</v>
      </c>
      <c r="G111" t="s">
        <v>238</v>
      </c>
    </row>
    <row r="112" spans="2:7" x14ac:dyDescent="0.4">
      <c r="B112" s="4">
        <v>2186733919</v>
      </c>
      <c r="C112" s="9" t="s">
        <v>1</v>
      </c>
      <c r="D112" t="s">
        <v>47</v>
      </c>
      <c r="E112" t="s">
        <v>186</v>
      </c>
      <c r="F112" t="s">
        <v>209</v>
      </c>
      <c r="G112" t="s">
        <v>238</v>
      </c>
    </row>
    <row r="113" spans="2:7" x14ac:dyDescent="0.4">
      <c r="B113" s="4">
        <v>958044175</v>
      </c>
      <c r="C113" s="9" t="s">
        <v>1</v>
      </c>
      <c r="D113" t="s">
        <v>48</v>
      </c>
      <c r="E113" t="s">
        <v>198</v>
      </c>
      <c r="F113" t="s">
        <v>209</v>
      </c>
      <c r="G113" s="10" t="s">
        <v>238</v>
      </c>
    </row>
    <row r="114" spans="2:7" x14ac:dyDescent="0.4">
      <c r="B114" s="4">
        <v>275713432</v>
      </c>
      <c r="C114" s="9" t="s">
        <v>1</v>
      </c>
      <c r="D114" t="s">
        <v>49</v>
      </c>
      <c r="E114" t="s">
        <v>149</v>
      </c>
      <c r="F114" t="s">
        <v>209</v>
      </c>
      <c r="G114" t="s">
        <v>238</v>
      </c>
    </row>
    <row r="115" spans="2:7" x14ac:dyDescent="0.4">
      <c r="B115" s="4">
        <v>1275405241</v>
      </c>
      <c r="C115" s="9" t="s">
        <v>1</v>
      </c>
      <c r="D115" t="s">
        <v>48</v>
      </c>
      <c r="E115" t="s">
        <v>199</v>
      </c>
      <c r="F115" t="s">
        <v>210</v>
      </c>
      <c r="G115" s="10" t="s">
        <v>238</v>
      </c>
    </row>
    <row r="116" spans="2:7" x14ac:dyDescent="0.4">
      <c r="B116" s="4">
        <v>1537510000</v>
      </c>
      <c r="C116" s="9" t="s">
        <v>1</v>
      </c>
      <c r="D116" t="s">
        <v>50</v>
      </c>
      <c r="E116" t="s">
        <v>187</v>
      </c>
      <c r="F116" t="s">
        <v>211</v>
      </c>
      <c r="G116" t="str">
        <f t="shared" si="1"/>
        <v>Equity</v>
      </c>
    </row>
    <row r="117" spans="2:7" x14ac:dyDescent="0.4">
      <c r="B117" s="4">
        <v>11450695560</v>
      </c>
      <c r="C117" s="9" t="s">
        <v>1</v>
      </c>
      <c r="D117" t="s">
        <v>51</v>
      </c>
      <c r="E117" t="s">
        <v>188</v>
      </c>
      <c r="F117" t="s">
        <v>211</v>
      </c>
      <c r="G117" t="str">
        <f t="shared" si="1"/>
        <v>Equity</v>
      </c>
    </row>
    <row r="118" spans="2:7" x14ac:dyDescent="0.4">
      <c r="B118" s="4">
        <v>-3298563760</v>
      </c>
      <c r="C118" s="9" t="s">
        <v>1</v>
      </c>
      <c r="D118" t="s">
        <v>52</v>
      </c>
      <c r="E118" t="s">
        <v>189</v>
      </c>
      <c r="F118" t="s">
        <v>211</v>
      </c>
      <c r="G118" t="str">
        <f t="shared" si="1"/>
        <v>Equity</v>
      </c>
    </row>
    <row r="119" spans="2:7" x14ac:dyDescent="0.4">
      <c r="B119" s="4">
        <v>913500000</v>
      </c>
      <c r="C119" s="9" t="s">
        <v>1</v>
      </c>
      <c r="D119" t="s">
        <v>53</v>
      </c>
      <c r="E119" t="s">
        <v>190</v>
      </c>
      <c r="F119" t="s">
        <v>211</v>
      </c>
      <c r="G119" t="str">
        <f t="shared" si="1"/>
        <v>Equity</v>
      </c>
    </row>
    <row r="120" spans="2:7" x14ac:dyDescent="0.4">
      <c r="B120" s="4">
        <v>12956662354</v>
      </c>
      <c r="C120" s="9" t="s">
        <v>1</v>
      </c>
      <c r="D120" t="s">
        <v>103</v>
      </c>
      <c r="E120" t="s">
        <v>191</v>
      </c>
      <c r="F120" t="s">
        <v>211</v>
      </c>
      <c r="G120" t="str">
        <f t="shared" si="1"/>
        <v>Equity</v>
      </c>
    </row>
    <row r="121" spans="2:7" x14ac:dyDescent="0.4">
      <c r="B121" s="4">
        <v>10022966464</v>
      </c>
      <c r="C121" s="9" t="s">
        <v>4</v>
      </c>
      <c r="D121" t="s">
        <v>98</v>
      </c>
      <c r="E121" t="s">
        <v>192</v>
      </c>
      <c r="F121" t="s">
        <v>192</v>
      </c>
      <c r="G121" t="str">
        <f t="shared" si="1"/>
        <v>Cash and Cash Equivalents</v>
      </c>
    </row>
    <row r="122" spans="2:7" x14ac:dyDescent="0.4">
      <c r="B122" s="4">
        <v>55678960146</v>
      </c>
      <c r="C122" s="9" t="s">
        <v>4</v>
      </c>
      <c r="D122" t="s">
        <v>102</v>
      </c>
      <c r="E122" t="s">
        <v>143</v>
      </c>
      <c r="F122" t="s">
        <v>201</v>
      </c>
      <c r="G122" s="10" t="s">
        <v>285</v>
      </c>
    </row>
    <row r="123" spans="2:7" x14ac:dyDescent="0.4">
      <c r="B123" s="4">
        <v>-197390873</v>
      </c>
      <c r="C123" s="9" t="s">
        <v>4</v>
      </c>
      <c r="D123" t="s">
        <v>10</v>
      </c>
      <c r="E123" t="s">
        <v>193</v>
      </c>
      <c r="F123" t="s">
        <v>201</v>
      </c>
      <c r="G123" s="10" t="s">
        <v>285</v>
      </c>
    </row>
    <row r="124" spans="2:7" x14ac:dyDescent="0.4">
      <c r="B124" s="4">
        <v>2442424864</v>
      </c>
      <c r="C124" s="9" t="s">
        <v>4</v>
      </c>
      <c r="D124" t="s">
        <v>11</v>
      </c>
      <c r="E124" t="s">
        <v>144</v>
      </c>
      <c r="F124" t="s">
        <v>201</v>
      </c>
      <c r="G124" s="10" t="s">
        <v>285</v>
      </c>
    </row>
    <row r="125" spans="2:7" x14ac:dyDescent="0.4">
      <c r="B125" s="4">
        <v>2453333</v>
      </c>
      <c r="C125" s="9" t="s">
        <v>4</v>
      </c>
      <c r="D125" t="s">
        <v>104</v>
      </c>
      <c r="E125" t="s">
        <v>145</v>
      </c>
      <c r="F125" t="s">
        <v>204</v>
      </c>
      <c r="G125" t="s">
        <v>236</v>
      </c>
    </row>
    <row r="126" spans="2:7" x14ac:dyDescent="0.4">
      <c r="B126" s="4">
        <v>180000</v>
      </c>
      <c r="C126" s="9" t="s">
        <v>4</v>
      </c>
      <c r="D126" t="s">
        <v>12</v>
      </c>
      <c r="E126" t="s">
        <v>146</v>
      </c>
      <c r="F126" t="s">
        <v>204</v>
      </c>
      <c r="G126" t="s">
        <v>236</v>
      </c>
    </row>
    <row r="127" spans="2:7" x14ac:dyDescent="0.4">
      <c r="B127" s="4">
        <v>328621426</v>
      </c>
      <c r="C127" s="9" t="s">
        <v>4</v>
      </c>
      <c r="D127" t="s">
        <v>13</v>
      </c>
      <c r="E127" t="s">
        <v>147</v>
      </c>
      <c r="F127" t="s">
        <v>204</v>
      </c>
      <c r="G127" t="s">
        <v>236</v>
      </c>
    </row>
    <row r="128" spans="2:7" x14ac:dyDescent="0.4">
      <c r="B128" s="4">
        <v>37117302</v>
      </c>
      <c r="C128" s="9" t="s">
        <v>4</v>
      </c>
      <c r="D128" t="s">
        <v>14</v>
      </c>
      <c r="E128" t="s">
        <v>148</v>
      </c>
      <c r="F128" t="s">
        <v>204</v>
      </c>
      <c r="G128" t="s">
        <v>236</v>
      </c>
    </row>
    <row r="129" spans="2:7" x14ac:dyDescent="0.4">
      <c r="B129" s="4">
        <v>3022989665</v>
      </c>
      <c r="C129" s="9" t="s">
        <v>4</v>
      </c>
      <c r="D129" t="s">
        <v>15</v>
      </c>
      <c r="E129" t="s">
        <v>194</v>
      </c>
      <c r="F129" t="s">
        <v>204</v>
      </c>
      <c r="G129" t="s">
        <v>236</v>
      </c>
    </row>
    <row r="130" spans="2:7" x14ac:dyDescent="0.4">
      <c r="B130" s="4">
        <v>135000000</v>
      </c>
      <c r="C130" s="9" t="s">
        <v>4</v>
      </c>
      <c r="D130" t="s">
        <v>16</v>
      </c>
      <c r="E130" t="s">
        <v>197</v>
      </c>
      <c r="F130" t="s">
        <v>204</v>
      </c>
      <c r="G130" t="s">
        <v>236</v>
      </c>
    </row>
    <row r="131" spans="2:7" x14ac:dyDescent="0.4">
      <c r="B131" s="4">
        <v>7563010908</v>
      </c>
      <c r="C131" s="9" t="s">
        <v>4</v>
      </c>
      <c r="D131" t="s">
        <v>17</v>
      </c>
      <c r="E131" t="s">
        <v>150</v>
      </c>
      <c r="F131" t="s">
        <v>203</v>
      </c>
      <c r="G131" t="str">
        <f t="shared" si="1"/>
        <v>Inventory, net</v>
      </c>
    </row>
    <row r="132" spans="2:7" x14ac:dyDescent="0.4">
      <c r="B132" s="4">
        <v>-348364318</v>
      </c>
      <c r="C132" s="9" t="s">
        <v>4</v>
      </c>
      <c r="D132" t="s">
        <v>99</v>
      </c>
      <c r="E132" t="s">
        <v>151</v>
      </c>
      <c r="F132" t="s">
        <v>203</v>
      </c>
      <c r="G132" t="str">
        <f t="shared" si="1"/>
        <v>Inventory, net</v>
      </c>
    </row>
    <row r="133" spans="2:7" x14ac:dyDescent="0.4">
      <c r="B133" s="4">
        <v>504152866</v>
      </c>
      <c r="C133" s="9" t="s">
        <v>4</v>
      </c>
      <c r="D133" t="s">
        <v>18</v>
      </c>
      <c r="E133" t="s">
        <v>152</v>
      </c>
      <c r="F133" t="s">
        <v>203</v>
      </c>
      <c r="G133" t="str">
        <f t="shared" si="1"/>
        <v>Inventory, net</v>
      </c>
    </row>
    <row r="134" spans="2:7" x14ac:dyDescent="0.4">
      <c r="B134" s="4">
        <v>-2888051</v>
      </c>
      <c r="C134" s="9" t="s">
        <v>4</v>
      </c>
      <c r="D134" t="s">
        <v>100</v>
      </c>
      <c r="E134" t="s">
        <v>153</v>
      </c>
      <c r="F134" t="s">
        <v>203</v>
      </c>
      <c r="G134" t="str">
        <f t="shared" si="1"/>
        <v>Inventory, net</v>
      </c>
    </row>
    <row r="135" spans="2:7" x14ac:dyDescent="0.4">
      <c r="B135" s="4">
        <v>740293608</v>
      </c>
      <c r="C135" s="9" t="s">
        <v>4</v>
      </c>
      <c r="D135" t="s">
        <v>19</v>
      </c>
      <c r="E135" t="s">
        <v>154</v>
      </c>
      <c r="F135" t="s">
        <v>203</v>
      </c>
      <c r="G135" t="str">
        <f t="shared" si="1"/>
        <v>Inventory, net</v>
      </c>
    </row>
    <row r="136" spans="2:7" x14ac:dyDescent="0.4">
      <c r="B136" s="4">
        <v>-13779067</v>
      </c>
      <c r="C136" s="9" t="s">
        <v>4</v>
      </c>
      <c r="D136" t="s">
        <v>105</v>
      </c>
      <c r="E136" t="s">
        <v>155</v>
      </c>
      <c r="F136" t="s">
        <v>203</v>
      </c>
      <c r="G136" t="str">
        <f t="shared" ref="G136:G196" si="2">+F136</f>
        <v>Inventory, net</v>
      </c>
    </row>
    <row r="137" spans="2:7" x14ac:dyDescent="0.4">
      <c r="B137" s="4">
        <v>890983754</v>
      </c>
      <c r="C137" s="9" t="s">
        <v>4</v>
      </c>
      <c r="D137" t="s">
        <v>20</v>
      </c>
      <c r="E137" t="s">
        <v>156</v>
      </c>
      <c r="F137" t="s">
        <v>203</v>
      </c>
      <c r="G137" t="str">
        <f t="shared" si="2"/>
        <v>Inventory, net</v>
      </c>
    </row>
    <row r="138" spans="2:7" x14ac:dyDescent="0.4">
      <c r="B138" s="4">
        <v>-56763806</v>
      </c>
      <c r="C138" s="9" t="s">
        <v>4</v>
      </c>
      <c r="D138" t="s">
        <v>101</v>
      </c>
      <c r="E138" t="s">
        <v>157</v>
      </c>
      <c r="F138" t="s">
        <v>203</v>
      </c>
      <c r="G138" t="str">
        <f t="shared" si="2"/>
        <v>Inventory, net</v>
      </c>
    </row>
    <row r="139" spans="2:7" x14ac:dyDescent="0.4">
      <c r="B139" s="4">
        <v>5775564601</v>
      </c>
      <c r="C139" s="9" t="s">
        <v>4</v>
      </c>
      <c r="D139" t="s">
        <v>21</v>
      </c>
      <c r="E139" t="s">
        <v>158</v>
      </c>
      <c r="F139" t="s">
        <v>203</v>
      </c>
      <c r="G139" t="str">
        <f t="shared" si="2"/>
        <v>Inventory, net</v>
      </c>
    </row>
    <row r="140" spans="2:7" x14ac:dyDescent="0.4">
      <c r="B140" s="4">
        <v>566667600</v>
      </c>
      <c r="C140" s="9" t="s">
        <v>4</v>
      </c>
      <c r="D140" t="s">
        <v>22</v>
      </c>
      <c r="E140" t="s">
        <v>159</v>
      </c>
      <c r="F140" t="s">
        <v>159</v>
      </c>
      <c r="G140" t="s">
        <v>159</v>
      </c>
    </row>
    <row r="141" spans="2:7" x14ac:dyDescent="0.4">
      <c r="B141" s="4">
        <v>1133813846</v>
      </c>
      <c r="C141" s="9" t="s">
        <v>4</v>
      </c>
      <c r="D141" t="s">
        <v>23</v>
      </c>
      <c r="E141" t="s">
        <v>160</v>
      </c>
      <c r="F141" t="s">
        <v>208</v>
      </c>
      <c r="G141" t="s">
        <v>239</v>
      </c>
    </row>
    <row r="142" spans="2:7" x14ac:dyDescent="0.4">
      <c r="B142" s="4">
        <v>-521483333</v>
      </c>
      <c r="C142" s="9" t="s">
        <v>4</v>
      </c>
      <c r="D142" t="s">
        <v>24</v>
      </c>
      <c r="E142" t="s">
        <v>161</v>
      </c>
      <c r="F142" t="s">
        <v>208</v>
      </c>
      <c r="G142" t="s">
        <v>239</v>
      </c>
    </row>
    <row r="143" spans="2:7" x14ac:dyDescent="0.4">
      <c r="B143" s="4">
        <v>1908878807</v>
      </c>
      <c r="C143" s="9" t="s">
        <v>4</v>
      </c>
      <c r="D143" t="s">
        <v>25</v>
      </c>
      <c r="E143" t="s">
        <v>162</v>
      </c>
      <c r="F143" t="s">
        <v>208</v>
      </c>
      <c r="G143" t="s">
        <v>239</v>
      </c>
    </row>
    <row r="144" spans="2:7" x14ac:dyDescent="0.4">
      <c r="B144" s="4">
        <v>-196230391</v>
      </c>
      <c r="C144" s="9" t="s">
        <v>4</v>
      </c>
      <c r="D144" t="s">
        <v>26</v>
      </c>
      <c r="E144" t="s">
        <v>163</v>
      </c>
      <c r="F144" t="s">
        <v>208</v>
      </c>
      <c r="G144" t="s">
        <v>239</v>
      </c>
    </row>
    <row r="145" spans="2:7" x14ac:dyDescent="0.4">
      <c r="B145" s="4">
        <v>1991336529</v>
      </c>
      <c r="C145" s="9" t="s">
        <v>4</v>
      </c>
      <c r="D145" t="s">
        <v>27</v>
      </c>
      <c r="E145" t="s">
        <v>164</v>
      </c>
      <c r="F145" t="s">
        <v>208</v>
      </c>
      <c r="G145" t="s">
        <v>239</v>
      </c>
    </row>
    <row r="146" spans="2:7" x14ac:dyDescent="0.4">
      <c r="B146" s="4">
        <v>-1105022504</v>
      </c>
      <c r="C146" s="9" t="s">
        <v>4</v>
      </c>
      <c r="D146" t="s">
        <v>28</v>
      </c>
      <c r="E146" t="s">
        <v>165</v>
      </c>
      <c r="F146" t="s">
        <v>208</v>
      </c>
      <c r="G146" t="s">
        <v>239</v>
      </c>
    </row>
    <row r="147" spans="2:7" x14ac:dyDescent="0.4">
      <c r="B147" s="4">
        <v>2300000</v>
      </c>
      <c r="C147" s="9" t="s">
        <v>4</v>
      </c>
      <c r="D147" t="s">
        <v>29</v>
      </c>
      <c r="E147" t="s">
        <v>166</v>
      </c>
      <c r="F147" t="s">
        <v>208</v>
      </c>
      <c r="G147" t="s">
        <v>239</v>
      </c>
    </row>
    <row r="148" spans="2:7" x14ac:dyDescent="0.4">
      <c r="B148" s="4">
        <v>-2300000</v>
      </c>
      <c r="C148" s="9" t="s">
        <v>4</v>
      </c>
      <c r="D148" t="s">
        <v>30</v>
      </c>
      <c r="E148" t="s">
        <v>167</v>
      </c>
      <c r="F148" t="s">
        <v>208</v>
      </c>
      <c r="G148" t="s">
        <v>239</v>
      </c>
    </row>
    <row r="149" spans="2:7" x14ac:dyDescent="0.4">
      <c r="B149" s="4">
        <v>877852014</v>
      </c>
      <c r="C149" s="9" t="s">
        <v>4</v>
      </c>
      <c r="D149" t="s">
        <v>31</v>
      </c>
      <c r="E149" t="s">
        <v>168</v>
      </c>
      <c r="F149" t="s">
        <v>208</v>
      </c>
      <c r="G149" t="s">
        <v>239</v>
      </c>
    </row>
    <row r="150" spans="2:7" x14ac:dyDescent="0.4">
      <c r="B150" s="4">
        <v>-551699856</v>
      </c>
      <c r="C150" s="9" t="s">
        <v>4</v>
      </c>
      <c r="D150" t="s">
        <v>32</v>
      </c>
      <c r="E150" t="s">
        <v>169</v>
      </c>
      <c r="F150" t="s">
        <v>208</v>
      </c>
      <c r="G150" t="s">
        <v>239</v>
      </c>
    </row>
    <row r="151" spans="2:7" x14ac:dyDescent="0.4">
      <c r="B151" s="4">
        <v>4001874860</v>
      </c>
      <c r="C151" s="9" t="s">
        <v>4</v>
      </c>
      <c r="D151" t="s">
        <v>33</v>
      </c>
      <c r="E151" t="s">
        <v>170</v>
      </c>
      <c r="F151" t="s">
        <v>208</v>
      </c>
      <c r="G151" t="s">
        <v>239</v>
      </c>
    </row>
    <row r="152" spans="2:7" x14ac:dyDescent="0.4">
      <c r="B152" s="4">
        <v>-3458869674</v>
      </c>
      <c r="C152" s="9" t="s">
        <v>4</v>
      </c>
      <c r="D152" t="s">
        <v>34</v>
      </c>
      <c r="E152" t="s">
        <v>171</v>
      </c>
      <c r="F152" t="s">
        <v>208</v>
      </c>
      <c r="G152" t="s">
        <v>239</v>
      </c>
    </row>
    <row r="153" spans="2:7" x14ac:dyDescent="0.4">
      <c r="B153" s="4">
        <v>17000000</v>
      </c>
      <c r="C153" s="9" t="s">
        <v>4</v>
      </c>
      <c r="D153" t="s">
        <v>35</v>
      </c>
      <c r="E153" t="s">
        <v>172</v>
      </c>
      <c r="F153" t="s">
        <v>208</v>
      </c>
      <c r="G153" t="s">
        <v>239</v>
      </c>
    </row>
    <row r="154" spans="2:7" x14ac:dyDescent="0.4">
      <c r="B154" s="4">
        <v>3507349110</v>
      </c>
      <c r="C154" s="9" t="s">
        <v>4</v>
      </c>
      <c r="D154" t="s">
        <v>16</v>
      </c>
      <c r="E154" t="s">
        <v>196</v>
      </c>
      <c r="F154" t="s">
        <v>205</v>
      </c>
      <c r="G154" t="s">
        <v>236</v>
      </c>
    </row>
    <row r="155" spans="2:7" x14ac:dyDescent="0.4">
      <c r="B155" s="4">
        <v>347948983</v>
      </c>
      <c r="C155" s="9" t="s">
        <v>4</v>
      </c>
      <c r="D155" t="s">
        <v>15</v>
      </c>
      <c r="E155" t="s">
        <v>195</v>
      </c>
      <c r="F155" t="s">
        <v>205</v>
      </c>
      <c r="G155" t="s">
        <v>236</v>
      </c>
    </row>
    <row r="156" spans="2:7" x14ac:dyDescent="0.4">
      <c r="B156" s="4">
        <v>160000000</v>
      </c>
      <c r="C156" s="9" t="s">
        <v>4</v>
      </c>
      <c r="D156" t="s">
        <v>36</v>
      </c>
      <c r="E156" t="s">
        <v>173</v>
      </c>
      <c r="F156" t="s">
        <v>205</v>
      </c>
      <c r="G156" t="s">
        <v>236</v>
      </c>
    </row>
    <row r="157" spans="2:7" x14ac:dyDescent="0.4">
      <c r="B157" s="4">
        <v>-160000000</v>
      </c>
      <c r="C157" s="9" t="s">
        <v>4</v>
      </c>
      <c r="D157" t="s">
        <v>106</v>
      </c>
      <c r="E157" t="s">
        <v>174</v>
      </c>
      <c r="F157" t="s">
        <v>205</v>
      </c>
      <c r="G157" t="s">
        <v>236</v>
      </c>
    </row>
    <row r="158" spans="2:7" x14ac:dyDescent="0.4">
      <c r="B158" s="4">
        <v>160000000</v>
      </c>
      <c r="C158" s="9" t="s">
        <v>4</v>
      </c>
      <c r="D158" t="s">
        <v>37</v>
      </c>
      <c r="E158" t="s">
        <v>175</v>
      </c>
      <c r="F158" t="s">
        <v>205</v>
      </c>
      <c r="G158" t="s">
        <v>236</v>
      </c>
    </row>
    <row r="159" spans="2:7" x14ac:dyDescent="0.4">
      <c r="B159" s="4">
        <v>-160000000</v>
      </c>
      <c r="C159" s="9" t="s">
        <v>4</v>
      </c>
      <c r="D159" t="s">
        <v>107</v>
      </c>
      <c r="E159" t="s">
        <v>176</v>
      </c>
      <c r="F159" t="s">
        <v>205</v>
      </c>
      <c r="G159" t="s">
        <v>236</v>
      </c>
    </row>
    <row r="160" spans="2:7" x14ac:dyDescent="0.4">
      <c r="B160" s="4">
        <v>941727956</v>
      </c>
      <c r="C160" s="9" t="s">
        <v>4</v>
      </c>
      <c r="D160" t="s">
        <v>38</v>
      </c>
      <c r="E160" t="s">
        <v>177</v>
      </c>
      <c r="F160" t="s">
        <v>205</v>
      </c>
      <c r="G160" t="s">
        <v>236</v>
      </c>
    </row>
    <row r="161" spans="2:7" x14ac:dyDescent="0.4">
      <c r="B161" s="4">
        <v>2121341492</v>
      </c>
      <c r="C161" s="9" t="s">
        <v>4</v>
      </c>
      <c r="D161" t="s">
        <v>39</v>
      </c>
      <c r="E161" t="s">
        <v>178</v>
      </c>
      <c r="F161" t="s">
        <v>209</v>
      </c>
      <c r="G161" t="s">
        <v>241</v>
      </c>
    </row>
    <row r="162" spans="2:7" x14ac:dyDescent="0.4">
      <c r="B162" s="4">
        <v>40817513240</v>
      </c>
      <c r="C162" s="9" t="s">
        <v>4</v>
      </c>
      <c r="D162" t="s">
        <v>40</v>
      </c>
      <c r="E162" t="s">
        <v>179</v>
      </c>
      <c r="F162" t="s">
        <v>207</v>
      </c>
      <c r="G162" t="str">
        <f t="shared" si="2"/>
        <v>Trade Payables, net</v>
      </c>
    </row>
    <row r="163" spans="2:7" x14ac:dyDescent="0.4">
      <c r="B163" s="4">
        <v>11945829135</v>
      </c>
      <c r="C163" s="9" t="s">
        <v>4</v>
      </c>
      <c r="D163" t="s">
        <v>41</v>
      </c>
      <c r="E163" t="s">
        <v>180</v>
      </c>
      <c r="F163" t="s">
        <v>209</v>
      </c>
      <c r="G163" t="s">
        <v>238</v>
      </c>
    </row>
    <row r="164" spans="2:7" x14ac:dyDescent="0.4">
      <c r="B164" s="4">
        <v>208590456</v>
      </c>
      <c r="C164" s="9" t="s">
        <v>4</v>
      </c>
      <c r="D164" t="s">
        <v>42</v>
      </c>
      <c r="E164" t="s">
        <v>181</v>
      </c>
      <c r="F164" t="s">
        <v>209</v>
      </c>
      <c r="G164" t="s">
        <v>238</v>
      </c>
    </row>
    <row r="165" spans="2:7" x14ac:dyDescent="0.4">
      <c r="B165" s="4">
        <v>720428425</v>
      </c>
      <c r="C165" s="9" t="s">
        <v>4</v>
      </c>
      <c r="D165" t="s">
        <v>43</v>
      </c>
      <c r="E165" t="s">
        <v>182</v>
      </c>
      <c r="F165" t="s">
        <v>209</v>
      </c>
      <c r="G165" t="s">
        <v>238</v>
      </c>
    </row>
    <row r="166" spans="2:7" x14ac:dyDescent="0.4">
      <c r="B166" s="4">
        <v>1270976890</v>
      </c>
      <c r="C166" s="9" t="s">
        <v>4</v>
      </c>
      <c r="D166" t="s">
        <v>44</v>
      </c>
      <c r="E166" t="s">
        <v>183</v>
      </c>
      <c r="F166" t="s">
        <v>209</v>
      </c>
      <c r="G166" t="s">
        <v>238</v>
      </c>
    </row>
    <row r="167" spans="2:7" x14ac:dyDescent="0.4">
      <c r="B167" s="4">
        <v>11264574245</v>
      </c>
      <c r="C167" s="9" t="s">
        <v>4</v>
      </c>
      <c r="D167" t="s">
        <v>45</v>
      </c>
      <c r="E167" t="s">
        <v>184</v>
      </c>
      <c r="F167" t="s">
        <v>209</v>
      </c>
      <c r="G167" t="s">
        <v>238</v>
      </c>
    </row>
    <row r="168" spans="2:7" x14ac:dyDescent="0.4">
      <c r="B168" s="4">
        <v>4515399768</v>
      </c>
      <c r="C168" s="9" t="s">
        <v>4</v>
      </c>
      <c r="D168" t="s">
        <v>46</v>
      </c>
      <c r="E168" t="s">
        <v>185</v>
      </c>
      <c r="F168" t="s">
        <v>209</v>
      </c>
      <c r="G168" t="s">
        <v>238</v>
      </c>
    </row>
    <row r="169" spans="2:7" x14ac:dyDescent="0.4">
      <c r="B169" s="4">
        <v>2528817033</v>
      </c>
      <c r="C169" s="9" t="s">
        <v>4</v>
      </c>
      <c r="D169" t="s">
        <v>47</v>
      </c>
      <c r="E169" t="s">
        <v>186</v>
      </c>
      <c r="F169" t="s">
        <v>209</v>
      </c>
      <c r="G169" t="s">
        <v>238</v>
      </c>
    </row>
    <row r="170" spans="2:7" x14ac:dyDescent="0.4">
      <c r="B170" s="4">
        <v>1539230048</v>
      </c>
      <c r="C170" s="9" t="s">
        <v>4</v>
      </c>
      <c r="D170" t="s">
        <v>48</v>
      </c>
      <c r="E170" t="s">
        <v>198</v>
      </c>
      <c r="F170" t="s">
        <v>209</v>
      </c>
      <c r="G170" s="10" t="s">
        <v>238</v>
      </c>
    </row>
    <row r="171" spans="2:7" x14ac:dyDescent="0.4">
      <c r="B171" s="4">
        <v>339172067</v>
      </c>
      <c r="C171" s="9" t="s">
        <v>4</v>
      </c>
      <c r="D171" t="s">
        <v>49</v>
      </c>
      <c r="E171" t="s">
        <v>149</v>
      </c>
      <c r="F171" t="s">
        <v>209</v>
      </c>
      <c r="G171" t="s">
        <v>238</v>
      </c>
    </row>
    <row r="172" spans="2:7" x14ac:dyDescent="0.4">
      <c r="B172" s="4">
        <v>1146208709</v>
      </c>
      <c r="C172" s="9" t="s">
        <v>4</v>
      </c>
      <c r="D172" t="s">
        <v>48</v>
      </c>
      <c r="E172" t="s">
        <v>199</v>
      </c>
      <c r="F172" t="s">
        <v>210</v>
      </c>
      <c r="G172" s="10" t="s">
        <v>238</v>
      </c>
    </row>
    <row r="173" spans="2:7" x14ac:dyDescent="0.4">
      <c r="B173" s="4">
        <v>1537510000</v>
      </c>
      <c r="C173" s="9" t="s">
        <v>4</v>
      </c>
      <c r="D173" t="s">
        <v>50</v>
      </c>
      <c r="E173" t="s">
        <v>187</v>
      </c>
      <c r="F173" t="s">
        <v>211</v>
      </c>
      <c r="G173" t="str">
        <f t="shared" si="2"/>
        <v>Equity</v>
      </c>
    </row>
    <row r="174" spans="2:7" x14ac:dyDescent="0.4">
      <c r="B174" s="4">
        <v>11450695560</v>
      </c>
      <c r="C174" s="9" t="s">
        <v>4</v>
      </c>
      <c r="D174" t="s">
        <v>51</v>
      </c>
      <c r="E174" t="s">
        <v>188</v>
      </c>
      <c r="F174" t="s">
        <v>211</v>
      </c>
      <c r="G174" t="str">
        <f t="shared" si="2"/>
        <v>Equity</v>
      </c>
    </row>
    <row r="175" spans="2:7" x14ac:dyDescent="0.4">
      <c r="B175" s="4">
        <v>-915625067</v>
      </c>
      <c r="C175" s="9" t="s">
        <v>4</v>
      </c>
      <c r="D175" t="s">
        <v>52</v>
      </c>
      <c r="E175" t="s">
        <v>189</v>
      </c>
      <c r="F175" t="s">
        <v>211</v>
      </c>
      <c r="G175" t="str">
        <f t="shared" si="2"/>
        <v>Equity</v>
      </c>
    </row>
    <row r="176" spans="2:7" x14ac:dyDescent="0.4">
      <c r="B176" s="4">
        <v>913500000</v>
      </c>
      <c r="C176" s="9" t="s">
        <v>4</v>
      </c>
      <c r="D176" t="s">
        <v>53</v>
      </c>
      <c r="E176" t="s">
        <v>190</v>
      </c>
      <c r="F176" t="s">
        <v>211</v>
      </c>
      <c r="G176" t="str">
        <f t="shared" si="2"/>
        <v>Equity</v>
      </c>
    </row>
    <row r="177" spans="2:7" x14ac:dyDescent="0.4">
      <c r="B177" s="4">
        <v>4582514768</v>
      </c>
      <c r="C177" s="9" t="s">
        <v>4</v>
      </c>
      <c r="D177" t="s">
        <v>103</v>
      </c>
      <c r="E177" t="s">
        <v>191</v>
      </c>
      <c r="F177" t="s">
        <v>211</v>
      </c>
      <c r="G177" t="str">
        <f t="shared" si="2"/>
        <v>Equity</v>
      </c>
    </row>
    <row r="178" spans="2:7" x14ac:dyDescent="0.4">
      <c r="B178" s="4">
        <v>6648385992</v>
      </c>
      <c r="C178" s="9" t="s">
        <v>5</v>
      </c>
      <c r="D178" t="s">
        <v>98</v>
      </c>
      <c r="E178" t="s">
        <v>192</v>
      </c>
      <c r="F178" t="s">
        <v>192</v>
      </c>
      <c r="G178" t="str">
        <f t="shared" si="2"/>
        <v>Cash and Cash Equivalents</v>
      </c>
    </row>
    <row r="179" spans="2:7" x14ac:dyDescent="0.4">
      <c r="B179" s="4">
        <v>68762655555</v>
      </c>
      <c r="C179" s="9" t="s">
        <v>5</v>
      </c>
      <c r="D179" t="s">
        <v>102</v>
      </c>
      <c r="E179" t="s">
        <v>143</v>
      </c>
      <c r="F179" t="s">
        <v>201</v>
      </c>
      <c r="G179" s="10" t="s">
        <v>285</v>
      </c>
    </row>
    <row r="180" spans="2:7" x14ac:dyDescent="0.4">
      <c r="B180" s="4">
        <v>-705888077</v>
      </c>
      <c r="C180" s="9" t="s">
        <v>5</v>
      </c>
      <c r="D180" t="s">
        <v>10</v>
      </c>
      <c r="E180" t="s">
        <v>193</v>
      </c>
      <c r="F180" t="s">
        <v>201</v>
      </c>
      <c r="G180" s="10" t="s">
        <v>285</v>
      </c>
    </row>
    <row r="181" spans="2:7" x14ac:dyDescent="0.4">
      <c r="B181" s="4">
        <v>2800497971</v>
      </c>
      <c r="C181" s="9" t="s">
        <v>5</v>
      </c>
      <c r="D181" t="s">
        <v>11</v>
      </c>
      <c r="E181" t="s">
        <v>144</v>
      </c>
      <c r="F181" t="s">
        <v>201</v>
      </c>
      <c r="G181" s="10" t="s">
        <v>285</v>
      </c>
    </row>
    <row r="182" spans="2:7" x14ac:dyDescent="0.4">
      <c r="B182" s="3" t="s">
        <v>9</v>
      </c>
      <c r="C182" s="9" t="s">
        <v>5</v>
      </c>
      <c r="D182" t="s">
        <v>104</v>
      </c>
      <c r="E182" t="s">
        <v>145</v>
      </c>
      <c r="F182" t="s">
        <v>204</v>
      </c>
      <c r="G182" t="s">
        <v>236</v>
      </c>
    </row>
    <row r="183" spans="2:7" x14ac:dyDescent="0.4">
      <c r="B183" s="4">
        <v>1932340</v>
      </c>
      <c r="C183" s="9" t="s">
        <v>5</v>
      </c>
      <c r="D183" t="s">
        <v>12</v>
      </c>
      <c r="E183" t="s">
        <v>146</v>
      </c>
      <c r="F183" t="s">
        <v>204</v>
      </c>
      <c r="G183" t="s">
        <v>236</v>
      </c>
    </row>
    <row r="184" spans="2:7" x14ac:dyDescent="0.4">
      <c r="B184" s="4">
        <v>363665888</v>
      </c>
      <c r="C184" s="9" t="s">
        <v>5</v>
      </c>
      <c r="D184" t="s">
        <v>13</v>
      </c>
      <c r="E184" t="s">
        <v>147</v>
      </c>
      <c r="F184" t="s">
        <v>204</v>
      </c>
      <c r="G184" t="s">
        <v>236</v>
      </c>
    </row>
    <row r="185" spans="2:7" x14ac:dyDescent="0.4">
      <c r="B185" s="4">
        <v>9866471</v>
      </c>
      <c r="C185" s="9" t="s">
        <v>5</v>
      </c>
      <c r="D185" t="s">
        <v>14</v>
      </c>
      <c r="E185" t="s">
        <v>148</v>
      </c>
      <c r="F185" t="s">
        <v>204</v>
      </c>
      <c r="G185" t="s">
        <v>236</v>
      </c>
    </row>
    <row r="186" spans="2:7" x14ac:dyDescent="0.4">
      <c r="B186" s="4">
        <v>3631998067</v>
      </c>
      <c r="C186" s="9" t="s">
        <v>5</v>
      </c>
      <c r="D186" t="s">
        <v>15</v>
      </c>
      <c r="E186" t="s">
        <v>194</v>
      </c>
      <c r="F186" t="s">
        <v>204</v>
      </c>
      <c r="G186" t="s">
        <v>236</v>
      </c>
    </row>
    <row r="187" spans="2:7" x14ac:dyDescent="0.4">
      <c r="B187" s="3" t="s">
        <v>9</v>
      </c>
      <c r="C187" s="9" t="s">
        <v>5</v>
      </c>
      <c r="D187" t="s">
        <v>16</v>
      </c>
      <c r="E187" t="s">
        <v>197</v>
      </c>
      <c r="F187" t="s">
        <v>204</v>
      </c>
      <c r="G187" t="s">
        <v>236</v>
      </c>
    </row>
    <row r="188" spans="2:7" x14ac:dyDescent="0.4">
      <c r="B188" s="4">
        <v>5907060917</v>
      </c>
      <c r="C188" s="9" t="s">
        <v>5</v>
      </c>
      <c r="D188" t="s">
        <v>17</v>
      </c>
      <c r="E188" t="s">
        <v>150</v>
      </c>
      <c r="F188" t="s">
        <v>203</v>
      </c>
      <c r="G188" t="str">
        <f t="shared" si="2"/>
        <v>Inventory, net</v>
      </c>
    </row>
    <row r="189" spans="2:7" x14ac:dyDescent="0.4">
      <c r="B189" s="4">
        <v>-696540546</v>
      </c>
      <c r="C189" s="9" t="s">
        <v>5</v>
      </c>
      <c r="D189" t="s">
        <v>99</v>
      </c>
      <c r="E189" t="s">
        <v>151</v>
      </c>
      <c r="F189" t="s">
        <v>203</v>
      </c>
      <c r="G189" t="str">
        <f t="shared" si="2"/>
        <v>Inventory, net</v>
      </c>
    </row>
    <row r="190" spans="2:7" x14ac:dyDescent="0.4">
      <c r="B190" s="4">
        <v>488463224</v>
      </c>
      <c r="C190" s="9" t="s">
        <v>5</v>
      </c>
      <c r="D190" t="s">
        <v>18</v>
      </c>
      <c r="E190" t="s">
        <v>152</v>
      </c>
      <c r="F190" t="s">
        <v>203</v>
      </c>
      <c r="G190" t="str">
        <f t="shared" si="2"/>
        <v>Inventory, net</v>
      </c>
    </row>
    <row r="191" spans="2:7" x14ac:dyDescent="0.4">
      <c r="B191" s="4">
        <v>-303200670</v>
      </c>
      <c r="C191" s="9" t="s">
        <v>5</v>
      </c>
      <c r="D191" t="s">
        <v>100</v>
      </c>
      <c r="E191" t="s">
        <v>153</v>
      </c>
      <c r="F191" t="s">
        <v>203</v>
      </c>
      <c r="G191" t="str">
        <f t="shared" si="2"/>
        <v>Inventory, net</v>
      </c>
    </row>
    <row r="192" spans="2:7" x14ac:dyDescent="0.4">
      <c r="B192" s="4">
        <v>875753420</v>
      </c>
      <c r="C192" s="9" t="s">
        <v>5</v>
      </c>
      <c r="D192" t="s">
        <v>19</v>
      </c>
      <c r="E192" t="s">
        <v>154</v>
      </c>
      <c r="F192" t="s">
        <v>203</v>
      </c>
      <c r="G192" t="str">
        <f t="shared" si="2"/>
        <v>Inventory, net</v>
      </c>
    </row>
    <row r="193" spans="2:7" x14ac:dyDescent="0.4">
      <c r="B193" s="3" t="s">
        <v>9</v>
      </c>
      <c r="C193" s="9" t="s">
        <v>5</v>
      </c>
      <c r="D193" t="s">
        <v>105</v>
      </c>
      <c r="E193" t="s">
        <v>155</v>
      </c>
      <c r="F193" t="s">
        <v>203</v>
      </c>
      <c r="G193" t="str">
        <f t="shared" si="2"/>
        <v>Inventory, net</v>
      </c>
    </row>
    <row r="194" spans="2:7" x14ac:dyDescent="0.4">
      <c r="B194" s="4">
        <v>824076006</v>
      </c>
      <c r="C194" s="9" t="s">
        <v>5</v>
      </c>
      <c r="D194" t="s">
        <v>20</v>
      </c>
      <c r="E194" t="s">
        <v>156</v>
      </c>
      <c r="F194" t="s">
        <v>203</v>
      </c>
      <c r="G194" t="str">
        <f t="shared" si="2"/>
        <v>Inventory, net</v>
      </c>
    </row>
    <row r="195" spans="2:7" x14ac:dyDescent="0.4">
      <c r="B195" s="4">
        <v>-44219454</v>
      </c>
      <c r="C195" s="9" t="s">
        <v>5</v>
      </c>
      <c r="D195" t="s">
        <v>101</v>
      </c>
      <c r="E195" t="s">
        <v>157</v>
      </c>
      <c r="F195" t="s">
        <v>203</v>
      </c>
      <c r="G195" t="str">
        <f t="shared" si="2"/>
        <v>Inventory, net</v>
      </c>
    </row>
    <row r="196" spans="2:7" x14ac:dyDescent="0.4">
      <c r="B196" s="4">
        <v>3080923407</v>
      </c>
      <c r="C196" s="9" t="s">
        <v>5</v>
      </c>
      <c r="D196" t="s">
        <v>21</v>
      </c>
      <c r="E196" t="s">
        <v>158</v>
      </c>
      <c r="F196" t="s">
        <v>203</v>
      </c>
      <c r="G196" t="str">
        <f t="shared" si="2"/>
        <v>Inventory, net</v>
      </c>
    </row>
    <row r="197" spans="2:7" x14ac:dyDescent="0.4">
      <c r="B197" s="4">
        <v>1050431600</v>
      </c>
      <c r="C197" s="9" t="s">
        <v>5</v>
      </c>
      <c r="D197" t="s">
        <v>22</v>
      </c>
      <c r="E197" t="s">
        <v>159</v>
      </c>
      <c r="F197" t="s">
        <v>159</v>
      </c>
      <c r="G197" t="s">
        <v>159</v>
      </c>
    </row>
    <row r="198" spans="2:7" x14ac:dyDescent="0.4">
      <c r="B198" s="4">
        <v>2049916846</v>
      </c>
      <c r="C198" s="9" t="s">
        <v>5</v>
      </c>
      <c r="D198" t="s">
        <v>23</v>
      </c>
      <c r="E198" t="s">
        <v>160</v>
      </c>
      <c r="F198" t="s">
        <v>208</v>
      </c>
      <c r="G198" t="s">
        <v>239</v>
      </c>
    </row>
    <row r="199" spans="2:7" x14ac:dyDescent="0.4">
      <c r="B199" s="4">
        <v>-933869613</v>
      </c>
      <c r="C199" s="9" t="s">
        <v>5</v>
      </c>
      <c r="D199" t="s">
        <v>24</v>
      </c>
      <c r="E199" t="s">
        <v>161</v>
      </c>
      <c r="F199" t="s">
        <v>208</v>
      </c>
      <c r="G199" t="s">
        <v>239</v>
      </c>
    </row>
    <row r="200" spans="2:7" x14ac:dyDescent="0.4">
      <c r="B200" s="4">
        <v>1831974493</v>
      </c>
      <c r="C200" s="9" t="s">
        <v>5</v>
      </c>
      <c r="D200" t="s">
        <v>25</v>
      </c>
      <c r="E200" t="s">
        <v>162</v>
      </c>
      <c r="F200" t="s">
        <v>208</v>
      </c>
      <c r="G200" t="s">
        <v>239</v>
      </c>
    </row>
    <row r="201" spans="2:7" x14ac:dyDescent="0.4">
      <c r="B201" s="4">
        <v>-1172022365</v>
      </c>
      <c r="C201" s="9" t="s">
        <v>5</v>
      </c>
      <c r="D201" t="s">
        <v>26</v>
      </c>
      <c r="E201" t="s">
        <v>163</v>
      </c>
      <c r="F201" t="s">
        <v>208</v>
      </c>
      <c r="G201" t="s">
        <v>239</v>
      </c>
    </row>
    <row r="202" spans="2:7" x14ac:dyDescent="0.4">
      <c r="B202" s="4">
        <v>1652669923</v>
      </c>
      <c r="C202" s="9" t="s">
        <v>5</v>
      </c>
      <c r="D202" t="s">
        <v>27</v>
      </c>
      <c r="E202" t="s">
        <v>164</v>
      </c>
      <c r="F202" t="s">
        <v>208</v>
      </c>
      <c r="G202" t="s">
        <v>239</v>
      </c>
    </row>
    <row r="203" spans="2:7" x14ac:dyDescent="0.4">
      <c r="B203" s="4">
        <v>-966675746</v>
      </c>
      <c r="C203" s="9" t="s">
        <v>5</v>
      </c>
      <c r="D203" t="s">
        <v>28</v>
      </c>
      <c r="E203" t="s">
        <v>165</v>
      </c>
      <c r="F203" t="s">
        <v>208</v>
      </c>
      <c r="G203" t="s">
        <v>239</v>
      </c>
    </row>
    <row r="204" spans="2:7" x14ac:dyDescent="0.4">
      <c r="B204" s="4">
        <v>2300000</v>
      </c>
      <c r="C204" s="9" t="s">
        <v>5</v>
      </c>
      <c r="D204" t="s">
        <v>29</v>
      </c>
      <c r="E204" t="s">
        <v>166</v>
      </c>
      <c r="F204" t="s">
        <v>208</v>
      </c>
      <c r="G204" t="s">
        <v>239</v>
      </c>
    </row>
    <row r="205" spans="2:7" x14ac:dyDescent="0.4">
      <c r="B205" s="4">
        <v>-2300000</v>
      </c>
      <c r="C205" s="9" t="s">
        <v>5</v>
      </c>
      <c r="D205" t="s">
        <v>30</v>
      </c>
      <c r="E205" t="s">
        <v>167</v>
      </c>
      <c r="F205" t="s">
        <v>208</v>
      </c>
      <c r="G205" t="s">
        <v>239</v>
      </c>
    </row>
    <row r="206" spans="2:7" x14ac:dyDescent="0.4">
      <c r="B206" s="4">
        <v>1112648321</v>
      </c>
      <c r="C206" s="9" t="s">
        <v>5</v>
      </c>
      <c r="D206" t="s">
        <v>31</v>
      </c>
      <c r="E206" t="s">
        <v>168</v>
      </c>
      <c r="F206" t="s">
        <v>208</v>
      </c>
      <c r="G206" t="s">
        <v>239</v>
      </c>
    </row>
    <row r="207" spans="2:7" x14ac:dyDescent="0.4">
      <c r="B207" s="4">
        <v>-776272656</v>
      </c>
      <c r="C207" s="9" t="s">
        <v>5</v>
      </c>
      <c r="D207" t="s">
        <v>32</v>
      </c>
      <c r="E207" t="s">
        <v>169</v>
      </c>
      <c r="F207" t="s">
        <v>208</v>
      </c>
      <c r="G207" t="s">
        <v>239</v>
      </c>
    </row>
    <row r="208" spans="2:7" x14ac:dyDescent="0.4">
      <c r="B208" s="4">
        <v>5000920918</v>
      </c>
      <c r="C208" s="9" t="s">
        <v>5</v>
      </c>
      <c r="D208" t="s">
        <v>33</v>
      </c>
      <c r="E208" t="s">
        <v>170</v>
      </c>
      <c r="F208" t="s">
        <v>208</v>
      </c>
      <c r="G208" t="s">
        <v>239</v>
      </c>
    </row>
    <row r="209" spans="2:7" x14ac:dyDescent="0.4">
      <c r="B209" s="4">
        <v>-4133007295</v>
      </c>
      <c r="C209" s="9" t="s">
        <v>5</v>
      </c>
      <c r="D209" t="s">
        <v>34</v>
      </c>
      <c r="E209" t="s">
        <v>171</v>
      </c>
      <c r="F209" t="s">
        <v>208</v>
      </c>
      <c r="G209" t="s">
        <v>239</v>
      </c>
    </row>
    <row r="210" spans="2:7" x14ac:dyDescent="0.4">
      <c r="B210" s="4">
        <v>36439184</v>
      </c>
      <c r="C210" s="9" t="s">
        <v>5</v>
      </c>
      <c r="D210" t="s">
        <v>35</v>
      </c>
      <c r="E210" t="s">
        <v>172</v>
      </c>
      <c r="F210" t="s">
        <v>208</v>
      </c>
      <c r="G210" t="s">
        <v>239</v>
      </c>
    </row>
    <row r="211" spans="2:7" x14ac:dyDescent="0.4">
      <c r="B211" s="4">
        <v>4296242710</v>
      </c>
      <c r="C211" s="9" t="s">
        <v>5</v>
      </c>
      <c r="D211" t="s">
        <v>16</v>
      </c>
      <c r="E211" t="s">
        <v>196</v>
      </c>
      <c r="F211" t="s">
        <v>205</v>
      </c>
      <c r="G211" t="s">
        <v>236</v>
      </c>
    </row>
    <row r="212" spans="2:7" x14ac:dyDescent="0.4">
      <c r="B212" s="4">
        <v>170833227</v>
      </c>
      <c r="C212" s="9" t="s">
        <v>5</v>
      </c>
      <c r="D212" t="s">
        <v>15</v>
      </c>
      <c r="E212" t="s">
        <v>195</v>
      </c>
      <c r="F212" t="s">
        <v>205</v>
      </c>
      <c r="G212" t="s">
        <v>236</v>
      </c>
    </row>
    <row r="213" spans="2:7" x14ac:dyDescent="0.4">
      <c r="B213" s="4">
        <v>160000000</v>
      </c>
      <c r="C213" s="9" t="s">
        <v>5</v>
      </c>
      <c r="D213" t="s">
        <v>36</v>
      </c>
      <c r="E213" t="s">
        <v>173</v>
      </c>
      <c r="F213" t="s">
        <v>205</v>
      </c>
      <c r="G213" t="s">
        <v>236</v>
      </c>
    </row>
    <row r="214" spans="2:7" x14ac:dyDescent="0.4">
      <c r="B214" s="4">
        <v>-160000000</v>
      </c>
      <c r="C214" s="9" t="s">
        <v>5</v>
      </c>
      <c r="D214" t="s">
        <v>106</v>
      </c>
      <c r="E214" t="s">
        <v>174</v>
      </c>
      <c r="F214" t="s">
        <v>205</v>
      </c>
      <c r="G214" t="s">
        <v>236</v>
      </c>
    </row>
    <row r="215" spans="2:7" x14ac:dyDescent="0.4">
      <c r="B215" s="3" t="s">
        <v>9</v>
      </c>
      <c r="C215" s="9" t="s">
        <v>5</v>
      </c>
      <c r="D215" t="s">
        <v>37</v>
      </c>
      <c r="E215" t="s">
        <v>175</v>
      </c>
      <c r="F215" t="s">
        <v>205</v>
      </c>
      <c r="G215" t="s">
        <v>236</v>
      </c>
    </row>
    <row r="216" spans="2:7" x14ac:dyDescent="0.4">
      <c r="B216" s="3" t="s">
        <v>9</v>
      </c>
      <c r="C216" s="9" t="s">
        <v>5</v>
      </c>
      <c r="D216" t="s">
        <v>107</v>
      </c>
      <c r="E216" t="s">
        <v>176</v>
      </c>
      <c r="F216" t="s">
        <v>205</v>
      </c>
      <c r="G216" t="s">
        <v>236</v>
      </c>
    </row>
    <row r="217" spans="2:7" x14ac:dyDescent="0.4">
      <c r="B217" s="3" t="s">
        <v>9</v>
      </c>
      <c r="C217" s="9" t="s">
        <v>5</v>
      </c>
      <c r="D217" t="s">
        <v>38</v>
      </c>
      <c r="E217" t="s">
        <v>177</v>
      </c>
      <c r="F217" t="s">
        <v>205</v>
      </c>
      <c r="G217" t="s">
        <v>236</v>
      </c>
    </row>
    <row r="218" spans="2:7" x14ac:dyDescent="0.4">
      <c r="B218" s="4">
        <v>3996738194</v>
      </c>
      <c r="C218" s="9" t="s">
        <v>5</v>
      </c>
      <c r="D218" t="s">
        <v>39</v>
      </c>
      <c r="E218" t="s">
        <v>178</v>
      </c>
      <c r="F218" t="s">
        <v>209</v>
      </c>
      <c r="G218" t="s">
        <v>241</v>
      </c>
    </row>
    <row r="219" spans="2:7" x14ac:dyDescent="0.4">
      <c r="B219" s="4">
        <v>50836087221</v>
      </c>
      <c r="C219" s="9" t="s">
        <v>5</v>
      </c>
      <c r="D219" t="s">
        <v>40</v>
      </c>
      <c r="E219" t="s">
        <v>179</v>
      </c>
      <c r="F219" t="s">
        <v>207</v>
      </c>
      <c r="G219" t="str">
        <f t="shared" ref="G219:G234" si="3">+F219</f>
        <v>Trade Payables, net</v>
      </c>
    </row>
    <row r="220" spans="2:7" x14ac:dyDescent="0.4">
      <c r="B220" s="4">
        <v>10932113904</v>
      </c>
      <c r="C220" s="9" t="s">
        <v>5</v>
      </c>
      <c r="D220" t="s">
        <v>41</v>
      </c>
      <c r="E220" t="s">
        <v>180</v>
      </c>
      <c r="F220" t="s">
        <v>209</v>
      </c>
      <c r="G220" t="s">
        <v>238</v>
      </c>
    </row>
    <row r="221" spans="2:7" x14ac:dyDescent="0.4">
      <c r="B221" s="4">
        <v>198984217</v>
      </c>
      <c r="C221" s="9" t="s">
        <v>5</v>
      </c>
      <c r="D221" t="s">
        <v>42</v>
      </c>
      <c r="E221" t="s">
        <v>181</v>
      </c>
      <c r="F221" t="s">
        <v>209</v>
      </c>
      <c r="G221" t="s">
        <v>238</v>
      </c>
    </row>
    <row r="222" spans="2:7" x14ac:dyDescent="0.4">
      <c r="B222" s="4">
        <v>719671469</v>
      </c>
      <c r="C222" s="9" t="s">
        <v>5</v>
      </c>
      <c r="D222" t="s">
        <v>43</v>
      </c>
      <c r="E222" t="s">
        <v>182</v>
      </c>
      <c r="F222" t="s">
        <v>209</v>
      </c>
      <c r="G222" t="s">
        <v>238</v>
      </c>
    </row>
    <row r="223" spans="2:7" x14ac:dyDescent="0.4">
      <c r="B223" s="4">
        <v>541380576</v>
      </c>
      <c r="C223" s="9" t="s">
        <v>5</v>
      </c>
      <c r="D223" t="s">
        <v>44</v>
      </c>
      <c r="E223" t="s">
        <v>183</v>
      </c>
      <c r="F223" t="s">
        <v>209</v>
      </c>
      <c r="G223" t="s">
        <v>238</v>
      </c>
    </row>
    <row r="224" spans="2:7" x14ac:dyDescent="0.4">
      <c r="B224" s="4">
        <v>12183878835</v>
      </c>
      <c r="C224" s="9" t="s">
        <v>5</v>
      </c>
      <c r="D224" t="s">
        <v>45</v>
      </c>
      <c r="E224" t="s">
        <v>184</v>
      </c>
      <c r="F224" t="s">
        <v>209</v>
      </c>
      <c r="G224" t="s">
        <v>238</v>
      </c>
    </row>
    <row r="225" spans="2:7" x14ac:dyDescent="0.4">
      <c r="B225" s="4">
        <v>294719944</v>
      </c>
      <c r="C225" s="9" t="s">
        <v>5</v>
      </c>
      <c r="D225" t="s">
        <v>46</v>
      </c>
      <c r="E225" t="s">
        <v>185</v>
      </c>
      <c r="F225" t="s">
        <v>209</v>
      </c>
      <c r="G225" t="s">
        <v>238</v>
      </c>
    </row>
    <row r="226" spans="2:7" x14ac:dyDescent="0.4">
      <c r="B226" s="4">
        <v>2214776456</v>
      </c>
      <c r="C226" s="9" t="s">
        <v>5</v>
      </c>
      <c r="D226" t="s">
        <v>47</v>
      </c>
      <c r="E226" t="s">
        <v>186</v>
      </c>
      <c r="F226" t="s">
        <v>209</v>
      </c>
      <c r="G226" t="s">
        <v>238</v>
      </c>
    </row>
    <row r="227" spans="2:7" x14ac:dyDescent="0.4">
      <c r="B227" s="4">
        <v>1478758441</v>
      </c>
      <c r="C227" s="9" t="s">
        <v>5</v>
      </c>
      <c r="D227" t="s">
        <v>48</v>
      </c>
      <c r="E227" t="s">
        <v>198</v>
      </c>
      <c r="F227" t="s">
        <v>209</v>
      </c>
      <c r="G227" s="10" t="s">
        <v>238</v>
      </c>
    </row>
    <row r="228" spans="2:7" x14ac:dyDescent="0.4">
      <c r="B228" s="4">
        <v>433163198</v>
      </c>
      <c r="C228" s="9" t="s">
        <v>5</v>
      </c>
      <c r="D228" t="s">
        <v>49</v>
      </c>
      <c r="E228" t="s">
        <v>149</v>
      </c>
      <c r="F228" t="s">
        <v>209</v>
      </c>
      <c r="G228" t="s">
        <v>238</v>
      </c>
    </row>
    <row r="229" spans="2:7" x14ac:dyDescent="0.4">
      <c r="B229" s="4">
        <v>1520474530</v>
      </c>
      <c r="C229" s="9" t="s">
        <v>5</v>
      </c>
      <c r="D229" t="s">
        <v>48</v>
      </c>
      <c r="E229" t="s">
        <v>199</v>
      </c>
      <c r="F229" t="s">
        <v>210</v>
      </c>
      <c r="G229" s="10" t="s">
        <v>238</v>
      </c>
    </row>
    <row r="230" spans="2:7" x14ac:dyDescent="0.4">
      <c r="B230" s="4">
        <v>1537510000</v>
      </c>
      <c r="C230" s="9" t="s">
        <v>5</v>
      </c>
      <c r="D230" t="s">
        <v>50</v>
      </c>
      <c r="E230" t="s">
        <v>187</v>
      </c>
      <c r="F230" t="s">
        <v>211</v>
      </c>
      <c r="G230" t="str">
        <f t="shared" si="3"/>
        <v>Equity</v>
      </c>
    </row>
    <row r="231" spans="2:7" x14ac:dyDescent="0.4">
      <c r="B231" s="4">
        <v>11450695560</v>
      </c>
      <c r="C231" s="9" t="s">
        <v>5</v>
      </c>
      <c r="D231" t="s">
        <v>51</v>
      </c>
      <c r="E231" t="s">
        <v>188</v>
      </c>
      <c r="F231" t="s">
        <v>211</v>
      </c>
      <c r="G231" t="str">
        <f t="shared" si="3"/>
        <v>Equity</v>
      </c>
    </row>
    <row r="232" spans="2:7" x14ac:dyDescent="0.4">
      <c r="B232" s="4">
        <v>-3298563760</v>
      </c>
      <c r="C232" s="9" t="s">
        <v>5</v>
      </c>
      <c r="D232" t="s">
        <v>52</v>
      </c>
      <c r="E232" t="s">
        <v>189</v>
      </c>
      <c r="F232" t="s">
        <v>211</v>
      </c>
      <c r="G232" t="str">
        <f t="shared" si="3"/>
        <v>Equity</v>
      </c>
    </row>
    <row r="233" spans="2:7" x14ac:dyDescent="0.4">
      <c r="B233" s="4">
        <v>913500000</v>
      </c>
      <c r="C233" s="9" t="s">
        <v>5</v>
      </c>
      <c r="D233" t="s">
        <v>53</v>
      </c>
      <c r="E233" t="s">
        <v>190</v>
      </c>
      <c r="F233" t="s">
        <v>211</v>
      </c>
      <c r="G233" t="str">
        <f t="shared" si="3"/>
        <v>Equity</v>
      </c>
    </row>
    <row r="234" spans="2:7" x14ac:dyDescent="0.4">
      <c r="B234" s="4">
        <v>4911771273</v>
      </c>
      <c r="C234" s="9" t="s">
        <v>5</v>
      </c>
      <c r="D234" t="s">
        <v>103</v>
      </c>
      <c r="E234" t="s">
        <v>191</v>
      </c>
      <c r="F234" t="s">
        <v>211</v>
      </c>
      <c r="G234" t="str">
        <f t="shared" si="3"/>
        <v>Equity</v>
      </c>
    </row>
    <row r="237" spans="2:7" x14ac:dyDescent="0.4">
      <c r="B237" s="20"/>
    </row>
  </sheetData>
  <autoFilter ref="B6:G234" xr:uid="{F16CFD73-E5BA-4CCB-B0B0-14094A228147}"/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A58F-0371-4892-AE24-82DB029842D6}">
  <sheetPr>
    <tabColor theme="0" tint="-0.249977111117893"/>
  </sheetPr>
  <dimension ref="B2:F194"/>
  <sheetViews>
    <sheetView zoomScale="85" zoomScaleNormal="85" workbookViewId="0">
      <selection activeCell="J25" sqref="J25"/>
    </sheetView>
  </sheetViews>
  <sheetFormatPr defaultRowHeight="17.399999999999999" x14ac:dyDescent="0.4"/>
  <cols>
    <col min="1" max="1" width="5.69921875" customWidth="1"/>
    <col min="2" max="2" width="22.69921875" bestFit="1" customWidth="1"/>
    <col min="3" max="3" width="22.296875" bestFit="1" customWidth="1"/>
    <col min="4" max="4" width="22.296875" customWidth="1"/>
    <col min="5" max="5" width="31.69921875" bestFit="1" customWidth="1"/>
    <col min="6" max="6" width="35.3984375" bestFit="1" customWidth="1"/>
  </cols>
  <sheetData>
    <row r="2" spans="2:6" x14ac:dyDescent="0.4">
      <c r="B2" t="s">
        <v>8</v>
      </c>
    </row>
    <row r="5" spans="2:6" x14ac:dyDescent="0.4">
      <c r="B5" s="9"/>
      <c r="C5" s="9"/>
      <c r="D5" s="9"/>
    </row>
    <row r="6" spans="2:6" x14ac:dyDescent="0.4">
      <c r="B6" s="9" t="s">
        <v>112</v>
      </c>
      <c r="C6" s="9" t="s">
        <v>3</v>
      </c>
      <c r="D6" s="9" t="s">
        <v>138</v>
      </c>
      <c r="E6" s="8" t="s">
        <v>114</v>
      </c>
      <c r="F6" s="8" t="s">
        <v>115</v>
      </c>
    </row>
    <row r="7" spans="2:6" x14ac:dyDescent="0.4">
      <c r="B7" s="5">
        <v>244103328866</v>
      </c>
      <c r="C7" s="9" t="s">
        <v>2</v>
      </c>
      <c r="D7" s="9">
        <f>LEFT(C7,4)*1</f>
        <v>2018</v>
      </c>
      <c r="E7" t="s">
        <v>108</v>
      </c>
      <c r="F7" t="s">
        <v>117</v>
      </c>
    </row>
    <row r="8" spans="2:6" x14ac:dyDescent="0.4">
      <c r="B8" s="2">
        <v>176458937925</v>
      </c>
      <c r="C8" s="9" t="s">
        <v>2</v>
      </c>
      <c r="D8" s="9">
        <f t="shared" ref="D8:D71" si="0">LEFT(C8,4)*1</f>
        <v>2018</v>
      </c>
      <c r="E8" t="s">
        <v>109</v>
      </c>
      <c r="F8" t="s">
        <v>119</v>
      </c>
    </row>
    <row r="9" spans="2:6" x14ac:dyDescent="0.4">
      <c r="B9" s="2">
        <v>21153347587</v>
      </c>
      <c r="C9" s="9" t="s">
        <v>2</v>
      </c>
      <c r="D9" s="9">
        <f t="shared" si="0"/>
        <v>2018</v>
      </c>
      <c r="E9" t="s">
        <v>54</v>
      </c>
      <c r="F9" t="s">
        <v>129</v>
      </c>
    </row>
    <row r="10" spans="2:6" x14ac:dyDescent="0.4">
      <c r="B10" s="2">
        <v>2103263951</v>
      </c>
      <c r="C10" s="9" t="s">
        <v>2</v>
      </c>
      <c r="D10" s="9">
        <f t="shared" si="0"/>
        <v>2018</v>
      </c>
      <c r="E10" t="s">
        <v>55</v>
      </c>
      <c r="F10" t="s">
        <v>129</v>
      </c>
    </row>
    <row r="11" spans="2:6" x14ac:dyDescent="0.4">
      <c r="B11" s="3">
        <v>0</v>
      </c>
      <c r="C11" s="9" t="s">
        <v>2</v>
      </c>
      <c r="D11" s="9">
        <f t="shared" si="0"/>
        <v>2018</v>
      </c>
      <c r="E11" t="s">
        <v>56</v>
      </c>
      <c r="F11" t="s">
        <v>129</v>
      </c>
    </row>
    <row r="12" spans="2:6" x14ac:dyDescent="0.4">
      <c r="B12" s="2">
        <v>2394444679</v>
      </c>
      <c r="C12" s="9" t="s">
        <v>2</v>
      </c>
      <c r="D12" s="9">
        <f t="shared" si="0"/>
        <v>2018</v>
      </c>
      <c r="E12" t="s">
        <v>57</v>
      </c>
      <c r="F12" t="s">
        <v>129</v>
      </c>
    </row>
    <row r="13" spans="2:6" x14ac:dyDescent="0.4">
      <c r="B13" s="2">
        <v>2412806767</v>
      </c>
      <c r="C13" s="9" t="s">
        <v>2</v>
      </c>
      <c r="D13" s="9">
        <f t="shared" si="0"/>
        <v>2018</v>
      </c>
      <c r="E13" t="s">
        <v>58</v>
      </c>
      <c r="F13" t="s">
        <v>129</v>
      </c>
    </row>
    <row r="14" spans="2:6" x14ac:dyDescent="0.4">
      <c r="B14" s="2">
        <v>512407903</v>
      </c>
      <c r="C14" s="9" t="s">
        <v>2</v>
      </c>
      <c r="D14" s="9">
        <f t="shared" si="0"/>
        <v>2018</v>
      </c>
      <c r="E14" t="s">
        <v>59</v>
      </c>
      <c r="F14" t="s">
        <v>129</v>
      </c>
    </row>
    <row r="15" spans="2:6" x14ac:dyDescent="0.4">
      <c r="B15" s="2">
        <v>474608554</v>
      </c>
      <c r="C15" s="9" t="s">
        <v>2</v>
      </c>
      <c r="D15" s="9">
        <f t="shared" si="0"/>
        <v>2018</v>
      </c>
      <c r="E15" t="s">
        <v>60</v>
      </c>
      <c r="F15" t="s">
        <v>129</v>
      </c>
    </row>
    <row r="16" spans="2:6" x14ac:dyDescent="0.4">
      <c r="B16" s="2">
        <v>55490803</v>
      </c>
      <c r="C16" s="9" t="s">
        <v>2</v>
      </c>
      <c r="D16" s="9">
        <f t="shared" si="0"/>
        <v>2018</v>
      </c>
      <c r="E16" t="s">
        <v>61</v>
      </c>
      <c r="F16" t="s">
        <v>129</v>
      </c>
    </row>
    <row r="17" spans="2:6" x14ac:dyDescent="0.4">
      <c r="B17" s="2">
        <v>110556271</v>
      </c>
      <c r="C17" s="9" t="s">
        <v>2</v>
      </c>
      <c r="D17" s="9">
        <f t="shared" si="0"/>
        <v>2018</v>
      </c>
      <c r="E17" t="s">
        <v>62</v>
      </c>
      <c r="F17" t="s">
        <v>129</v>
      </c>
    </row>
    <row r="18" spans="2:6" x14ac:dyDescent="0.4">
      <c r="B18" s="2">
        <v>559182423</v>
      </c>
      <c r="C18" s="9" t="s">
        <v>2</v>
      </c>
      <c r="D18" s="9">
        <f t="shared" si="0"/>
        <v>2018</v>
      </c>
      <c r="E18" t="s">
        <v>63</v>
      </c>
      <c r="F18" t="s">
        <v>121</v>
      </c>
    </row>
    <row r="19" spans="2:6" x14ac:dyDescent="0.4">
      <c r="B19" s="2">
        <v>805037796</v>
      </c>
      <c r="C19" s="9" t="s">
        <v>2</v>
      </c>
      <c r="D19" s="9">
        <f t="shared" si="0"/>
        <v>2018</v>
      </c>
      <c r="E19" t="s">
        <v>64</v>
      </c>
      <c r="F19" t="s">
        <v>129</v>
      </c>
    </row>
    <row r="20" spans="2:6" x14ac:dyDescent="0.4">
      <c r="B20" s="3">
        <v>0</v>
      </c>
      <c r="C20" s="9" t="s">
        <v>2</v>
      </c>
      <c r="D20" s="9">
        <f t="shared" si="0"/>
        <v>2018</v>
      </c>
      <c r="E20" t="s">
        <v>65</v>
      </c>
      <c r="F20" t="s">
        <v>129</v>
      </c>
    </row>
    <row r="21" spans="2:6" x14ac:dyDescent="0.4">
      <c r="B21" s="2">
        <v>160554800</v>
      </c>
      <c r="C21" s="9" t="s">
        <v>2</v>
      </c>
      <c r="D21" s="9">
        <f t="shared" si="0"/>
        <v>2018</v>
      </c>
      <c r="E21" t="s">
        <v>66</v>
      </c>
      <c r="F21" t="s">
        <v>129</v>
      </c>
    </row>
    <row r="22" spans="2:6" x14ac:dyDescent="0.4">
      <c r="B22" s="2">
        <v>215328261</v>
      </c>
      <c r="C22" s="9" t="s">
        <v>2</v>
      </c>
      <c r="D22" s="9">
        <f t="shared" si="0"/>
        <v>2018</v>
      </c>
      <c r="E22" t="s">
        <v>67</v>
      </c>
      <c r="F22" t="s">
        <v>129</v>
      </c>
    </row>
    <row r="23" spans="2:6" x14ac:dyDescent="0.4">
      <c r="B23" s="2">
        <v>451601480</v>
      </c>
      <c r="C23" s="9" t="s">
        <v>2</v>
      </c>
      <c r="D23" s="9">
        <f t="shared" si="0"/>
        <v>2018</v>
      </c>
      <c r="E23" t="s">
        <v>68</v>
      </c>
      <c r="F23" t="s">
        <v>129</v>
      </c>
    </row>
    <row r="24" spans="2:6" x14ac:dyDescent="0.4">
      <c r="B24" s="2">
        <v>310555986</v>
      </c>
      <c r="C24" s="9" t="s">
        <v>2</v>
      </c>
      <c r="D24" s="9">
        <f t="shared" si="0"/>
        <v>2018</v>
      </c>
      <c r="E24" t="s">
        <v>69</v>
      </c>
      <c r="F24" t="s">
        <v>129</v>
      </c>
    </row>
    <row r="25" spans="2:6" x14ac:dyDescent="0.4">
      <c r="B25" s="2">
        <v>67962991</v>
      </c>
      <c r="C25" s="9" t="s">
        <v>2</v>
      </c>
      <c r="D25" s="9">
        <f t="shared" si="0"/>
        <v>2018</v>
      </c>
      <c r="E25" t="s">
        <v>70</v>
      </c>
      <c r="F25" t="s">
        <v>129</v>
      </c>
    </row>
    <row r="26" spans="2:6" x14ac:dyDescent="0.4">
      <c r="B26" s="2">
        <v>181516923</v>
      </c>
      <c r="C26" s="9" t="s">
        <v>2</v>
      </c>
      <c r="D26" s="9">
        <f t="shared" si="0"/>
        <v>2018</v>
      </c>
      <c r="E26" t="s">
        <v>71</v>
      </c>
      <c r="F26" t="s">
        <v>129</v>
      </c>
    </row>
    <row r="27" spans="2:6" x14ac:dyDescent="0.4">
      <c r="B27" s="2">
        <v>14484694075</v>
      </c>
      <c r="C27" s="9" t="s">
        <v>2</v>
      </c>
      <c r="D27" s="9">
        <f t="shared" si="0"/>
        <v>2018</v>
      </c>
      <c r="E27" t="s">
        <v>72</v>
      </c>
      <c r="F27" t="s">
        <v>129</v>
      </c>
    </row>
    <row r="28" spans="2:6" x14ac:dyDescent="0.4">
      <c r="B28" s="2">
        <v>451995590</v>
      </c>
      <c r="C28" s="9" t="s">
        <v>2</v>
      </c>
      <c r="D28" s="9">
        <f t="shared" si="0"/>
        <v>2018</v>
      </c>
      <c r="E28" t="s">
        <v>73</v>
      </c>
      <c r="F28" t="s">
        <v>129</v>
      </c>
    </row>
    <row r="29" spans="2:6" x14ac:dyDescent="0.4">
      <c r="B29" s="2">
        <v>39118280</v>
      </c>
      <c r="C29" s="9" t="s">
        <v>2</v>
      </c>
      <c r="D29" s="9">
        <f t="shared" si="0"/>
        <v>2018</v>
      </c>
      <c r="E29" t="s">
        <v>74</v>
      </c>
      <c r="F29" t="s">
        <v>129</v>
      </c>
    </row>
    <row r="30" spans="2:6" x14ac:dyDescent="0.4">
      <c r="B30" s="2">
        <v>1009977714</v>
      </c>
      <c r="C30" s="9" t="s">
        <v>2</v>
      </c>
      <c r="D30" s="9">
        <f t="shared" si="0"/>
        <v>2018</v>
      </c>
      <c r="E30" t="s">
        <v>75</v>
      </c>
      <c r="F30" t="s">
        <v>129</v>
      </c>
    </row>
    <row r="31" spans="2:6" x14ac:dyDescent="0.4">
      <c r="B31" s="2">
        <v>2955271561</v>
      </c>
      <c r="C31" s="9" t="s">
        <v>2</v>
      </c>
      <c r="D31" s="9">
        <f t="shared" si="0"/>
        <v>2018</v>
      </c>
      <c r="E31" t="s">
        <v>76</v>
      </c>
      <c r="F31" t="s">
        <v>129</v>
      </c>
    </row>
    <row r="32" spans="2:6" x14ac:dyDescent="0.4">
      <c r="B32" s="2">
        <v>1739382916</v>
      </c>
      <c r="C32" s="9" t="s">
        <v>2</v>
      </c>
      <c r="D32" s="9">
        <f t="shared" si="0"/>
        <v>2018</v>
      </c>
      <c r="E32" t="s">
        <v>77</v>
      </c>
      <c r="F32" t="s">
        <v>129</v>
      </c>
    </row>
    <row r="33" spans="2:6" x14ac:dyDescent="0.4">
      <c r="B33" s="2">
        <v>359932318</v>
      </c>
      <c r="C33" s="9" t="s">
        <v>2</v>
      </c>
      <c r="D33" s="9">
        <f t="shared" si="0"/>
        <v>2018</v>
      </c>
      <c r="E33" t="s">
        <v>78</v>
      </c>
      <c r="F33" t="s">
        <v>129</v>
      </c>
    </row>
    <row r="34" spans="2:6" x14ac:dyDescent="0.4">
      <c r="B34" s="2">
        <v>625017057</v>
      </c>
      <c r="C34" s="9" t="s">
        <v>2</v>
      </c>
      <c r="D34" s="9">
        <f t="shared" si="0"/>
        <v>2018</v>
      </c>
      <c r="E34" t="s">
        <v>79</v>
      </c>
      <c r="F34" t="s">
        <v>129</v>
      </c>
    </row>
    <row r="35" spans="2:6" x14ac:dyDescent="0.4">
      <c r="B35" s="2">
        <v>20950508</v>
      </c>
      <c r="C35" s="9" t="s">
        <v>2</v>
      </c>
      <c r="D35" s="9">
        <f t="shared" si="0"/>
        <v>2018</v>
      </c>
      <c r="E35" t="s">
        <v>80</v>
      </c>
      <c r="F35" t="s">
        <v>129</v>
      </c>
    </row>
    <row r="36" spans="2:6" x14ac:dyDescent="0.4">
      <c r="B36" s="3">
        <v>0</v>
      </c>
      <c r="C36" s="9" t="s">
        <v>2</v>
      </c>
      <c r="D36" s="9">
        <f t="shared" si="0"/>
        <v>2018</v>
      </c>
      <c r="E36" t="s">
        <v>81</v>
      </c>
      <c r="F36" t="s">
        <v>129</v>
      </c>
    </row>
    <row r="37" spans="2:6" x14ac:dyDescent="0.4">
      <c r="B37" s="2">
        <v>201718649</v>
      </c>
      <c r="C37" s="9" t="s">
        <v>2</v>
      </c>
      <c r="D37" s="9">
        <f t="shared" si="0"/>
        <v>2018</v>
      </c>
      <c r="E37" t="s">
        <v>82</v>
      </c>
      <c r="F37" t="s">
        <v>123</v>
      </c>
    </row>
    <row r="38" spans="2:6" x14ac:dyDescent="0.4">
      <c r="B38" s="2">
        <v>2472030618</v>
      </c>
      <c r="C38" s="9" t="s">
        <v>2</v>
      </c>
      <c r="D38" s="9">
        <f t="shared" si="0"/>
        <v>2018</v>
      </c>
      <c r="E38" t="s">
        <v>83</v>
      </c>
      <c r="F38" t="s">
        <v>123</v>
      </c>
    </row>
    <row r="39" spans="2:6" x14ac:dyDescent="0.4">
      <c r="B39" s="2">
        <v>839962462</v>
      </c>
      <c r="C39" s="9" t="s">
        <v>2</v>
      </c>
      <c r="D39" s="9">
        <f t="shared" si="0"/>
        <v>2018</v>
      </c>
      <c r="E39" t="s">
        <v>84</v>
      </c>
      <c r="F39" t="s">
        <v>123</v>
      </c>
    </row>
    <row r="40" spans="2:6" x14ac:dyDescent="0.4">
      <c r="B40" s="2">
        <v>16964496</v>
      </c>
      <c r="C40" s="9" t="s">
        <v>2</v>
      </c>
      <c r="D40" s="9">
        <f t="shared" si="0"/>
        <v>2018</v>
      </c>
      <c r="E40" t="s">
        <v>85</v>
      </c>
      <c r="F40" t="s">
        <v>123</v>
      </c>
    </row>
    <row r="41" spans="2:6" x14ac:dyDescent="0.4">
      <c r="B41" s="2">
        <v>795264526</v>
      </c>
      <c r="C41" s="9" t="s">
        <v>2</v>
      </c>
      <c r="D41" s="9">
        <f t="shared" si="0"/>
        <v>2018</v>
      </c>
      <c r="E41" t="s">
        <v>86</v>
      </c>
      <c r="F41" t="s">
        <v>123</v>
      </c>
    </row>
    <row r="42" spans="2:6" x14ac:dyDescent="0.4">
      <c r="B42" s="2">
        <v>751339141</v>
      </c>
      <c r="C42" s="9" t="s">
        <v>2</v>
      </c>
      <c r="D42" s="9">
        <f t="shared" si="0"/>
        <v>2018</v>
      </c>
      <c r="E42" t="s">
        <v>87</v>
      </c>
      <c r="F42" t="s">
        <v>123</v>
      </c>
    </row>
    <row r="43" spans="2:6" x14ac:dyDescent="0.4">
      <c r="B43" s="2">
        <v>280965192</v>
      </c>
      <c r="C43" s="9" t="s">
        <v>2</v>
      </c>
      <c r="D43" s="9">
        <f t="shared" si="0"/>
        <v>2018</v>
      </c>
      <c r="E43" t="s">
        <v>88</v>
      </c>
      <c r="F43" t="s">
        <v>123</v>
      </c>
    </row>
    <row r="44" spans="2:6" x14ac:dyDescent="0.4">
      <c r="B44" s="3">
        <v>0</v>
      </c>
      <c r="C44" s="9" t="s">
        <v>2</v>
      </c>
      <c r="D44" s="9">
        <f t="shared" si="0"/>
        <v>2018</v>
      </c>
      <c r="E44" t="s">
        <v>89</v>
      </c>
      <c r="F44" t="s">
        <v>131</v>
      </c>
    </row>
    <row r="45" spans="2:6" x14ac:dyDescent="0.4">
      <c r="B45" s="2">
        <v>2902390379</v>
      </c>
      <c r="C45" s="9" t="s">
        <v>2</v>
      </c>
      <c r="D45" s="9">
        <f t="shared" si="0"/>
        <v>2018</v>
      </c>
      <c r="E45" t="s">
        <v>90</v>
      </c>
      <c r="F45" t="s">
        <v>125</v>
      </c>
    </row>
    <row r="46" spans="2:6" x14ac:dyDescent="0.4">
      <c r="B46" s="2">
        <v>345111047</v>
      </c>
      <c r="C46" s="9" t="s">
        <v>2</v>
      </c>
      <c r="D46" s="9">
        <f t="shared" si="0"/>
        <v>2018</v>
      </c>
      <c r="E46" t="s">
        <v>91</v>
      </c>
      <c r="F46" t="s">
        <v>125</v>
      </c>
    </row>
    <row r="47" spans="2:6" x14ac:dyDescent="0.4">
      <c r="B47" s="2">
        <v>60729193</v>
      </c>
      <c r="C47" s="9" t="s">
        <v>2</v>
      </c>
      <c r="D47" s="9">
        <f t="shared" si="0"/>
        <v>2018</v>
      </c>
      <c r="E47" t="s">
        <v>92</v>
      </c>
      <c r="F47" t="s">
        <v>125</v>
      </c>
    </row>
    <row r="48" spans="2:6" x14ac:dyDescent="0.4">
      <c r="B48" s="2">
        <v>1080712602</v>
      </c>
      <c r="C48" s="9" t="s">
        <v>2</v>
      </c>
      <c r="D48" s="9">
        <f t="shared" si="0"/>
        <v>2018</v>
      </c>
      <c r="E48" t="s">
        <v>93</v>
      </c>
      <c r="F48" t="s">
        <v>125</v>
      </c>
    </row>
    <row r="49" spans="2:6" x14ac:dyDescent="0.4">
      <c r="B49" s="2">
        <v>710740</v>
      </c>
      <c r="C49" s="9" t="s">
        <v>2</v>
      </c>
      <c r="D49" s="9">
        <f t="shared" si="0"/>
        <v>2018</v>
      </c>
      <c r="E49" t="s">
        <v>94</v>
      </c>
      <c r="F49" t="s">
        <v>125</v>
      </c>
    </row>
    <row r="50" spans="2:6" x14ac:dyDescent="0.4">
      <c r="B50" s="3">
        <v>0</v>
      </c>
      <c r="C50" s="9" t="s">
        <v>2</v>
      </c>
      <c r="D50" s="9">
        <f t="shared" si="0"/>
        <v>2018</v>
      </c>
      <c r="E50" t="s">
        <v>95</v>
      </c>
      <c r="F50" t="s">
        <v>125</v>
      </c>
    </row>
    <row r="51" spans="2:6" x14ac:dyDescent="0.4">
      <c r="B51" s="1" t="s">
        <v>9</v>
      </c>
      <c r="C51" s="9" t="s">
        <v>2</v>
      </c>
      <c r="D51" s="9">
        <f t="shared" si="0"/>
        <v>2018</v>
      </c>
      <c r="E51" t="s">
        <v>96</v>
      </c>
      <c r="F51" t="s">
        <v>125</v>
      </c>
    </row>
    <row r="52" spans="2:6" x14ac:dyDescent="0.4">
      <c r="B52" s="2">
        <v>542855032</v>
      </c>
      <c r="C52" s="9" t="s">
        <v>2</v>
      </c>
      <c r="D52" s="9">
        <f t="shared" si="0"/>
        <v>2018</v>
      </c>
      <c r="E52" t="s">
        <v>97</v>
      </c>
      <c r="F52" t="s">
        <v>125</v>
      </c>
    </row>
    <row r="53" spans="2:6" x14ac:dyDescent="0.4">
      <c r="B53" s="2">
        <v>3290206024</v>
      </c>
      <c r="C53" s="9" t="s">
        <v>2</v>
      </c>
      <c r="D53" s="9">
        <f t="shared" si="0"/>
        <v>2018</v>
      </c>
      <c r="E53" t="s">
        <v>110</v>
      </c>
      <c r="F53" t="s">
        <v>127</v>
      </c>
    </row>
    <row r="54" spans="2:6" x14ac:dyDescent="0.4">
      <c r="B54" s="6">
        <v>255271355006</v>
      </c>
      <c r="C54" s="9" t="s">
        <v>3</v>
      </c>
      <c r="D54" s="9">
        <f t="shared" si="0"/>
        <v>2017</v>
      </c>
      <c r="E54" t="s">
        <v>108</v>
      </c>
      <c r="F54" t="s">
        <v>117</v>
      </c>
    </row>
    <row r="55" spans="2:6" x14ac:dyDescent="0.4">
      <c r="B55" s="7">
        <v>185646790655</v>
      </c>
      <c r="C55" s="9" t="s">
        <v>3</v>
      </c>
      <c r="D55" s="9">
        <f t="shared" si="0"/>
        <v>2017</v>
      </c>
      <c r="E55" t="s">
        <v>109</v>
      </c>
      <c r="F55" t="s">
        <v>119</v>
      </c>
    </row>
    <row r="56" spans="2:6" x14ac:dyDescent="0.4">
      <c r="B56" s="2">
        <v>21254570232</v>
      </c>
      <c r="C56" s="9" t="s">
        <v>3</v>
      </c>
      <c r="D56" s="9">
        <f t="shared" si="0"/>
        <v>2017</v>
      </c>
      <c r="E56" t="s">
        <v>54</v>
      </c>
      <c r="F56" t="s">
        <v>129</v>
      </c>
    </row>
    <row r="57" spans="2:6" x14ac:dyDescent="0.4">
      <c r="B57" s="2">
        <v>3083502504</v>
      </c>
      <c r="C57" s="9" t="s">
        <v>3</v>
      </c>
      <c r="D57" s="9">
        <f t="shared" si="0"/>
        <v>2017</v>
      </c>
      <c r="E57" t="s">
        <v>55</v>
      </c>
      <c r="F57" t="s">
        <v>129</v>
      </c>
    </row>
    <row r="58" spans="2:6" x14ac:dyDescent="0.4">
      <c r="B58" s="3">
        <v>0</v>
      </c>
      <c r="C58" s="9" t="s">
        <v>3</v>
      </c>
      <c r="D58" s="9">
        <f t="shared" si="0"/>
        <v>2017</v>
      </c>
      <c r="E58" t="s">
        <v>56</v>
      </c>
      <c r="F58" t="s">
        <v>129</v>
      </c>
    </row>
    <row r="59" spans="2:6" x14ac:dyDescent="0.4">
      <c r="B59" s="2">
        <v>2469134530</v>
      </c>
      <c r="C59" s="9" t="s">
        <v>3</v>
      </c>
      <c r="D59" s="9">
        <f t="shared" si="0"/>
        <v>2017</v>
      </c>
      <c r="E59" t="s">
        <v>57</v>
      </c>
      <c r="F59" t="s">
        <v>129</v>
      </c>
    </row>
    <row r="60" spans="2:6" x14ac:dyDescent="0.4">
      <c r="B60" s="2">
        <v>2247159671</v>
      </c>
      <c r="C60" s="9" t="s">
        <v>3</v>
      </c>
      <c r="D60" s="9">
        <f t="shared" si="0"/>
        <v>2017</v>
      </c>
      <c r="E60" t="s">
        <v>58</v>
      </c>
      <c r="F60" t="s">
        <v>129</v>
      </c>
    </row>
    <row r="61" spans="2:6" x14ac:dyDescent="0.4">
      <c r="B61" s="2">
        <v>473733482</v>
      </c>
      <c r="C61" s="9" t="s">
        <v>3</v>
      </c>
      <c r="D61" s="9">
        <f t="shared" si="0"/>
        <v>2017</v>
      </c>
      <c r="E61" t="s">
        <v>59</v>
      </c>
      <c r="F61" t="s">
        <v>129</v>
      </c>
    </row>
    <row r="62" spans="2:6" x14ac:dyDescent="0.4">
      <c r="B62" s="2">
        <v>455916828</v>
      </c>
      <c r="C62" s="9" t="s">
        <v>3</v>
      </c>
      <c r="D62" s="9">
        <f t="shared" si="0"/>
        <v>2017</v>
      </c>
      <c r="E62" t="s">
        <v>60</v>
      </c>
      <c r="F62" t="s">
        <v>129</v>
      </c>
    </row>
    <row r="63" spans="2:6" x14ac:dyDescent="0.4">
      <c r="B63" s="2">
        <v>54297800</v>
      </c>
      <c r="C63" s="9" t="s">
        <v>3</v>
      </c>
      <c r="D63" s="9">
        <f t="shared" si="0"/>
        <v>2017</v>
      </c>
      <c r="E63" t="s">
        <v>61</v>
      </c>
      <c r="F63" t="s">
        <v>129</v>
      </c>
    </row>
    <row r="64" spans="2:6" x14ac:dyDescent="0.4">
      <c r="B64" s="2">
        <v>106611453</v>
      </c>
      <c r="C64" s="9" t="s">
        <v>3</v>
      </c>
      <c r="D64" s="9">
        <f t="shared" si="0"/>
        <v>2017</v>
      </c>
      <c r="E64" t="s">
        <v>62</v>
      </c>
      <c r="F64" t="s">
        <v>129</v>
      </c>
    </row>
    <row r="65" spans="2:6" x14ac:dyDescent="0.4">
      <c r="B65" s="2">
        <v>523443949</v>
      </c>
      <c r="C65" s="9" t="s">
        <v>3</v>
      </c>
      <c r="D65" s="9">
        <f t="shared" si="0"/>
        <v>2017</v>
      </c>
      <c r="E65" t="s">
        <v>63</v>
      </c>
      <c r="F65" t="s">
        <v>121</v>
      </c>
    </row>
    <row r="66" spans="2:6" x14ac:dyDescent="0.4">
      <c r="B66" s="2">
        <v>44677642</v>
      </c>
      <c r="C66" s="9" t="s">
        <v>3</v>
      </c>
      <c r="D66" s="9">
        <f t="shared" si="0"/>
        <v>2017</v>
      </c>
      <c r="E66" t="s">
        <v>64</v>
      </c>
      <c r="F66" t="s">
        <v>129</v>
      </c>
    </row>
    <row r="67" spans="2:6" x14ac:dyDescent="0.4">
      <c r="B67" s="3">
        <v>0</v>
      </c>
      <c r="C67" s="9" t="s">
        <v>3</v>
      </c>
      <c r="D67" s="9">
        <f t="shared" si="0"/>
        <v>2017</v>
      </c>
      <c r="E67" t="s">
        <v>65</v>
      </c>
      <c r="F67" t="s">
        <v>129</v>
      </c>
    </row>
    <row r="68" spans="2:6" x14ac:dyDescent="0.4">
      <c r="B68" s="2">
        <v>290949783</v>
      </c>
      <c r="C68" s="9" t="s">
        <v>3</v>
      </c>
      <c r="D68" s="9">
        <f t="shared" si="0"/>
        <v>2017</v>
      </c>
      <c r="E68" t="s">
        <v>66</v>
      </c>
      <c r="F68" t="s">
        <v>129</v>
      </c>
    </row>
    <row r="69" spans="2:6" x14ac:dyDescent="0.4">
      <c r="B69" s="2">
        <v>91989475</v>
      </c>
      <c r="C69" s="9" t="s">
        <v>3</v>
      </c>
      <c r="D69" s="9">
        <f t="shared" si="0"/>
        <v>2017</v>
      </c>
      <c r="E69" t="s">
        <v>67</v>
      </c>
      <c r="F69" t="s">
        <v>129</v>
      </c>
    </row>
    <row r="70" spans="2:6" x14ac:dyDescent="0.4">
      <c r="B70" s="2">
        <v>365109081</v>
      </c>
      <c r="C70" s="9" t="s">
        <v>3</v>
      </c>
      <c r="D70" s="9">
        <f t="shared" si="0"/>
        <v>2017</v>
      </c>
      <c r="E70" t="s">
        <v>68</v>
      </c>
      <c r="F70" t="s">
        <v>129</v>
      </c>
    </row>
    <row r="71" spans="2:6" x14ac:dyDescent="0.4">
      <c r="B71" s="2">
        <v>281573509</v>
      </c>
      <c r="C71" s="9" t="s">
        <v>3</v>
      </c>
      <c r="D71" s="9">
        <f t="shared" si="0"/>
        <v>2017</v>
      </c>
      <c r="E71" t="s">
        <v>69</v>
      </c>
      <c r="F71" t="s">
        <v>129</v>
      </c>
    </row>
    <row r="72" spans="2:6" x14ac:dyDescent="0.4">
      <c r="B72" s="2">
        <v>53262795</v>
      </c>
      <c r="C72" s="9" t="s">
        <v>3</v>
      </c>
      <c r="D72" s="9">
        <f t="shared" ref="D72:D135" si="1">LEFT(C72,4)*1</f>
        <v>2017</v>
      </c>
      <c r="E72" t="s">
        <v>70</v>
      </c>
      <c r="F72" t="s">
        <v>129</v>
      </c>
    </row>
    <row r="73" spans="2:6" x14ac:dyDescent="0.4">
      <c r="B73" s="2">
        <v>120831088</v>
      </c>
      <c r="C73" s="9" t="s">
        <v>3</v>
      </c>
      <c r="D73" s="9">
        <f t="shared" si="1"/>
        <v>2017</v>
      </c>
      <c r="E73" t="s">
        <v>71</v>
      </c>
      <c r="F73" t="s">
        <v>129</v>
      </c>
    </row>
    <row r="74" spans="2:6" x14ac:dyDescent="0.4">
      <c r="B74" s="2">
        <v>11316861421</v>
      </c>
      <c r="C74" s="9" t="s">
        <v>3</v>
      </c>
      <c r="D74" s="9">
        <f t="shared" si="1"/>
        <v>2017</v>
      </c>
      <c r="E74" t="s">
        <v>72</v>
      </c>
      <c r="F74" t="s">
        <v>129</v>
      </c>
    </row>
    <row r="75" spans="2:6" x14ac:dyDescent="0.4">
      <c r="B75" s="2">
        <v>473574490</v>
      </c>
      <c r="C75" s="9" t="s">
        <v>3</v>
      </c>
      <c r="D75" s="9">
        <f t="shared" si="1"/>
        <v>2017</v>
      </c>
      <c r="E75" t="s">
        <v>73</v>
      </c>
      <c r="F75" t="s">
        <v>129</v>
      </c>
    </row>
    <row r="76" spans="2:6" x14ac:dyDescent="0.4">
      <c r="B76" s="2">
        <v>48296000</v>
      </c>
      <c r="C76" s="9" t="s">
        <v>3</v>
      </c>
      <c r="D76" s="9">
        <f t="shared" si="1"/>
        <v>2017</v>
      </c>
      <c r="E76" t="s">
        <v>74</v>
      </c>
      <c r="F76" t="s">
        <v>129</v>
      </c>
    </row>
    <row r="77" spans="2:6" x14ac:dyDescent="0.4">
      <c r="B77" s="2">
        <v>678676531</v>
      </c>
      <c r="C77" s="9" t="s">
        <v>3</v>
      </c>
      <c r="D77" s="9">
        <f t="shared" si="1"/>
        <v>2017</v>
      </c>
      <c r="E77" t="s">
        <v>75</v>
      </c>
      <c r="F77" t="s">
        <v>129</v>
      </c>
    </row>
    <row r="78" spans="2:6" x14ac:dyDescent="0.4">
      <c r="B78" s="2">
        <v>2984126313</v>
      </c>
      <c r="C78" s="9" t="s">
        <v>3</v>
      </c>
      <c r="D78" s="9">
        <f t="shared" si="1"/>
        <v>2017</v>
      </c>
      <c r="E78" t="s">
        <v>76</v>
      </c>
      <c r="F78" t="s">
        <v>129</v>
      </c>
    </row>
    <row r="79" spans="2:6" x14ac:dyDescent="0.4">
      <c r="B79" s="2">
        <v>1692310031</v>
      </c>
      <c r="C79" s="9" t="s">
        <v>3</v>
      </c>
      <c r="D79" s="9">
        <f t="shared" si="1"/>
        <v>2017</v>
      </c>
      <c r="E79" t="s">
        <v>77</v>
      </c>
      <c r="F79" t="s">
        <v>129</v>
      </c>
    </row>
    <row r="80" spans="2:6" x14ac:dyDescent="0.4">
      <c r="B80" s="2">
        <v>116400916</v>
      </c>
      <c r="C80" s="9" t="s">
        <v>3</v>
      </c>
      <c r="D80" s="9">
        <f t="shared" si="1"/>
        <v>2017</v>
      </c>
      <c r="E80" t="s">
        <v>78</v>
      </c>
      <c r="F80" t="s">
        <v>129</v>
      </c>
    </row>
    <row r="81" spans="2:6" x14ac:dyDescent="0.4">
      <c r="B81" s="2">
        <v>417160276</v>
      </c>
      <c r="C81" s="9" t="s">
        <v>3</v>
      </c>
      <c r="D81" s="9">
        <f t="shared" si="1"/>
        <v>2017</v>
      </c>
      <c r="E81" t="s">
        <v>79</v>
      </c>
      <c r="F81" t="s">
        <v>129</v>
      </c>
    </row>
    <row r="82" spans="2:6" x14ac:dyDescent="0.4">
      <c r="B82" s="2">
        <v>4282314</v>
      </c>
      <c r="C82" s="9" t="s">
        <v>3</v>
      </c>
      <c r="D82" s="9">
        <f t="shared" si="1"/>
        <v>2017</v>
      </c>
      <c r="E82" t="s">
        <v>80</v>
      </c>
      <c r="F82" t="s">
        <v>129</v>
      </c>
    </row>
    <row r="83" spans="2:6" x14ac:dyDescent="0.4">
      <c r="B83" s="3">
        <v>0</v>
      </c>
      <c r="C83" s="9" t="s">
        <v>3</v>
      </c>
      <c r="D83" s="9">
        <f t="shared" si="1"/>
        <v>2017</v>
      </c>
      <c r="E83" t="s">
        <v>81</v>
      </c>
      <c r="F83" t="s">
        <v>129</v>
      </c>
    </row>
    <row r="84" spans="2:6" x14ac:dyDescent="0.4">
      <c r="B84" s="2">
        <v>82426528</v>
      </c>
      <c r="C84" s="9" t="s">
        <v>3</v>
      </c>
      <c r="D84" s="9">
        <f t="shared" si="1"/>
        <v>2017</v>
      </c>
      <c r="E84" t="s">
        <v>82</v>
      </c>
      <c r="F84" t="s">
        <v>123</v>
      </c>
    </row>
    <row r="85" spans="2:6" x14ac:dyDescent="0.4">
      <c r="B85" s="2">
        <v>539787636</v>
      </c>
      <c r="C85" s="9" t="s">
        <v>3</v>
      </c>
      <c r="D85" s="9">
        <f t="shared" si="1"/>
        <v>2017</v>
      </c>
      <c r="E85" t="s">
        <v>83</v>
      </c>
      <c r="F85" t="s">
        <v>123</v>
      </c>
    </row>
    <row r="86" spans="2:6" x14ac:dyDescent="0.4">
      <c r="B86" s="2">
        <v>766921356</v>
      </c>
      <c r="C86" s="9" t="s">
        <v>3</v>
      </c>
      <c r="D86" s="9">
        <f t="shared" si="1"/>
        <v>2017</v>
      </c>
      <c r="E86" t="s">
        <v>84</v>
      </c>
      <c r="F86" t="s">
        <v>123</v>
      </c>
    </row>
    <row r="87" spans="2:6" x14ac:dyDescent="0.4">
      <c r="B87" s="2">
        <v>618521274</v>
      </c>
      <c r="C87" s="9" t="s">
        <v>3</v>
      </c>
      <c r="D87" s="9">
        <f t="shared" si="1"/>
        <v>2017</v>
      </c>
      <c r="E87" t="s">
        <v>85</v>
      </c>
      <c r="F87" t="s">
        <v>123</v>
      </c>
    </row>
    <row r="88" spans="2:6" x14ac:dyDescent="0.4">
      <c r="B88" s="2">
        <v>1142378687</v>
      </c>
      <c r="C88" s="9" t="s">
        <v>3</v>
      </c>
      <c r="D88" s="9">
        <f t="shared" si="1"/>
        <v>2017</v>
      </c>
      <c r="E88" t="s">
        <v>86</v>
      </c>
      <c r="F88" t="s">
        <v>123</v>
      </c>
    </row>
    <row r="89" spans="2:6" x14ac:dyDescent="0.4">
      <c r="B89" s="2">
        <v>742617961</v>
      </c>
      <c r="C89" s="9" t="s">
        <v>3</v>
      </c>
      <c r="D89" s="9">
        <f t="shared" si="1"/>
        <v>2017</v>
      </c>
      <c r="E89" t="s">
        <v>87</v>
      </c>
      <c r="F89" t="s">
        <v>123</v>
      </c>
    </row>
    <row r="90" spans="2:6" x14ac:dyDescent="0.4">
      <c r="B90" s="2">
        <v>129756609</v>
      </c>
      <c r="C90" s="9" t="s">
        <v>3</v>
      </c>
      <c r="D90" s="9">
        <f t="shared" si="1"/>
        <v>2017</v>
      </c>
      <c r="E90" t="s">
        <v>88</v>
      </c>
      <c r="F90" t="s">
        <v>123</v>
      </c>
    </row>
    <row r="91" spans="2:6" x14ac:dyDescent="0.4">
      <c r="B91" s="3">
        <v>0</v>
      </c>
      <c r="C91" s="9" t="s">
        <v>3</v>
      </c>
      <c r="D91" s="9">
        <f t="shared" si="1"/>
        <v>2017</v>
      </c>
      <c r="E91" t="s">
        <v>89</v>
      </c>
      <c r="F91" t="s">
        <v>131</v>
      </c>
    </row>
    <row r="92" spans="2:6" x14ac:dyDescent="0.4">
      <c r="B92" s="2">
        <v>908290833</v>
      </c>
      <c r="C92" s="9" t="s">
        <v>3</v>
      </c>
      <c r="D92" s="9">
        <f t="shared" si="1"/>
        <v>2017</v>
      </c>
      <c r="E92" t="s">
        <v>90</v>
      </c>
      <c r="F92" t="s">
        <v>125</v>
      </c>
    </row>
    <row r="93" spans="2:6" x14ac:dyDescent="0.4">
      <c r="B93" s="2">
        <v>761117729</v>
      </c>
      <c r="C93" s="9" t="s">
        <v>3</v>
      </c>
      <c r="D93" s="9">
        <f t="shared" si="1"/>
        <v>2017</v>
      </c>
      <c r="E93" t="s">
        <v>91</v>
      </c>
      <c r="F93" t="s">
        <v>125</v>
      </c>
    </row>
    <row r="94" spans="2:6" x14ac:dyDescent="0.4">
      <c r="B94" s="2">
        <v>275713432</v>
      </c>
      <c r="C94" s="9" t="s">
        <v>3</v>
      </c>
      <c r="D94" s="9">
        <f t="shared" si="1"/>
        <v>2017</v>
      </c>
      <c r="E94" t="s">
        <v>92</v>
      </c>
      <c r="F94" t="s">
        <v>125</v>
      </c>
    </row>
    <row r="95" spans="2:6" x14ac:dyDescent="0.4">
      <c r="B95" s="2">
        <v>1740876958</v>
      </c>
      <c r="C95" s="9" t="s">
        <v>3</v>
      </c>
      <c r="D95" s="9">
        <f t="shared" si="1"/>
        <v>2017</v>
      </c>
      <c r="E95" t="s">
        <v>93</v>
      </c>
      <c r="F95" t="s">
        <v>125</v>
      </c>
    </row>
    <row r="96" spans="2:6" x14ac:dyDescent="0.4">
      <c r="B96" s="1" t="s">
        <v>9</v>
      </c>
      <c r="C96" s="9" t="s">
        <v>3</v>
      </c>
      <c r="D96" s="9">
        <f t="shared" si="1"/>
        <v>2017</v>
      </c>
      <c r="E96" t="s">
        <v>94</v>
      </c>
      <c r="F96" t="s">
        <v>125</v>
      </c>
    </row>
    <row r="97" spans="2:6" x14ac:dyDescent="0.4">
      <c r="B97" s="3">
        <v>0</v>
      </c>
      <c r="C97" s="9" t="s">
        <v>3</v>
      </c>
      <c r="D97" s="9">
        <f t="shared" si="1"/>
        <v>2017</v>
      </c>
      <c r="E97" t="s">
        <v>95</v>
      </c>
      <c r="F97" t="s">
        <v>125</v>
      </c>
    </row>
    <row r="98" spans="2:6" x14ac:dyDescent="0.4">
      <c r="B98" s="2">
        <v>9306214</v>
      </c>
      <c r="C98" s="9" t="s">
        <v>3</v>
      </c>
      <c r="D98" s="9">
        <f t="shared" si="1"/>
        <v>2017</v>
      </c>
      <c r="E98" t="s">
        <v>96</v>
      </c>
      <c r="F98" t="s">
        <v>125</v>
      </c>
    </row>
    <row r="99" spans="2:6" x14ac:dyDescent="0.4">
      <c r="B99" s="2">
        <v>327311428</v>
      </c>
      <c r="C99" s="9" t="s">
        <v>3</v>
      </c>
      <c r="D99" s="9">
        <f t="shared" si="1"/>
        <v>2017</v>
      </c>
      <c r="E99" t="s">
        <v>97</v>
      </c>
      <c r="F99" t="s">
        <v>125</v>
      </c>
    </row>
    <row r="100" spans="2:6" x14ac:dyDescent="0.4">
      <c r="B100" s="7">
        <v>6692425753</v>
      </c>
      <c r="C100" s="9" t="s">
        <v>3</v>
      </c>
      <c r="D100" s="9">
        <f t="shared" si="1"/>
        <v>2017</v>
      </c>
      <c r="E100" t="s">
        <v>110</v>
      </c>
      <c r="F100" t="s">
        <v>127</v>
      </c>
    </row>
    <row r="101" spans="2:6" x14ac:dyDescent="0.4">
      <c r="B101" s="5">
        <v>200762116374</v>
      </c>
      <c r="C101" s="9" t="s">
        <v>6</v>
      </c>
      <c r="D101" s="9">
        <f t="shared" si="1"/>
        <v>2020</v>
      </c>
      <c r="E101" t="s">
        <v>108</v>
      </c>
      <c r="F101" t="s">
        <v>117</v>
      </c>
    </row>
    <row r="102" spans="2:6" x14ac:dyDescent="0.4">
      <c r="B102" s="2">
        <v>143774888354</v>
      </c>
      <c r="C102" s="9" t="s">
        <v>6</v>
      </c>
      <c r="D102" s="9">
        <f t="shared" si="1"/>
        <v>2020</v>
      </c>
      <c r="E102" t="s">
        <v>109</v>
      </c>
      <c r="F102" t="s">
        <v>119</v>
      </c>
    </row>
    <row r="103" spans="2:6" x14ac:dyDescent="0.4">
      <c r="B103" s="2">
        <v>19477177034</v>
      </c>
      <c r="C103" s="9" t="s">
        <v>6</v>
      </c>
      <c r="D103" s="9">
        <f t="shared" si="1"/>
        <v>2020</v>
      </c>
      <c r="E103" t="s">
        <v>54</v>
      </c>
      <c r="F103" t="s">
        <v>129</v>
      </c>
    </row>
    <row r="104" spans="2:6" x14ac:dyDescent="0.4">
      <c r="B104" s="2">
        <v>1198531442</v>
      </c>
      <c r="C104" s="9" t="s">
        <v>6</v>
      </c>
      <c r="D104" s="9">
        <f t="shared" si="1"/>
        <v>2020</v>
      </c>
      <c r="E104" t="s">
        <v>55</v>
      </c>
      <c r="F104" t="s">
        <v>129</v>
      </c>
    </row>
    <row r="105" spans="2:6" x14ac:dyDescent="0.4">
      <c r="B105" s="2">
        <v>692453463</v>
      </c>
      <c r="C105" s="9" t="s">
        <v>6</v>
      </c>
      <c r="D105" s="9">
        <f t="shared" si="1"/>
        <v>2020</v>
      </c>
      <c r="E105" t="s">
        <v>56</v>
      </c>
      <c r="F105" t="s">
        <v>129</v>
      </c>
    </row>
    <row r="106" spans="2:6" x14ac:dyDescent="0.4">
      <c r="B106" s="2">
        <v>2629123233</v>
      </c>
      <c r="C106" s="9" t="s">
        <v>6</v>
      </c>
      <c r="D106" s="9">
        <f t="shared" si="1"/>
        <v>2020</v>
      </c>
      <c r="E106" t="s">
        <v>57</v>
      </c>
      <c r="F106" t="s">
        <v>129</v>
      </c>
    </row>
    <row r="107" spans="2:6" x14ac:dyDescent="0.4">
      <c r="B107" s="2">
        <v>1169073809</v>
      </c>
      <c r="C107" s="9" t="s">
        <v>6</v>
      </c>
      <c r="D107" s="9">
        <f t="shared" si="1"/>
        <v>2020</v>
      </c>
      <c r="E107" t="s">
        <v>58</v>
      </c>
      <c r="F107" t="s">
        <v>129</v>
      </c>
    </row>
    <row r="108" spans="2:6" x14ac:dyDescent="0.4">
      <c r="B108" s="2">
        <v>334862276</v>
      </c>
      <c r="C108" s="9" t="s">
        <v>6</v>
      </c>
      <c r="D108" s="9">
        <f t="shared" si="1"/>
        <v>2020</v>
      </c>
      <c r="E108" t="s">
        <v>59</v>
      </c>
      <c r="F108" t="s">
        <v>129</v>
      </c>
    </row>
    <row r="109" spans="2:6" x14ac:dyDescent="0.4">
      <c r="B109" s="2">
        <v>266588249</v>
      </c>
      <c r="C109" s="9" t="s">
        <v>6</v>
      </c>
      <c r="D109" s="9">
        <f t="shared" si="1"/>
        <v>2020</v>
      </c>
      <c r="E109" t="s">
        <v>60</v>
      </c>
      <c r="F109" t="s">
        <v>129</v>
      </c>
    </row>
    <row r="110" spans="2:6" x14ac:dyDescent="0.4">
      <c r="B110" s="2">
        <v>29780885</v>
      </c>
      <c r="C110" s="9" t="s">
        <v>6</v>
      </c>
      <c r="D110" s="9">
        <f t="shared" si="1"/>
        <v>2020</v>
      </c>
      <c r="E110" t="s">
        <v>61</v>
      </c>
      <c r="F110" t="s">
        <v>129</v>
      </c>
    </row>
    <row r="111" spans="2:6" x14ac:dyDescent="0.4">
      <c r="B111" s="2">
        <v>128908320</v>
      </c>
      <c r="C111" s="9" t="s">
        <v>6</v>
      </c>
      <c r="D111" s="9">
        <f t="shared" si="1"/>
        <v>2020</v>
      </c>
      <c r="E111" t="s">
        <v>62</v>
      </c>
      <c r="F111" t="s">
        <v>129</v>
      </c>
    </row>
    <row r="112" spans="2:6" x14ac:dyDescent="0.4">
      <c r="B112" s="2">
        <v>522047136</v>
      </c>
      <c r="C112" s="9" t="s">
        <v>6</v>
      </c>
      <c r="D112" s="9">
        <f t="shared" si="1"/>
        <v>2020</v>
      </c>
      <c r="E112" t="s">
        <v>63</v>
      </c>
      <c r="F112" t="s">
        <v>121</v>
      </c>
    </row>
    <row r="113" spans="2:6" x14ac:dyDescent="0.4">
      <c r="B113" s="1"/>
      <c r="C113" s="9" t="s">
        <v>6</v>
      </c>
      <c r="D113" s="9">
        <f t="shared" si="1"/>
        <v>2020</v>
      </c>
      <c r="E113" t="s">
        <v>64</v>
      </c>
      <c r="F113" t="s">
        <v>129</v>
      </c>
    </row>
    <row r="114" spans="2:6" x14ac:dyDescent="0.4">
      <c r="B114" s="2">
        <v>-362578315</v>
      </c>
      <c r="C114" s="9" t="s">
        <v>6</v>
      </c>
      <c r="D114" s="9">
        <f t="shared" si="1"/>
        <v>2020</v>
      </c>
      <c r="E114" t="s">
        <v>65</v>
      </c>
      <c r="F114" t="s">
        <v>129</v>
      </c>
    </row>
    <row r="115" spans="2:6" x14ac:dyDescent="0.4">
      <c r="B115" s="2">
        <v>181059252</v>
      </c>
      <c r="C115" s="9" t="s">
        <v>6</v>
      </c>
      <c r="D115" s="9">
        <f t="shared" si="1"/>
        <v>2020</v>
      </c>
      <c r="E115" t="s">
        <v>66</v>
      </c>
      <c r="F115" t="s">
        <v>129</v>
      </c>
    </row>
    <row r="116" spans="2:6" x14ac:dyDescent="0.4">
      <c r="B116" s="2">
        <v>356049912</v>
      </c>
      <c r="C116" s="9" t="s">
        <v>6</v>
      </c>
      <c r="D116" s="9">
        <f t="shared" si="1"/>
        <v>2020</v>
      </c>
      <c r="E116" t="s">
        <v>67</v>
      </c>
      <c r="F116" t="s">
        <v>129</v>
      </c>
    </row>
    <row r="117" spans="2:6" x14ac:dyDescent="0.4">
      <c r="B117" s="2">
        <v>109834356</v>
      </c>
      <c r="C117" s="9" t="s">
        <v>6</v>
      </c>
      <c r="D117" s="9">
        <f t="shared" si="1"/>
        <v>2020</v>
      </c>
      <c r="E117" t="s">
        <v>68</v>
      </c>
      <c r="F117" t="s">
        <v>129</v>
      </c>
    </row>
    <row r="118" spans="2:6" x14ac:dyDescent="0.4">
      <c r="B118" s="2">
        <v>144444609</v>
      </c>
      <c r="C118" s="9" t="s">
        <v>6</v>
      </c>
      <c r="D118" s="9">
        <f t="shared" si="1"/>
        <v>2020</v>
      </c>
      <c r="E118" t="s">
        <v>69</v>
      </c>
      <c r="F118" t="s">
        <v>129</v>
      </c>
    </row>
    <row r="119" spans="2:6" x14ac:dyDescent="0.4">
      <c r="B119" s="2">
        <v>58353854</v>
      </c>
      <c r="C119" s="9" t="s">
        <v>6</v>
      </c>
      <c r="D119" s="9">
        <f t="shared" si="1"/>
        <v>2020</v>
      </c>
      <c r="E119" t="s">
        <v>70</v>
      </c>
      <c r="F119" t="s">
        <v>129</v>
      </c>
    </row>
    <row r="120" spans="2:6" x14ac:dyDescent="0.4">
      <c r="B120" s="2">
        <v>82745396</v>
      </c>
      <c r="C120" s="9" t="s">
        <v>6</v>
      </c>
      <c r="D120" s="9">
        <f t="shared" si="1"/>
        <v>2020</v>
      </c>
      <c r="E120" t="s">
        <v>71</v>
      </c>
      <c r="F120" t="s">
        <v>129</v>
      </c>
    </row>
    <row r="121" spans="2:6" x14ac:dyDescent="0.4">
      <c r="B121" s="2">
        <v>12089059416</v>
      </c>
      <c r="C121" s="9" t="s">
        <v>6</v>
      </c>
      <c r="D121" s="9">
        <f t="shared" si="1"/>
        <v>2020</v>
      </c>
      <c r="E121" t="s">
        <v>72</v>
      </c>
      <c r="F121" t="s">
        <v>129</v>
      </c>
    </row>
    <row r="122" spans="2:6" x14ac:dyDescent="0.4">
      <c r="B122" s="2">
        <v>929007039</v>
      </c>
      <c r="C122" s="9" t="s">
        <v>6</v>
      </c>
      <c r="D122" s="9">
        <f t="shared" si="1"/>
        <v>2020</v>
      </c>
      <c r="E122" t="s">
        <v>73</v>
      </c>
      <c r="F122" t="s">
        <v>129</v>
      </c>
    </row>
    <row r="123" spans="2:6" x14ac:dyDescent="0.4">
      <c r="B123" s="2">
        <v>31469615</v>
      </c>
      <c r="C123" s="9" t="s">
        <v>6</v>
      </c>
      <c r="D123" s="9">
        <f t="shared" si="1"/>
        <v>2020</v>
      </c>
      <c r="E123" t="s">
        <v>74</v>
      </c>
      <c r="F123" t="s">
        <v>129</v>
      </c>
    </row>
    <row r="124" spans="2:6" x14ac:dyDescent="0.4">
      <c r="B124" s="2">
        <v>996595423</v>
      </c>
      <c r="C124" s="9" t="s">
        <v>6</v>
      </c>
      <c r="D124" s="9">
        <f t="shared" si="1"/>
        <v>2020</v>
      </c>
      <c r="E124" t="s">
        <v>75</v>
      </c>
      <c r="F124" t="s">
        <v>129</v>
      </c>
    </row>
    <row r="125" spans="2:6" x14ac:dyDescent="0.4">
      <c r="B125" s="2">
        <v>1996452785</v>
      </c>
      <c r="C125" s="9" t="s">
        <v>6</v>
      </c>
      <c r="D125" s="9">
        <f t="shared" si="1"/>
        <v>2020</v>
      </c>
      <c r="E125" t="s">
        <v>76</v>
      </c>
      <c r="F125" t="s">
        <v>129</v>
      </c>
    </row>
    <row r="126" spans="2:6" x14ac:dyDescent="0.4">
      <c r="B126" s="2">
        <v>2721939860</v>
      </c>
      <c r="C126" s="9" t="s">
        <v>6</v>
      </c>
      <c r="D126" s="9">
        <f t="shared" si="1"/>
        <v>2020</v>
      </c>
      <c r="E126" t="s">
        <v>77</v>
      </c>
      <c r="F126" t="s">
        <v>129</v>
      </c>
    </row>
    <row r="127" spans="2:6" x14ac:dyDescent="0.4">
      <c r="B127" s="2">
        <v>201250221</v>
      </c>
      <c r="C127" s="9" t="s">
        <v>6</v>
      </c>
      <c r="D127" s="9">
        <f t="shared" si="1"/>
        <v>2020</v>
      </c>
      <c r="E127" t="s">
        <v>78</v>
      </c>
      <c r="F127" t="s">
        <v>129</v>
      </c>
    </row>
    <row r="128" spans="2:6" x14ac:dyDescent="0.4">
      <c r="B128" s="2">
        <v>157694155</v>
      </c>
      <c r="C128" s="9" t="s">
        <v>6</v>
      </c>
      <c r="D128" s="9">
        <f t="shared" si="1"/>
        <v>2020</v>
      </c>
      <c r="E128" t="s">
        <v>79</v>
      </c>
      <c r="F128" t="s">
        <v>129</v>
      </c>
    </row>
    <row r="129" spans="2:6" x14ac:dyDescent="0.4">
      <c r="B129" s="2">
        <v>19908100</v>
      </c>
      <c r="C129" s="9" t="s">
        <v>6</v>
      </c>
      <c r="D129" s="9">
        <f t="shared" si="1"/>
        <v>2020</v>
      </c>
      <c r="E129" t="s">
        <v>80</v>
      </c>
      <c r="F129" t="s">
        <v>129</v>
      </c>
    </row>
    <row r="130" spans="2:6" x14ac:dyDescent="0.4">
      <c r="B130" s="2">
        <v>2382938693</v>
      </c>
      <c r="C130" s="9" t="s">
        <v>6</v>
      </c>
      <c r="D130" s="9">
        <f t="shared" si="1"/>
        <v>2020</v>
      </c>
      <c r="E130" t="s">
        <v>81</v>
      </c>
      <c r="F130" t="s">
        <v>129</v>
      </c>
    </row>
    <row r="131" spans="2:6" x14ac:dyDescent="0.4">
      <c r="B131" s="2">
        <v>14824746</v>
      </c>
      <c r="C131" s="9" t="s">
        <v>6</v>
      </c>
      <c r="D131" s="9">
        <f t="shared" si="1"/>
        <v>2020</v>
      </c>
      <c r="E131" t="s">
        <v>82</v>
      </c>
      <c r="F131" t="s">
        <v>123</v>
      </c>
    </row>
    <row r="132" spans="2:6" x14ac:dyDescent="0.4">
      <c r="B132" s="2">
        <v>2609676243</v>
      </c>
      <c r="C132" s="9" t="s">
        <v>6</v>
      </c>
      <c r="D132" s="9">
        <f t="shared" si="1"/>
        <v>2020</v>
      </c>
      <c r="E132" t="s">
        <v>83</v>
      </c>
      <c r="F132" t="s">
        <v>123</v>
      </c>
    </row>
    <row r="133" spans="2:6" x14ac:dyDescent="0.4">
      <c r="B133" s="2">
        <v>1596993066</v>
      </c>
      <c r="C133" s="9" t="s">
        <v>6</v>
      </c>
      <c r="D133" s="9">
        <f t="shared" si="1"/>
        <v>2020</v>
      </c>
      <c r="E133" t="s">
        <v>84</v>
      </c>
      <c r="F133" t="s">
        <v>123</v>
      </c>
    </row>
    <row r="134" spans="2:6" x14ac:dyDescent="0.4">
      <c r="B134" s="2">
        <v>37117302</v>
      </c>
      <c r="C134" s="9" t="s">
        <v>6</v>
      </c>
      <c r="D134" s="9">
        <f t="shared" si="1"/>
        <v>2020</v>
      </c>
      <c r="E134" t="s">
        <v>85</v>
      </c>
      <c r="F134" t="s">
        <v>123</v>
      </c>
    </row>
    <row r="135" spans="2:6" x14ac:dyDescent="0.4">
      <c r="B135" s="2">
        <v>4306606596</v>
      </c>
      <c r="C135" s="9" t="s">
        <v>6</v>
      </c>
      <c r="D135" s="9">
        <f t="shared" si="1"/>
        <v>2020</v>
      </c>
      <c r="E135" t="s">
        <v>86</v>
      </c>
      <c r="F135" t="s">
        <v>123</v>
      </c>
    </row>
    <row r="136" spans="2:6" x14ac:dyDescent="0.4">
      <c r="B136" s="2">
        <v>755023906</v>
      </c>
      <c r="C136" s="9" t="s">
        <v>6</v>
      </c>
      <c r="D136" s="9">
        <f t="shared" ref="D136:D194" si="2">LEFT(C136,4)*1</f>
        <v>2020</v>
      </c>
      <c r="E136" t="s">
        <v>87</v>
      </c>
      <c r="F136" t="s">
        <v>123</v>
      </c>
    </row>
    <row r="137" spans="2:6" x14ac:dyDescent="0.4">
      <c r="B137" s="2">
        <v>15684257</v>
      </c>
      <c r="C137" s="9" t="s">
        <v>6</v>
      </c>
      <c r="D137" s="9">
        <f t="shared" si="2"/>
        <v>2020</v>
      </c>
      <c r="E137" t="s">
        <v>88</v>
      </c>
      <c r="F137" t="s">
        <v>123</v>
      </c>
    </row>
    <row r="138" spans="2:6" x14ac:dyDescent="0.4">
      <c r="B138" s="2">
        <v>220979837</v>
      </c>
      <c r="C138" s="9" t="s">
        <v>6</v>
      </c>
      <c r="D138" s="9">
        <f t="shared" si="2"/>
        <v>2020</v>
      </c>
      <c r="E138" t="s">
        <v>89</v>
      </c>
      <c r="F138" t="s">
        <v>131</v>
      </c>
    </row>
    <row r="139" spans="2:6" x14ac:dyDescent="0.4">
      <c r="B139" s="2">
        <v>357933808</v>
      </c>
      <c r="C139" s="9" t="s">
        <v>6</v>
      </c>
      <c r="D139" s="9">
        <f t="shared" si="2"/>
        <v>2020</v>
      </c>
      <c r="E139" t="s">
        <v>90</v>
      </c>
      <c r="F139" t="s">
        <v>125</v>
      </c>
    </row>
    <row r="140" spans="2:6" x14ac:dyDescent="0.4">
      <c r="B140" s="2">
        <v>1980692239</v>
      </c>
      <c r="C140" s="9" t="s">
        <v>6</v>
      </c>
      <c r="D140" s="9">
        <f t="shared" si="2"/>
        <v>2020</v>
      </c>
      <c r="E140" t="s">
        <v>91</v>
      </c>
      <c r="F140" t="s">
        <v>125</v>
      </c>
    </row>
    <row r="141" spans="2:6" x14ac:dyDescent="0.4">
      <c r="B141" s="2">
        <v>339172067</v>
      </c>
      <c r="C141" s="9" t="s">
        <v>6</v>
      </c>
      <c r="D141" s="9">
        <f t="shared" si="2"/>
        <v>2020</v>
      </c>
      <c r="E141" t="s">
        <v>92</v>
      </c>
      <c r="F141" t="s">
        <v>125</v>
      </c>
    </row>
    <row r="142" spans="2:6" x14ac:dyDescent="0.4">
      <c r="B142" s="2">
        <v>3305664434</v>
      </c>
      <c r="C142" s="9" t="s">
        <v>6</v>
      </c>
      <c r="D142" s="9">
        <f t="shared" si="2"/>
        <v>2020</v>
      </c>
      <c r="E142" t="s">
        <v>93</v>
      </c>
      <c r="F142" t="s">
        <v>125</v>
      </c>
    </row>
    <row r="143" spans="2:6" x14ac:dyDescent="0.4">
      <c r="B143" s="2">
        <v>607718771</v>
      </c>
      <c r="C143" s="9" t="s">
        <v>6</v>
      </c>
      <c r="D143" s="9">
        <f t="shared" si="2"/>
        <v>2020</v>
      </c>
      <c r="E143" t="s">
        <v>94</v>
      </c>
      <c r="F143" t="s">
        <v>125</v>
      </c>
    </row>
    <row r="144" spans="2:6" x14ac:dyDescent="0.4">
      <c r="B144" s="2">
        <v>160000000</v>
      </c>
      <c r="C144" s="9" t="s">
        <v>6</v>
      </c>
      <c r="D144" s="9">
        <f t="shared" si="2"/>
        <v>2020</v>
      </c>
      <c r="E144" t="s">
        <v>95</v>
      </c>
      <c r="F144" t="s">
        <v>125</v>
      </c>
    </row>
    <row r="145" spans="2:6" x14ac:dyDescent="0.4">
      <c r="B145" s="1"/>
      <c r="C145" s="9" t="s">
        <v>6</v>
      </c>
      <c r="D145" s="9">
        <f t="shared" si="2"/>
        <v>2020</v>
      </c>
      <c r="E145" t="s">
        <v>96</v>
      </c>
      <c r="F145" t="s">
        <v>125</v>
      </c>
    </row>
    <row r="146" spans="2:6" x14ac:dyDescent="0.4">
      <c r="B146" s="2">
        <v>291386603</v>
      </c>
      <c r="C146" s="9" t="s">
        <v>6</v>
      </c>
      <c r="D146" s="9">
        <f t="shared" si="2"/>
        <v>2020</v>
      </c>
      <c r="E146" t="s">
        <v>97</v>
      </c>
      <c r="F146" t="s">
        <v>125</v>
      </c>
    </row>
    <row r="147" spans="2:6" x14ac:dyDescent="0.4">
      <c r="B147" s="2">
        <v>5933092664</v>
      </c>
      <c r="C147" s="9" t="s">
        <v>6</v>
      </c>
      <c r="D147" s="9">
        <f t="shared" si="2"/>
        <v>2020</v>
      </c>
      <c r="E147" t="s">
        <v>110</v>
      </c>
      <c r="F147" t="s">
        <v>127</v>
      </c>
    </row>
    <row r="148" spans="2:6" x14ac:dyDescent="0.4">
      <c r="B148" s="6">
        <v>234794304394</v>
      </c>
      <c r="C148" s="9" t="s">
        <v>7</v>
      </c>
      <c r="D148" s="9">
        <f t="shared" si="2"/>
        <v>2019</v>
      </c>
      <c r="E148" t="s">
        <v>108</v>
      </c>
      <c r="F148" t="s">
        <v>117</v>
      </c>
    </row>
    <row r="149" spans="2:6" x14ac:dyDescent="0.4">
      <c r="B149" s="7">
        <v>170667413083</v>
      </c>
      <c r="C149" s="9" t="s">
        <v>7</v>
      </c>
      <c r="D149" s="9">
        <f t="shared" si="2"/>
        <v>2019</v>
      </c>
      <c r="E149" t="s">
        <v>109</v>
      </c>
      <c r="F149" t="s">
        <v>119</v>
      </c>
    </row>
    <row r="150" spans="2:6" x14ac:dyDescent="0.4">
      <c r="B150" s="2">
        <v>22146113645</v>
      </c>
      <c r="C150" s="9" t="s">
        <v>7</v>
      </c>
      <c r="D150" s="9">
        <f t="shared" si="2"/>
        <v>2019</v>
      </c>
      <c r="E150" t="s">
        <v>54</v>
      </c>
      <c r="F150" t="s">
        <v>129</v>
      </c>
    </row>
    <row r="151" spans="2:6" x14ac:dyDescent="0.4">
      <c r="B151" s="2">
        <v>2087752905</v>
      </c>
      <c r="C151" s="9" t="s">
        <v>7</v>
      </c>
      <c r="D151" s="9">
        <f t="shared" si="2"/>
        <v>2019</v>
      </c>
      <c r="E151" t="s">
        <v>55</v>
      </c>
      <c r="F151" t="s">
        <v>129</v>
      </c>
    </row>
    <row r="152" spans="2:6" x14ac:dyDescent="0.4">
      <c r="B152" s="1" t="s">
        <v>9</v>
      </c>
      <c r="C152" s="9" t="s">
        <v>7</v>
      </c>
      <c r="D152" s="9">
        <f t="shared" si="2"/>
        <v>2019</v>
      </c>
      <c r="E152" t="s">
        <v>56</v>
      </c>
      <c r="F152" t="s">
        <v>129</v>
      </c>
    </row>
    <row r="153" spans="2:6" x14ac:dyDescent="0.4">
      <c r="B153" s="2">
        <v>3047269209</v>
      </c>
      <c r="C153" s="9" t="s">
        <v>7</v>
      </c>
      <c r="D153" s="9">
        <f t="shared" si="2"/>
        <v>2019</v>
      </c>
      <c r="E153" t="s">
        <v>57</v>
      </c>
      <c r="F153" t="s">
        <v>129</v>
      </c>
    </row>
    <row r="154" spans="2:6" x14ac:dyDescent="0.4">
      <c r="B154" s="2">
        <v>2229484099</v>
      </c>
      <c r="C154" s="9" t="s">
        <v>7</v>
      </c>
      <c r="D154" s="9">
        <f t="shared" si="2"/>
        <v>2019</v>
      </c>
      <c r="E154" t="s">
        <v>58</v>
      </c>
      <c r="F154" t="s">
        <v>129</v>
      </c>
    </row>
    <row r="155" spans="2:6" x14ac:dyDescent="0.4">
      <c r="B155" s="2">
        <v>499088749</v>
      </c>
      <c r="C155" s="9" t="s">
        <v>7</v>
      </c>
      <c r="D155" s="9">
        <f t="shared" si="2"/>
        <v>2019</v>
      </c>
      <c r="E155" t="s">
        <v>59</v>
      </c>
      <c r="F155" t="s">
        <v>129</v>
      </c>
    </row>
    <row r="156" spans="2:6" x14ac:dyDescent="0.4">
      <c r="B156" s="2">
        <v>521567281</v>
      </c>
      <c r="C156" s="9" t="s">
        <v>7</v>
      </c>
      <c r="D156" s="9">
        <f t="shared" si="2"/>
        <v>2019</v>
      </c>
      <c r="E156" t="s">
        <v>60</v>
      </c>
      <c r="F156" t="s">
        <v>129</v>
      </c>
    </row>
    <row r="157" spans="2:6" x14ac:dyDescent="0.4">
      <c r="B157" s="2">
        <v>59330531</v>
      </c>
      <c r="C157" s="9" t="s">
        <v>7</v>
      </c>
      <c r="D157" s="9">
        <f t="shared" si="2"/>
        <v>2019</v>
      </c>
      <c r="E157" t="s">
        <v>61</v>
      </c>
      <c r="F157" t="s">
        <v>129</v>
      </c>
    </row>
    <row r="158" spans="2:6" x14ac:dyDescent="0.4">
      <c r="B158" s="2">
        <v>280203299</v>
      </c>
      <c r="C158" s="9" t="s">
        <v>7</v>
      </c>
      <c r="D158" s="9">
        <f t="shared" si="2"/>
        <v>2019</v>
      </c>
      <c r="E158" t="s">
        <v>62</v>
      </c>
      <c r="F158" t="s">
        <v>129</v>
      </c>
    </row>
    <row r="159" spans="2:6" x14ac:dyDescent="0.4">
      <c r="B159" s="2">
        <v>560425554</v>
      </c>
      <c r="C159" s="9" t="s">
        <v>7</v>
      </c>
      <c r="D159" s="9">
        <f t="shared" si="2"/>
        <v>2019</v>
      </c>
      <c r="E159" t="s">
        <v>63</v>
      </c>
      <c r="F159" t="s">
        <v>121</v>
      </c>
    </row>
    <row r="160" spans="2:6" x14ac:dyDescent="0.4">
      <c r="B160" s="1"/>
      <c r="C160" s="9" t="s">
        <v>7</v>
      </c>
      <c r="D160" s="9">
        <f t="shared" si="2"/>
        <v>2019</v>
      </c>
      <c r="E160" t="s">
        <v>64</v>
      </c>
      <c r="F160" t="s">
        <v>129</v>
      </c>
    </row>
    <row r="161" spans="2:6" x14ac:dyDescent="0.4">
      <c r="B161" s="2">
        <v>-118280854</v>
      </c>
      <c r="C161" s="9" t="s">
        <v>7</v>
      </c>
      <c r="D161" s="9">
        <f t="shared" si="2"/>
        <v>2019</v>
      </c>
      <c r="E161" t="s">
        <v>65</v>
      </c>
      <c r="F161" t="s">
        <v>129</v>
      </c>
    </row>
    <row r="162" spans="2:6" x14ac:dyDescent="0.4">
      <c r="B162" s="2">
        <v>164726106</v>
      </c>
      <c r="C162" s="9" t="s">
        <v>7</v>
      </c>
      <c r="D162" s="9">
        <f t="shared" si="2"/>
        <v>2019</v>
      </c>
      <c r="E162" t="s">
        <v>66</v>
      </c>
      <c r="F162" t="s">
        <v>129</v>
      </c>
    </row>
    <row r="163" spans="2:6" x14ac:dyDescent="0.4">
      <c r="B163" s="2">
        <v>404578244</v>
      </c>
      <c r="C163" s="9" t="s">
        <v>7</v>
      </c>
      <c r="D163" s="9">
        <f t="shared" si="2"/>
        <v>2019</v>
      </c>
      <c r="E163" t="s">
        <v>67</v>
      </c>
      <c r="F163" t="s">
        <v>129</v>
      </c>
    </row>
    <row r="164" spans="2:6" x14ac:dyDescent="0.4">
      <c r="B164" s="2">
        <v>316735913</v>
      </c>
      <c r="C164" s="9" t="s">
        <v>7</v>
      </c>
      <c r="D164" s="9">
        <f t="shared" si="2"/>
        <v>2019</v>
      </c>
      <c r="E164" t="s">
        <v>68</v>
      </c>
      <c r="F164" t="s">
        <v>129</v>
      </c>
    </row>
    <row r="165" spans="2:6" x14ac:dyDescent="0.4">
      <c r="B165" s="2">
        <v>308549348</v>
      </c>
      <c r="C165" s="9" t="s">
        <v>7</v>
      </c>
      <c r="D165" s="9">
        <f t="shared" si="2"/>
        <v>2019</v>
      </c>
      <c r="E165" t="s">
        <v>69</v>
      </c>
      <c r="F165" t="s">
        <v>129</v>
      </c>
    </row>
    <row r="166" spans="2:6" x14ac:dyDescent="0.4">
      <c r="B166" s="2">
        <v>54096246</v>
      </c>
      <c r="C166" s="9" t="s">
        <v>7</v>
      </c>
      <c r="D166" s="9">
        <f t="shared" si="2"/>
        <v>2019</v>
      </c>
      <c r="E166" t="s">
        <v>70</v>
      </c>
      <c r="F166" t="s">
        <v>129</v>
      </c>
    </row>
    <row r="167" spans="2:6" x14ac:dyDescent="0.4">
      <c r="B167" s="2">
        <v>95362353</v>
      </c>
      <c r="C167" s="9" t="s">
        <v>7</v>
      </c>
      <c r="D167" s="9">
        <f t="shared" si="2"/>
        <v>2019</v>
      </c>
      <c r="E167" t="s">
        <v>71</v>
      </c>
      <c r="F167" t="s">
        <v>129</v>
      </c>
    </row>
    <row r="168" spans="2:6" x14ac:dyDescent="0.4">
      <c r="B168" s="2">
        <v>16366034014</v>
      </c>
      <c r="C168" s="9" t="s">
        <v>7</v>
      </c>
      <c r="D168" s="9">
        <f t="shared" si="2"/>
        <v>2019</v>
      </c>
      <c r="E168" t="s">
        <v>72</v>
      </c>
      <c r="F168" t="s">
        <v>129</v>
      </c>
    </row>
    <row r="169" spans="2:6" x14ac:dyDescent="0.4">
      <c r="B169" s="2">
        <v>668764234</v>
      </c>
      <c r="C169" s="9" t="s">
        <v>7</v>
      </c>
      <c r="D169" s="9">
        <f t="shared" si="2"/>
        <v>2019</v>
      </c>
      <c r="E169" t="s">
        <v>73</v>
      </c>
      <c r="F169" t="s">
        <v>129</v>
      </c>
    </row>
    <row r="170" spans="2:6" x14ac:dyDescent="0.4">
      <c r="B170" s="2">
        <v>27041545</v>
      </c>
      <c r="C170" s="9" t="s">
        <v>7</v>
      </c>
      <c r="D170" s="9">
        <f t="shared" si="2"/>
        <v>2019</v>
      </c>
      <c r="E170" t="s">
        <v>74</v>
      </c>
      <c r="F170" t="s">
        <v>129</v>
      </c>
    </row>
    <row r="171" spans="2:6" x14ac:dyDescent="0.4">
      <c r="B171" s="2">
        <v>887525067</v>
      </c>
      <c r="C171" s="9" t="s">
        <v>7</v>
      </c>
      <c r="D171" s="9">
        <f t="shared" si="2"/>
        <v>2019</v>
      </c>
      <c r="E171" t="s">
        <v>75</v>
      </c>
      <c r="F171" t="s">
        <v>129</v>
      </c>
    </row>
    <row r="172" spans="2:6" x14ac:dyDescent="0.4">
      <c r="B172" s="2">
        <v>2616030182</v>
      </c>
      <c r="C172" s="9" t="s">
        <v>7</v>
      </c>
      <c r="D172" s="9">
        <f t="shared" si="2"/>
        <v>2019</v>
      </c>
      <c r="E172" t="s">
        <v>76</v>
      </c>
      <c r="F172" t="s">
        <v>129</v>
      </c>
    </row>
    <row r="173" spans="2:6" x14ac:dyDescent="0.4">
      <c r="B173" s="2">
        <v>990232530</v>
      </c>
      <c r="C173" s="9" t="s">
        <v>7</v>
      </c>
      <c r="D173" s="9">
        <f t="shared" si="2"/>
        <v>2019</v>
      </c>
      <c r="E173" t="s">
        <v>77</v>
      </c>
      <c r="F173" t="s">
        <v>129</v>
      </c>
    </row>
    <row r="174" spans="2:6" x14ac:dyDescent="0.4">
      <c r="B174" s="2">
        <v>263050226</v>
      </c>
      <c r="C174" s="9" t="s">
        <v>7</v>
      </c>
      <c r="D174" s="9">
        <f t="shared" si="2"/>
        <v>2019</v>
      </c>
      <c r="E174" t="s">
        <v>78</v>
      </c>
      <c r="F174" t="s">
        <v>129</v>
      </c>
    </row>
    <row r="175" spans="2:6" x14ac:dyDescent="0.4">
      <c r="B175" s="2">
        <v>472882209</v>
      </c>
      <c r="C175" s="9" t="s">
        <v>7</v>
      </c>
      <c r="D175" s="9">
        <f t="shared" si="2"/>
        <v>2019</v>
      </c>
      <c r="E175" t="s">
        <v>79</v>
      </c>
      <c r="F175" t="s">
        <v>129</v>
      </c>
    </row>
    <row r="176" spans="2:6" x14ac:dyDescent="0.4">
      <c r="B176" s="2">
        <v>25249564</v>
      </c>
      <c r="C176" s="9" t="s">
        <v>7</v>
      </c>
      <c r="D176" s="9">
        <f t="shared" si="2"/>
        <v>2019</v>
      </c>
      <c r="E176" t="s">
        <v>80</v>
      </c>
      <c r="F176" t="s">
        <v>129</v>
      </c>
    </row>
    <row r="177" spans="2:6" x14ac:dyDescent="0.4">
      <c r="B177" s="1" t="s">
        <v>9</v>
      </c>
      <c r="C177" s="9" t="s">
        <v>7</v>
      </c>
      <c r="D177" s="9">
        <f t="shared" si="2"/>
        <v>2019</v>
      </c>
      <c r="E177" t="s">
        <v>81</v>
      </c>
      <c r="F177" t="s">
        <v>129</v>
      </c>
    </row>
    <row r="178" spans="2:6" x14ac:dyDescent="0.4">
      <c r="B178" s="2">
        <v>126052967</v>
      </c>
      <c r="C178" s="9" t="s">
        <v>7</v>
      </c>
      <c r="D178" s="9">
        <f t="shared" si="2"/>
        <v>2019</v>
      </c>
      <c r="E178" t="s">
        <v>82</v>
      </c>
      <c r="F178" t="s">
        <v>123</v>
      </c>
    </row>
    <row r="179" spans="2:6" x14ac:dyDescent="0.4">
      <c r="B179" s="2">
        <v>570391767</v>
      </c>
      <c r="C179" s="9" t="s">
        <v>7</v>
      </c>
      <c r="D179" s="9">
        <f t="shared" si="2"/>
        <v>2019</v>
      </c>
      <c r="E179" t="s">
        <v>83</v>
      </c>
      <c r="F179" t="s">
        <v>123</v>
      </c>
    </row>
    <row r="180" spans="2:6" x14ac:dyDescent="0.4">
      <c r="B180" s="2">
        <v>182355913</v>
      </c>
      <c r="C180" s="9" t="s">
        <v>7</v>
      </c>
      <c r="D180" s="9">
        <f t="shared" si="2"/>
        <v>2019</v>
      </c>
      <c r="E180" t="s">
        <v>84</v>
      </c>
      <c r="F180" t="s">
        <v>123</v>
      </c>
    </row>
    <row r="181" spans="2:6" x14ac:dyDescent="0.4">
      <c r="B181" s="2">
        <v>9866471</v>
      </c>
      <c r="C181" s="9" t="s">
        <v>7</v>
      </c>
      <c r="D181" s="9">
        <f t="shared" si="2"/>
        <v>2019</v>
      </c>
      <c r="E181" t="s">
        <v>85</v>
      </c>
      <c r="F181" t="s">
        <v>123</v>
      </c>
    </row>
    <row r="182" spans="2:6" x14ac:dyDescent="0.4">
      <c r="B182" s="2">
        <v>2244615186</v>
      </c>
      <c r="C182" s="9" t="s">
        <v>7</v>
      </c>
      <c r="D182" s="9">
        <f t="shared" si="2"/>
        <v>2019</v>
      </c>
      <c r="E182" t="s">
        <v>86</v>
      </c>
      <c r="F182" t="s">
        <v>123</v>
      </c>
    </row>
    <row r="183" spans="2:6" x14ac:dyDescent="0.4">
      <c r="B183" s="2">
        <v>666401724</v>
      </c>
      <c r="C183" s="9" t="s">
        <v>7</v>
      </c>
      <c r="D183" s="9">
        <f t="shared" si="2"/>
        <v>2019</v>
      </c>
      <c r="E183" t="s">
        <v>87</v>
      </c>
      <c r="F183" t="s">
        <v>123</v>
      </c>
    </row>
    <row r="184" spans="2:6" x14ac:dyDescent="0.4">
      <c r="B184" s="2">
        <v>340722590</v>
      </c>
      <c r="C184" s="9" t="s">
        <v>7</v>
      </c>
      <c r="D184" s="9">
        <f t="shared" si="2"/>
        <v>2019</v>
      </c>
      <c r="E184" t="s">
        <v>88</v>
      </c>
      <c r="F184" t="s">
        <v>123</v>
      </c>
    </row>
    <row r="185" spans="2:6" x14ac:dyDescent="0.4">
      <c r="B185" s="2">
        <v>5004329</v>
      </c>
      <c r="C185" s="9" t="s">
        <v>7</v>
      </c>
      <c r="D185" s="9">
        <f t="shared" si="2"/>
        <v>2019</v>
      </c>
      <c r="E185" t="s">
        <v>89</v>
      </c>
      <c r="F185" t="s">
        <v>131</v>
      </c>
    </row>
    <row r="186" spans="2:6" x14ac:dyDescent="0.4">
      <c r="B186" s="2">
        <v>3759616462</v>
      </c>
      <c r="C186" s="9" t="s">
        <v>7</v>
      </c>
      <c r="D186" s="9">
        <f t="shared" si="2"/>
        <v>2019</v>
      </c>
      <c r="E186" t="s">
        <v>90</v>
      </c>
      <c r="F186" t="s">
        <v>125</v>
      </c>
    </row>
    <row r="187" spans="2:6" x14ac:dyDescent="0.4">
      <c r="B187" s="2">
        <v>1373323356</v>
      </c>
      <c r="C187" s="9" t="s">
        <v>7</v>
      </c>
      <c r="D187" s="9">
        <f t="shared" si="2"/>
        <v>2019</v>
      </c>
      <c r="E187" t="s">
        <v>91</v>
      </c>
      <c r="F187" t="s">
        <v>125</v>
      </c>
    </row>
    <row r="188" spans="2:6" x14ac:dyDescent="0.4">
      <c r="B188" s="2">
        <v>433163198</v>
      </c>
      <c r="C188" s="9" t="s">
        <v>7</v>
      </c>
      <c r="D188" s="9">
        <f t="shared" si="2"/>
        <v>2019</v>
      </c>
      <c r="E188" t="s">
        <v>92</v>
      </c>
      <c r="F188" t="s">
        <v>125</v>
      </c>
    </row>
    <row r="189" spans="2:6" x14ac:dyDescent="0.4">
      <c r="B189" s="2">
        <v>756359789</v>
      </c>
      <c r="C189" s="9" t="s">
        <v>7</v>
      </c>
      <c r="D189" s="9">
        <f t="shared" si="2"/>
        <v>2019</v>
      </c>
      <c r="E189" t="s">
        <v>93</v>
      </c>
      <c r="F189" t="s">
        <v>125</v>
      </c>
    </row>
    <row r="190" spans="2:6" x14ac:dyDescent="0.4">
      <c r="B190" s="2">
        <v>581134</v>
      </c>
      <c r="C190" s="9" t="s">
        <v>7</v>
      </c>
      <c r="D190" s="9">
        <f t="shared" si="2"/>
        <v>2019</v>
      </c>
      <c r="E190" t="s">
        <v>94</v>
      </c>
      <c r="F190" t="s">
        <v>125</v>
      </c>
    </row>
    <row r="191" spans="2:6" x14ac:dyDescent="0.4">
      <c r="B191" s="1" t="s">
        <v>9</v>
      </c>
      <c r="C191" s="9" t="s">
        <v>7</v>
      </c>
      <c r="D191" s="9">
        <f t="shared" si="2"/>
        <v>2019</v>
      </c>
      <c r="E191" t="s">
        <v>95</v>
      </c>
      <c r="F191" t="s">
        <v>125</v>
      </c>
    </row>
    <row r="192" spans="2:6" x14ac:dyDescent="0.4">
      <c r="B192" s="1"/>
      <c r="C192" s="9" t="s">
        <v>7</v>
      </c>
      <c r="D192" s="9">
        <f t="shared" si="2"/>
        <v>2019</v>
      </c>
      <c r="E192" t="s">
        <v>96</v>
      </c>
      <c r="F192" t="s">
        <v>125</v>
      </c>
    </row>
    <row r="193" spans="2:6" x14ac:dyDescent="0.4">
      <c r="B193" s="2">
        <v>430393238</v>
      </c>
      <c r="C193" s="9" t="s">
        <v>7</v>
      </c>
      <c r="D193" s="9">
        <f t="shared" si="2"/>
        <v>2019</v>
      </c>
      <c r="E193" t="s">
        <v>97</v>
      </c>
      <c r="F193" t="s">
        <v>125</v>
      </c>
    </row>
    <row r="194" spans="2:6" x14ac:dyDescent="0.4">
      <c r="B194" s="7">
        <v>1623849119</v>
      </c>
      <c r="C194" s="9" t="s">
        <v>7</v>
      </c>
      <c r="D194" s="9">
        <f t="shared" si="2"/>
        <v>2019</v>
      </c>
      <c r="E194" t="s">
        <v>110</v>
      </c>
      <c r="F194" t="s">
        <v>127</v>
      </c>
    </row>
  </sheetData>
  <autoFilter ref="B6:F194" xr:uid="{3CA2A58F-0371-4892-AE24-82DB029842D6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P&amp;L</vt:lpstr>
      <vt:lpstr>BS</vt:lpstr>
      <vt:lpstr>Fixed Asset Roll Forward</vt:lpstr>
      <vt:lpstr>Financial Liabilities</vt:lpstr>
      <vt:lpstr>Equity Schedule</vt:lpstr>
      <vt:lpstr>Cash Flow</vt:lpstr>
      <vt:lpstr>Data source&gt;</vt:lpstr>
      <vt:lpstr>Data source BS</vt:lpstr>
      <vt:lpstr>Data source 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Suhyeon Park</dc:creator>
  <cp:lastModifiedBy>Suhyeon Park</cp:lastModifiedBy>
  <dcterms:created xsi:type="dcterms:W3CDTF">2024-12-04T03:02:16Z</dcterms:created>
  <dcterms:modified xsi:type="dcterms:W3CDTF">2024-12-11T09:53:35Z</dcterms:modified>
</cp:coreProperties>
</file>