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Z19" i="1" l="1"/>
  <c r="Y19" i="1"/>
  <c r="V36" i="1" l="1"/>
  <c r="C32" i="1"/>
  <c r="Y36" i="1"/>
  <c r="Z36" i="1" s="1"/>
  <c r="X25" i="1" l="1"/>
  <c r="Y25" i="1"/>
  <c r="W25" i="1"/>
  <c r="Z25" i="1" s="1"/>
  <c r="Y12" i="1"/>
  <c r="Z12" i="1" s="1"/>
  <c r="R30" i="1" l="1"/>
  <c r="S30" i="1" s="1"/>
  <c r="R32" i="1" l="1"/>
  <c r="S32" i="1"/>
  <c r="R36" i="1"/>
  <c r="S36" i="1" s="1"/>
  <c r="Q25" i="1"/>
  <c r="Q26" i="1" s="1"/>
  <c r="P25" i="1"/>
  <c r="S8" i="1"/>
  <c r="S12" i="1"/>
  <c r="R6" i="1"/>
  <c r="S6" i="1" s="1"/>
  <c r="R7" i="1"/>
  <c r="S7" i="1" s="1"/>
  <c r="R8" i="1"/>
  <c r="R9" i="1"/>
  <c r="S9" i="1" s="1"/>
  <c r="S10" i="1"/>
  <c r="R11" i="1"/>
  <c r="S11" i="1" s="1"/>
  <c r="R12" i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5" i="1"/>
  <c r="S5" i="1" s="1"/>
  <c r="R28" i="1" l="1"/>
  <c r="P28" i="1"/>
  <c r="R25" i="1"/>
  <c r="S25" i="1" s="1"/>
  <c r="K25" i="1"/>
  <c r="H28" i="1" s="1"/>
  <c r="J18" i="1"/>
  <c r="J25" i="1" s="1"/>
  <c r="H25" i="1"/>
  <c r="I2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8" i="1" l="1"/>
  <c r="L18" i="1"/>
  <c r="M18" i="1" s="1"/>
  <c r="L23" i="1" l="1"/>
  <c r="L24" i="1"/>
  <c r="M24" i="1" s="1"/>
  <c r="L22" i="1"/>
  <c r="M22" i="1" s="1"/>
  <c r="B25" i="1"/>
  <c r="C25" i="1" s="1"/>
  <c r="D25" i="1"/>
  <c r="E25" i="1"/>
  <c r="M23" i="1" l="1"/>
  <c r="L9" i="1"/>
  <c r="L11" i="1"/>
  <c r="M11" i="1" l="1"/>
  <c r="L10" i="1"/>
  <c r="M10" i="1" s="1"/>
  <c r="L21" i="1"/>
  <c r="M21" i="1" s="1"/>
  <c r="L12" i="1" l="1"/>
  <c r="M12" i="1" s="1"/>
  <c r="L13" i="1"/>
  <c r="L14" i="1"/>
  <c r="F32" i="1" l="1"/>
  <c r="G32" i="1" s="1"/>
  <c r="I5" i="1" l="1"/>
  <c r="F14" i="1"/>
  <c r="L35" i="1"/>
  <c r="F34" i="1"/>
  <c r="I35" i="1"/>
  <c r="I34" i="1"/>
  <c r="M35" i="1" l="1"/>
  <c r="F35" i="1"/>
  <c r="G35" i="1" s="1"/>
  <c r="C36" i="1" l="1"/>
  <c r="B41" i="1"/>
  <c r="B40" i="1"/>
  <c r="F36" i="1"/>
  <c r="G36" i="1" s="1"/>
  <c r="L34" i="1"/>
  <c r="M34" i="1" s="1"/>
  <c r="B42" i="1" l="1"/>
  <c r="G34" i="1"/>
  <c r="C31" i="1" l="1"/>
  <c r="F31" i="1"/>
  <c r="G31" i="1" s="1"/>
  <c r="L5" i="1"/>
  <c r="M5" i="1" s="1"/>
  <c r="L6" i="1"/>
  <c r="M6" i="1" s="1"/>
  <c r="L7" i="1"/>
  <c r="M7" i="1" s="1"/>
  <c r="L8" i="1"/>
  <c r="M8" i="1" s="1"/>
  <c r="M9" i="1"/>
  <c r="M13" i="1"/>
  <c r="M14" i="1"/>
  <c r="L16" i="1"/>
  <c r="M16" i="1" s="1"/>
  <c r="L17" i="1"/>
  <c r="M17" i="1" s="1"/>
  <c r="L19" i="1"/>
  <c r="M19" i="1" s="1"/>
  <c r="L20" i="1"/>
  <c r="M20" i="1" s="1"/>
  <c r="C5" i="1"/>
  <c r="L15" i="1"/>
  <c r="M15" i="1" s="1"/>
  <c r="F8" i="1"/>
  <c r="G8" i="1" s="1"/>
  <c r="F30" i="1"/>
  <c r="G30" i="1" s="1"/>
  <c r="C30" i="1"/>
  <c r="C6" i="1"/>
  <c r="C7" i="1"/>
  <c r="C8" i="1"/>
  <c r="C9" i="1"/>
  <c r="C12" i="1"/>
  <c r="C13" i="1"/>
  <c r="C14" i="1"/>
  <c r="C15" i="1"/>
  <c r="C16" i="1"/>
  <c r="C17" i="1"/>
  <c r="C19" i="1"/>
  <c r="C20" i="1"/>
  <c r="F12" i="1"/>
  <c r="G12" i="1" s="1"/>
  <c r="F13" i="1"/>
  <c r="G13" i="1" s="1"/>
  <c r="G14" i="1"/>
  <c r="F15" i="1"/>
  <c r="G15" i="1" s="1"/>
  <c r="F16" i="1"/>
  <c r="G16" i="1" s="1"/>
  <c r="F17" i="1"/>
  <c r="G17" i="1" s="1"/>
  <c r="L25" i="1" l="1"/>
  <c r="M25" i="1" s="1"/>
  <c r="F9" i="1"/>
  <c r="G9" i="1" s="1"/>
  <c r="F5" i="1"/>
  <c r="F6" i="1"/>
  <c r="G6" i="1" s="1"/>
  <c r="F19" i="1"/>
  <c r="G19" i="1" s="1"/>
  <c r="F20" i="1"/>
  <c r="G20" i="1" s="1"/>
  <c r="F7" i="1"/>
  <c r="G7" i="1" s="1"/>
  <c r="M26" i="1" l="1"/>
  <c r="G5" i="1"/>
  <c r="F25" i="1"/>
  <c r="G25" i="1" s="1"/>
</calcChain>
</file>

<file path=xl/sharedStrings.xml><?xml version="1.0" encoding="utf-8"?>
<sst xmlns="http://schemas.openxmlformats.org/spreadsheetml/2006/main" count="75" uniqueCount="57">
  <si>
    <t xml:space="preserve">LIGNE </t>
  </si>
  <si>
    <t>LIGNE A</t>
  </si>
  <si>
    <t>LIGNE B</t>
  </si>
  <si>
    <t>LIGNE D</t>
  </si>
  <si>
    <t>LIGNE C</t>
  </si>
  <si>
    <t>TRAM COMMUNS</t>
  </si>
  <si>
    <t>TEMPS</t>
  </si>
  <si>
    <t>METRO COMMUNS</t>
  </si>
  <si>
    <t>T3</t>
  </si>
  <si>
    <t>T4</t>
  </si>
  <si>
    <t>T6</t>
  </si>
  <si>
    <t>T5</t>
  </si>
  <si>
    <t>En nombre de jour et heures</t>
  </si>
  <si>
    <t>Première passe en comparant station par station</t>
  </si>
  <si>
    <t>SUCCES (nb)</t>
  </si>
  <si>
    <t>ECHECS (nb)</t>
  </si>
  <si>
    <t>TOTAL (nb)</t>
  </si>
  <si>
    <t>% de succès</t>
  </si>
  <si>
    <t>PRÊT 2017</t>
  </si>
  <si>
    <t>TOTAL TCL HORS PRÊT</t>
  </si>
  <si>
    <t>PRÊT 2018</t>
  </si>
  <si>
    <t>Seconde passe en comparant station par station puis station par ligne</t>
  </si>
  <si>
    <t>SERBER 500000</t>
  </si>
  <si>
    <t>T2</t>
  </si>
  <si>
    <t>T1</t>
  </si>
  <si>
    <t>PRÊT TOTAL</t>
  </si>
  <si>
    <t>SERBER TOTAL</t>
  </si>
  <si>
    <t>Une case violette correspond à une approximation</t>
  </si>
  <si>
    <t>SERBER 100000</t>
  </si>
  <si>
    <t>VOIR README</t>
  </si>
  <si>
    <t>MRTRAM</t>
  </si>
  <si>
    <t>SEMALY</t>
  </si>
  <si>
    <t>RHONE EXPRESS COMMUNS</t>
  </si>
  <si>
    <t>FUNI COMMUNS + STATIONS</t>
  </si>
  <si>
    <t>METRO ABCD INTERSTATIONS</t>
  </si>
  <si>
    <t>METRO ABC,AB,A,B,C,D COMMUNS</t>
  </si>
  <si>
    <t>Lignes Fortes</t>
  </si>
  <si>
    <t>Surface</t>
  </si>
  <si>
    <t>NOMBRE DE FICHIERS TOTAUX</t>
  </si>
  <si>
    <t>Il y a 414217 fichiers</t>
  </si>
  <si>
    <t>T1 T2 T3 T4 T5 T6 COMMUNS</t>
  </si>
  <si>
    <t>LIAISONS B/D</t>
  </si>
  <si>
    <t>Temps total</t>
  </si>
  <si>
    <t xml:space="preserve">Traitement des 2 passes et passages des erreurs face à toute l'extraction </t>
  </si>
  <si>
    <t>Surface vs surface 3h43 pour 20498 succès et 42518 échecs,  après reprise des échecs sur tout hors ligne fortes :</t>
  </si>
  <si>
    <t>En comparant les échecs à tout darfeuille on passe de 14842 échecs à 11388</t>
  </si>
  <si>
    <t>Analyse Dernière semaine</t>
  </si>
  <si>
    <t>Il faut 4/5 jours pour faire la comparaison classique station sur station et ligne par ligne</t>
  </si>
  <si>
    <t>Analyse T1 à T6 + Liaison B/D</t>
  </si>
  <si>
    <t>ANALYSE 1</t>
  </si>
  <si>
    <t>ANALYSE 2</t>
  </si>
  <si>
    <t>ANALYSE 3</t>
  </si>
  <si>
    <t>ANALYSE 4</t>
  </si>
  <si>
    <t>Temps</t>
  </si>
  <si>
    <t>16h</t>
  </si>
  <si>
    <t>Analyse TRAM COMMUNS ,RE Express,Funi,Lignes Fortes</t>
  </si>
  <si>
    <t>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</si>
</sst>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h:\ mm:\ ss"/>
    <numFmt numFmtId="165" formatCode="[$-F400]h:mm:ss\ AM/PM"/>
    <numFmt numFmtId="166" formatCode="dd:\ hh:\ mm:\ ss"/>
    <numFmt numFmtId="167" formatCode="dd:hh:mm:ss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8"/>
      <color theme="3"/>
      <name val="Cambri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1" fillId="2" borderId="2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3" fillId="9" borderId="0" applyNumberFormat="0" applyBorder="0" applyAlignment="0" applyProtection="0"/>
    <xf numFmtId="0" fontId="2" fillId="10" borderId="0" applyNumberFormat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0" xfId="0" applyNumberFormat="1"/>
    <xf numFmtId="10" fontId="0" fillId="0" borderId="1" xfId="0" applyNumberFormat="1" applyBorder="1"/>
    <xf numFmtId="10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2" fillId="3" borderId="0" xfId="2" applyNumberFormat="1"/>
    <xf numFmtId="0" fontId="2" fillId="3" borderId="0" xfId="2"/>
    <xf numFmtId="0" fontId="3" fillId="4" borderId="0" xfId="3"/>
    <xf numFmtId="0" fontId="3" fillId="4" borderId="0" xfId="3" applyNumberFormat="1"/>
    <xf numFmtId="164" fontId="3" fillId="4" borderId="0" xfId="3" applyNumberFormat="1"/>
    <xf numFmtId="10" fontId="3" fillId="4" borderId="0" xfId="3" applyNumberFormat="1"/>
    <xf numFmtId="165" fontId="0" fillId="0" borderId="0" xfId="0" applyNumberFormat="1"/>
    <xf numFmtId="164" fontId="2" fillId="3" borderId="0" xfId="2" applyNumberFormat="1"/>
    <xf numFmtId="10" fontId="2" fillId="3" borderId="0" xfId="2" applyNumberFormat="1"/>
    <xf numFmtId="3" fontId="0" fillId="0" borderId="0" xfId="0" applyNumberFormat="1"/>
    <xf numFmtId="3" fontId="0" fillId="0" borderId="1" xfId="0" applyNumberFormat="1" applyBorder="1"/>
    <xf numFmtId="3" fontId="3" fillId="4" borderId="0" xfId="3" applyNumberFormat="1"/>
    <xf numFmtId="3" fontId="4" fillId="5" borderId="0" xfId="4" applyNumberFormat="1"/>
    <xf numFmtId="166" fontId="3" fillId="4" borderId="0" xfId="3" applyNumberFormat="1"/>
    <xf numFmtId="166" fontId="0" fillId="0" borderId="0" xfId="0" applyNumberFormat="1"/>
    <xf numFmtId="0" fontId="0" fillId="0" borderId="0" xfId="0" applyAlignment="1"/>
    <xf numFmtId="164" fontId="0" fillId="0" borderId="0" xfId="0" applyNumberFormat="1" applyAlignment="1">
      <alignment vertical="center"/>
    </xf>
    <xf numFmtId="0" fontId="2" fillId="6" borderId="0" xfId="6"/>
    <xf numFmtId="0" fontId="2" fillId="6" borderId="0" xfId="6" applyAlignment="1">
      <alignment horizontal="center" vertical="center" wrapText="1"/>
    </xf>
    <xf numFmtId="0" fontId="2" fillId="7" borderId="0" xfId="7"/>
    <xf numFmtId="0" fontId="2" fillId="8" borderId="0" xfId="8"/>
    <xf numFmtId="0" fontId="2" fillId="10" borderId="0" xfId="10"/>
    <xf numFmtId="0" fontId="3" fillId="9" borderId="0" xfId="9"/>
    <xf numFmtId="167" fontId="3" fillId="4" borderId="0" xfId="3" applyNumberFormat="1"/>
    <xf numFmtId="0" fontId="0" fillId="0" borderId="0" xfId="0" applyAlignment="1">
      <alignment horizontal="center" wrapText="1"/>
    </xf>
    <xf numFmtId="0" fontId="1" fillId="2" borderId="2" xfId="1" applyNumberFormat="1" applyAlignment="1">
      <alignment horizontal="center"/>
    </xf>
    <xf numFmtId="0" fontId="1" fillId="2" borderId="3" xfId="1" applyNumberFormat="1" applyBorder="1" applyAlignment="1">
      <alignment horizontal="center"/>
    </xf>
    <xf numFmtId="0" fontId="1" fillId="2" borderId="4" xfId="1" applyNumberFormat="1" applyBorder="1" applyAlignment="1">
      <alignment horizontal="center"/>
    </xf>
    <xf numFmtId="0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3" borderId="0" xfId="2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5" fillId="0" borderId="0" xfId="5" applyNumberFormat="1" applyAlignment="1">
      <alignment horizontal="center" wrapText="1"/>
    </xf>
    <xf numFmtId="0" fontId="2" fillId="6" borderId="0" xfId="6" applyAlignment="1">
      <alignment horizontal="center" vertical="center" wrapText="1"/>
    </xf>
    <xf numFmtId="0" fontId="2" fillId="3" borderId="0" xfId="2" applyAlignment="1">
      <alignment horizontal="center" wrapText="1"/>
    </xf>
    <xf numFmtId="0" fontId="2" fillId="3" borderId="0" xfId="2" applyAlignment="1">
      <alignment horizontal="center" vertical="center" wrapText="1"/>
    </xf>
  </cellXfs>
  <cellStyles count="11">
    <cellStyle name="20 % - Accent1" xfId="3" builtinId="30"/>
    <cellStyle name="40 % - Accent5" xfId="9" builtinId="47"/>
    <cellStyle name="Accent1" xfId="7" builtinId="29"/>
    <cellStyle name="Accent2" xfId="8" builtinId="33"/>
    <cellStyle name="Accent3" xfId="6" builtinId="37"/>
    <cellStyle name="Accent4" xfId="2" builtinId="41"/>
    <cellStyle name="Accent6" xfId="10" builtinId="49"/>
    <cellStyle name="Neutre" xfId="4" builtinId="28"/>
    <cellStyle name="Normal" xfId="0" builtinId="0"/>
    <cellStyle name="Titre" xfId="5" builtinId="15"/>
    <cellStyle name="Vérification" xfId="1" builtin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Z42"/>
  <sheetViews>
    <sheetView tabSelected="1" workbookViewId="0">
      <pane xSplit="1" topLeftCell="O1" activePane="topRight" state="frozen"/>
      <selection pane="topRight" activeCell="T24" sqref="T24"/>
    </sheetView>
  </sheetViews>
  <sheetFormatPr baseColWidth="10" defaultColWidth="23.42578125" defaultRowHeight="15" x14ac:dyDescent="0.25"/>
  <cols>
    <col min="1" max="1" width="32" customWidth="1"/>
    <col min="2" max="2" width="15" style="3" customWidth="1"/>
    <col min="3" max="3" width="32.28515625" style="7" customWidth="1"/>
    <col min="4" max="6" width="13" customWidth="1"/>
    <col min="7" max="7" width="13" style="5" customWidth="1"/>
    <col min="8" max="8" width="12.42578125" customWidth="1"/>
    <col min="9" max="9" width="31.7109375" style="7" customWidth="1"/>
    <col min="10" max="12" width="14.28515625" style="17" customWidth="1"/>
    <col min="13" max="13" width="14.28515625" style="5" customWidth="1"/>
    <col min="14" max="15" width="16.140625" customWidth="1"/>
    <col min="19" max="19" width="23.42578125" style="5"/>
  </cols>
  <sheetData>
    <row r="1" spans="1:26" ht="22.5" x14ac:dyDescent="0.3">
      <c r="B1" s="41" t="s">
        <v>49</v>
      </c>
      <c r="C1" s="41"/>
      <c r="D1" s="41"/>
      <c r="E1" s="41"/>
      <c r="F1" s="41"/>
      <c r="H1" s="41" t="s">
        <v>50</v>
      </c>
      <c r="I1" s="41"/>
      <c r="J1" s="41"/>
      <c r="K1" s="41"/>
      <c r="L1" s="41"/>
      <c r="N1" s="41" t="s">
        <v>51</v>
      </c>
      <c r="O1" s="41"/>
      <c r="P1" s="41"/>
      <c r="Q1" s="41"/>
      <c r="R1" s="41"/>
      <c r="T1" s="41" t="s">
        <v>52</v>
      </c>
      <c r="U1" s="41"/>
      <c r="V1" s="41"/>
      <c r="W1" s="41"/>
      <c r="X1" s="41"/>
      <c r="Y1" s="41"/>
      <c r="Z1" s="41"/>
    </row>
    <row r="2" spans="1:26" ht="38.25" customHeight="1" thickBot="1" x14ac:dyDescent="0.3">
      <c r="B2" s="3" t="s">
        <v>27</v>
      </c>
      <c r="G2" s="5">
        <v>1</v>
      </c>
      <c r="H2" s="3" t="s">
        <v>27</v>
      </c>
      <c r="I2" s="24"/>
      <c r="M2" s="5">
        <v>1</v>
      </c>
      <c r="N2" s="37" t="s">
        <v>46</v>
      </c>
      <c r="O2" s="37"/>
      <c r="S2" s="5">
        <v>1</v>
      </c>
      <c r="Z2" s="5">
        <v>1</v>
      </c>
    </row>
    <row r="3" spans="1:26" ht="16.5" thickTop="1" thickBot="1" x14ac:dyDescent="0.3">
      <c r="B3" s="33" t="s">
        <v>13</v>
      </c>
      <c r="C3" s="33"/>
      <c r="G3" s="5">
        <v>0.01</v>
      </c>
      <c r="H3" s="34" t="s">
        <v>21</v>
      </c>
      <c r="I3" s="35"/>
      <c r="J3" s="35"/>
      <c r="K3" s="35"/>
      <c r="M3" s="5">
        <v>0.01</v>
      </c>
      <c r="S3" s="5">
        <v>0.01</v>
      </c>
      <c r="Z3" s="5">
        <v>0.01</v>
      </c>
    </row>
    <row r="4" spans="1:26" ht="15.75" thickTop="1" x14ac:dyDescent="0.25">
      <c r="A4" s="1" t="s">
        <v>0</v>
      </c>
      <c r="B4" s="2" t="s">
        <v>6</v>
      </c>
      <c r="C4" s="6" t="s">
        <v>12</v>
      </c>
      <c r="D4" s="1" t="s">
        <v>14</v>
      </c>
      <c r="E4" s="1" t="s">
        <v>15</v>
      </c>
      <c r="F4" s="1" t="s">
        <v>16</v>
      </c>
      <c r="G4" s="4" t="s">
        <v>17</v>
      </c>
      <c r="H4" s="2" t="s">
        <v>6</v>
      </c>
      <c r="I4" s="6" t="s">
        <v>12</v>
      </c>
      <c r="J4" s="18" t="s">
        <v>14</v>
      </c>
      <c r="K4" s="18" t="s">
        <v>15</v>
      </c>
      <c r="L4" s="18" t="s">
        <v>16</v>
      </c>
      <c r="M4" s="4" t="s">
        <v>17</v>
      </c>
      <c r="N4" s="2" t="s">
        <v>6</v>
      </c>
      <c r="O4" s="6" t="s">
        <v>12</v>
      </c>
      <c r="P4" s="18" t="s">
        <v>14</v>
      </c>
      <c r="Q4" s="18" t="s">
        <v>15</v>
      </c>
      <c r="R4" s="18" t="s">
        <v>16</v>
      </c>
      <c r="S4" s="4" t="s">
        <v>17</v>
      </c>
      <c r="T4" s="1" t="s">
        <v>0</v>
      </c>
      <c r="U4" s="1"/>
      <c r="V4" s="1" t="s">
        <v>53</v>
      </c>
      <c r="W4" s="18" t="s">
        <v>14</v>
      </c>
      <c r="X4" s="18" t="s">
        <v>15</v>
      </c>
      <c r="Y4" s="18" t="s">
        <v>16</v>
      </c>
      <c r="Z4" s="4" t="s">
        <v>17</v>
      </c>
    </row>
    <row r="5" spans="1:26" x14ac:dyDescent="0.25">
      <c r="A5" t="s">
        <v>1</v>
      </c>
      <c r="B5" s="3">
        <v>8289</v>
      </c>
      <c r="C5" s="7">
        <f t="shared" ref="C5:C36" si="0">B5/86400</f>
        <v>9.5937499999999995E-2</v>
      </c>
      <c r="D5">
        <v>73284</v>
      </c>
      <c r="E5">
        <v>3681</v>
      </c>
      <c r="F5">
        <f t="shared" ref="F5:F20" si="1">D5+E5</f>
        <v>76965</v>
      </c>
      <c r="G5" s="5">
        <f>D5/F5</f>
        <v>0.95217306567920479</v>
      </c>
      <c r="H5">
        <v>1817</v>
      </c>
      <c r="I5" s="22">
        <f t="shared" ref="I5:I35" si="2">H5/86400</f>
        <v>2.1030092592592593E-2</v>
      </c>
      <c r="J5" s="17">
        <v>66802</v>
      </c>
      <c r="K5" s="17">
        <v>58</v>
      </c>
      <c r="L5" s="17">
        <f t="shared" ref="L5:L14" si="3">J5+K5</f>
        <v>66860</v>
      </c>
      <c r="M5" s="5">
        <f>J5/L5</f>
        <v>0.99913251570445705</v>
      </c>
      <c r="P5">
        <v>66528</v>
      </c>
      <c r="Q5">
        <v>2592</v>
      </c>
      <c r="R5" s="17">
        <f>P5+Q5</f>
        <v>69120</v>
      </c>
      <c r="S5" s="5">
        <f>P5/R5</f>
        <v>0.96250000000000002</v>
      </c>
      <c r="T5" s="27"/>
      <c r="U5" s="27"/>
    </row>
    <row r="6" spans="1:26" x14ac:dyDescent="0.25">
      <c r="A6" t="s">
        <v>2</v>
      </c>
      <c r="B6" s="3">
        <v>1794</v>
      </c>
      <c r="C6" s="7">
        <f t="shared" si="0"/>
        <v>2.0763888888888887E-2</v>
      </c>
      <c r="D6">
        <v>29810</v>
      </c>
      <c r="E6">
        <v>4649</v>
      </c>
      <c r="F6">
        <f t="shared" si="1"/>
        <v>34459</v>
      </c>
      <c r="G6" s="5">
        <f t="shared" ref="G6:G20" si="4">D6/F6</f>
        <v>0.86508604428451208</v>
      </c>
      <c r="H6">
        <v>13000</v>
      </c>
      <c r="I6" s="22">
        <f t="shared" si="2"/>
        <v>0.15046296296296297</v>
      </c>
      <c r="J6" s="17">
        <v>33166</v>
      </c>
      <c r="K6" s="20">
        <v>1293</v>
      </c>
      <c r="L6" s="17">
        <f t="shared" si="3"/>
        <v>34459</v>
      </c>
      <c r="M6" s="5">
        <f t="shared" ref="M6:M9" si="5">J6/L6</f>
        <v>0.96247714675411356</v>
      </c>
      <c r="P6">
        <v>29913</v>
      </c>
      <c r="Q6">
        <v>2015</v>
      </c>
      <c r="R6" s="17">
        <f t="shared" ref="R6:R24" si="6">P6+Q6</f>
        <v>31928</v>
      </c>
      <c r="S6" s="5">
        <f t="shared" ref="S6:S24" si="7">P6/R6</f>
        <v>0.93688925081433228</v>
      </c>
      <c r="T6" s="27"/>
      <c r="U6" s="27"/>
    </row>
    <row r="7" spans="1:26" x14ac:dyDescent="0.25">
      <c r="A7" t="s">
        <v>4</v>
      </c>
      <c r="B7" s="3">
        <v>940</v>
      </c>
      <c r="C7" s="7">
        <f t="shared" si="0"/>
        <v>1.087962962962963E-2</v>
      </c>
      <c r="D7">
        <v>8757</v>
      </c>
      <c r="E7">
        <v>179</v>
      </c>
      <c r="F7">
        <f>D7+E7</f>
        <v>8936</v>
      </c>
      <c r="G7" s="5">
        <f t="shared" si="4"/>
        <v>0.97996866606982991</v>
      </c>
      <c r="H7">
        <v>1500</v>
      </c>
      <c r="I7" s="22">
        <f t="shared" si="2"/>
        <v>1.7361111111111112E-2</v>
      </c>
      <c r="J7" s="17">
        <v>7198</v>
      </c>
      <c r="K7" s="17">
        <v>174</v>
      </c>
      <c r="L7" s="17">
        <f t="shared" si="3"/>
        <v>7372</v>
      </c>
      <c r="M7" s="5">
        <f t="shared" si="5"/>
        <v>0.97639717851329355</v>
      </c>
      <c r="P7">
        <v>6997</v>
      </c>
      <c r="Q7">
        <v>297</v>
      </c>
      <c r="R7" s="17">
        <f t="shared" si="6"/>
        <v>7294</v>
      </c>
      <c r="S7" s="5">
        <f t="shared" si="7"/>
        <v>0.95928160131615026</v>
      </c>
      <c r="T7" s="27"/>
      <c r="U7" s="27"/>
    </row>
    <row r="8" spans="1:26" x14ac:dyDescent="0.25">
      <c r="A8" t="s">
        <v>3</v>
      </c>
      <c r="B8">
        <v>4000</v>
      </c>
      <c r="C8" s="7">
        <f t="shared" si="0"/>
        <v>4.6296296296296294E-2</v>
      </c>
      <c r="D8">
        <v>32400</v>
      </c>
      <c r="E8">
        <v>2532</v>
      </c>
      <c r="F8">
        <f>D8+E8</f>
        <v>34932</v>
      </c>
      <c r="G8" s="5">
        <f t="shared" si="4"/>
        <v>0.92751631741669527</v>
      </c>
      <c r="H8">
        <v>4400</v>
      </c>
      <c r="I8" s="22">
        <f t="shared" si="2"/>
        <v>5.0925925925925923E-2</v>
      </c>
      <c r="J8" s="17">
        <v>30377</v>
      </c>
      <c r="K8" s="20">
        <v>2137</v>
      </c>
      <c r="L8" s="17">
        <f t="shared" si="3"/>
        <v>32514</v>
      </c>
      <c r="M8" s="5">
        <f t="shared" si="5"/>
        <v>0.93427446638371159</v>
      </c>
      <c r="P8">
        <v>27056</v>
      </c>
      <c r="Q8">
        <v>2606</v>
      </c>
      <c r="R8" s="17">
        <f t="shared" si="6"/>
        <v>29662</v>
      </c>
      <c r="S8" s="5">
        <f t="shared" si="7"/>
        <v>0.9121434832445553</v>
      </c>
      <c r="T8" s="27"/>
      <c r="U8" s="27"/>
    </row>
    <row r="9" spans="1:26" x14ac:dyDescent="0.25">
      <c r="A9" t="s">
        <v>7</v>
      </c>
      <c r="B9" s="3">
        <v>923</v>
      </c>
      <c r="C9" s="7">
        <f t="shared" si="0"/>
        <v>1.068287037037037E-2</v>
      </c>
      <c r="D9">
        <v>20430</v>
      </c>
      <c r="E9">
        <v>25490</v>
      </c>
      <c r="F9">
        <f t="shared" si="1"/>
        <v>45920</v>
      </c>
      <c r="G9" s="5">
        <f>D9/F9</f>
        <v>0.44490418118466901</v>
      </c>
      <c r="H9">
        <v>25298</v>
      </c>
      <c r="I9" s="22">
        <f t="shared" si="2"/>
        <v>0.29280092592592594</v>
      </c>
      <c r="J9" s="17">
        <v>24640</v>
      </c>
      <c r="K9" s="20">
        <v>21292</v>
      </c>
      <c r="L9" s="17">
        <f t="shared" si="3"/>
        <v>45932</v>
      </c>
      <c r="M9" s="5">
        <f t="shared" si="5"/>
        <v>0.53644517983105455</v>
      </c>
      <c r="P9">
        <v>20390</v>
      </c>
      <c r="Q9">
        <v>25514</v>
      </c>
      <c r="R9" s="17">
        <f t="shared" si="6"/>
        <v>45904</v>
      </c>
      <c r="S9" s="5">
        <f t="shared" si="7"/>
        <v>0.44418787033809692</v>
      </c>
      <c r="T9" s="30"/>
      <c r="U9" s="30"/>
    </row>
    <row r="10" spans="1:26" x14ac:dyDescent="0.25">
      <c r="A10" t="s">
        <v>34</v>
      </c>
      <c r="B10" s="8"/>
      <c r="C10" s="15"/>
      <c r="D10" s="9"/>
      <c r="E10" s="9"/>
      <c r="F10" s="9"/>
      <c r="G10" s="16"/>
      <c r="H10">
        <v>180</v>
      </c>
      <c r="I10" s="22">
        <f t="shared" si="2"/>
        <v>2.0833333333333333E-3</v>
      </c>
      <c r="J10" s="17">
        <v>7261</v>
      </c>
      <c r="K10" s="17">
        <v>159</v>
      </c>
      <c r="L10" s="17">
        <f t="shared" si="3"/>
        <v>7420</v>
      </c>
      <c r="M10" s="5">
        <f>J10/L10</f>
        <v>0.97857142857142854</v>
      </c>
      <c r="R10" s="17"/>
      <c r="S10" s="5" t="e">
        <f t="shared" si="7"/>
        <v>#DIV/0!</v>
      </c>
      <c r="T10" s="30"/>
      <c r="U10" s="30"/>
    </row>
    <row r="11" spans="1:26" x14ac:dyDescent="0.25">
      <c r="A11" t="s">
        <v>35</v>
      </c>
      <c r="B11" s="8"/>
      <c r="C11" s="15"/>
      <c r="D11" s="9"/>
      <c r="E11" s="9"/>
      <c r="F11" s="9"/>
      <c r="G11" s="16"/>
      <c r="H11">
        <v>2856</v>
      </c>
      <c r="I11" s="22">
        <f t="shared" si="2"/>
        <v>3.3055555555555553E-2</v>
      </c>
      <c r="J11" s="17">
        <v>39723</v>
      </c>
      <c r="K11" s="20">
        <v>4626</v>
      </c>
      <c r="L11" s="17">
        <f t="shared" si="3"/>
        <v>44349</v>
      </c>
      <c r="M11" s="5">
        <f t="shared" ref="M11:M12" si="8">J11/L11</f>
        <v>0.89569099641480077</v>
      </c>
      <c r="P11">
        <v>39312</v>
      </c>
      <c r="Q11">
        <v>4110</v>
      </c>
      <c r="R11" s="17">
        <f t="shared" si="6"/>
        <v>43422</v>
      </c>
      <c r="S11" s="5">
        <f t="shared" si="7"/>
        <v>0.90534751969047944</v>
      </c>
      <c r="T11" s="30"/>
      <c r="U11" s="30"/>
    </row>
    <row r="12" spans="1:26" x14ac:dyDescent="0.25">
      <c r="A12" t="s">
        <v>24</v>
      </c>
      <c r="B12">
        <v>500</v>
      </c>
      <c r="C12" s="7">
        <f>B12/86400</f>
        <v>5.7870370370370367E-3</v>
      </c>
      <c r="D12">
        <v>4612</v>
      </c>
      <c r="E12">
        <v>361</v>
      </c>
      <c r="F12">
        <f t="shared" si="1"/>
        <v>4973</v>
      </c>
      <c r="G12" s="5">
        <f t="shared" si="4"/>
        <v>0.92740800321737382</v>
      </c>
      <c r="H12">
        <v>260</v>
      </c>
      <c r="I12" s="22">
        <f t="shared" si="2"/>
        <v>3.0092592592592593E-3</v>
      </c>
      <c r="J12" s="17">
        <v>4675</v>
      </c>
      <c r="K12" s="17">
        <v>301</v>
      </c>
      <c r="L12" s="17">
        <f t="shared" si="3"/>
        <v>4976</v>
      </c>
      <c r="M12" s="5">
        <f t="shared" si="8"/>
        <v>0.93950964630225076</v>
      </c>
      <c r="P12">
        <v>4610</v>
      </c>
      <c r="Q12">
        <v>56</v>
      </c>
      <c r="R12" s="17">
        <f t="shared" si="6"/>
        <v>4666</v>
      </c>
      <c r="S12" s="5">
        <f t="shared" si="7"/>
        <v>0.98799828546935275</v>
      </c>
      <c r="T12" s="42" t="s">
        <v>48</v>
      </c>
      <c r="U12" s="26"/>
      <c r="V12" s="42" t="s">
        <v>54</v>
      </c>
      <c r="W12" s="42">
        <v>30682</v>
      </c>
      <c r="X12" s="42">
        <v>373</v>
      </c>
      <c r="Y12" s="42">
        <f>W12+X12</f>
        <v>31055</v>
      </c>
      <c r="Z12" s="40">
        <f>W12/Y12</f>
        <v>0.98798905168249884</v>
      </c>
    </row>
    <row r="13" spans="1:26" x14ac:dyDescent="0.25">
      <c r="A13" t="s">
        <v>23</v>
      </c>
      <c r="B13">
        <v>750</v>
      </c>
      <c r="C13" s="7">
        <f>B13/86400</f>
        <v>8.6805555555555559E-3</v>
      </c>
      <c r="D13">
        <v>7810</v>
      </c>
      <c r="E13">
        <v>242</v>
      </c>
      <c r="F13">
        <f t="shared" si="1"/>
        <v>8052</v>
      </c>
      <c r="G13" s="5">
        <f t="shared" si="4"/>
        <v>0.9699453551912568</v>
      </c>
      <c r="H13">
        <v>914</v>
      </c>
      <c r="I13" s="22">
        <f t="shared" si="2"/>
        <v>1.0578703703703703E-2</v>
      </c>
      <c r="J13" s="17">
        <v>7223</v>
      </c>
      <c r="K13" s="17">
        <v>140</v>
      </c>
      <c r="L13" s="17">
        <f t="shared" si="3"/>
        <v>7363</v>
      </c>
      <c r="M13" s="5">
        <f t="shared" ref="M13" si="9">J13/L13</f>
        <v>0.98098601113676487</v>
      </c>
      <c r="P13">
        <v>7123</v>
      </c>
      <c r="Q13">
        <v>95</v>
      </c>
      <c r="R13" s="17">
        <f t="shared" si="6"/>
        <v>7218</v>
      </c>
      <c r="S13" s="5">
        <f t="shared" si="7"/>
        <v>0.98683845940703796</v>
      </c>
      <c r="T13" s="42"/>
      <c r="U13" s="26"/>
      <c r="V13" s="42"/>
      <c r="W13" s="42"/>
      <c r="X13" s="42"/>
      <c r="Y13" s="42"/>
      <c r="Z13" s="40"/>
    </row>
    <row r="14" spans="1:26" x14ac:dyDescent="0.25">
      <c r="A14" t="s">
        <v>8</v>
      </c>
      <c r="B14" s="3">
        <v>1216</v>
      </c>
      <c r="C14" s="7">
        <f t="shared" si="0"/>
        <v>1.4074074074074074E-2</v>
      </c>
      <c r="D14">
        <v>11000</v>
      </c>
      <c r="E14">
        <v>802</v>
      </c>
      <c r="F14">
        <f t="shared" si="1"/>
        <v>11802</v>
      </c>
      <c r="G14" s="5">
        <f t="shared" si="4"/>
        <v>0.93204541603118118</v>
      </c>
      <c r="H14">
        <v>483</v>
      </c>
      <c r="I14" s="22">
        <f t="shared" si="2"/>
        <v>5.5902777777777773E-3</v>
      </c>
      <c r="J14" s="17">
        <v>10134</v>
      </c>
      <c r="K14" s="17">
        <v>674</v>
      </c>
      <c r="L14" s="17">
        <f t="shared" si="3"/>
        <v>10808</v>
      </c>
      <c r="M14" s="5">
        <f t="shared" ref="M14:M15" si="10">J14/L14</f>
        <v>0.93763878608438189</v>
      </c>
      <c r="P14">
        <v>10070</v>
      </c>
      <c r="Q14">
        <v>385</v>
      </c>
      <c r="R14" s="17">
        <f t="shared" si="6"/>
        <v>10455</v>
      </c>
      <c r="S14" s="5">
        <f t="shared" si="7"/>
        <v>0.96317551410808222</v>
      </c>
      <c r="T14" s="42"/>
      <c r="U14" s="26"/>
      <c r="V14" s="42"/>
      <c r="W14" s="42"/>
      <c r="X14" s="42"/>
      <c r="Y14" s="42"/>
      <c r="Z14" s="40"/>
    </row>
    <row r="15" spans="1:26" x14ac:dyDescent="0.25">
      <c r="A15" t="s">
        <v>9</v>
      </c>
      <c r="B15" s="3">
        <v>224</v>
      </c>
      <c r="C15" s="7">
        <f t="shared" si="0"/>
        <v>2.5925925925925925E-3</v>
      </c>
      <c r="D15">
        <v>5980</v>
      </c>
      <c r="E15">
        <v>822</v>
      </c>
      <c r="F15">
        <f t="shared" si="1"/>
        <v>6802</v>
      </c>
      <c r="G15" s="5">
        <f t="shared" si="4"/>
        <v>0.87915319023816529</v>
      </c>
      <c r="H15">
        <v>1451</v>
      </c>
      <c r="I15" s="22">
        <f t="shared" si="2"/>
        <v>1.6793981481481483E-2</v>
      </c>
      <c r="J15" s="17">
        <v>6762</v>
      </c>
      <c r="K15" s="17">
        <v>42</v>
      </c>
      <c r="L15" s="17">
        <f>J15+K15</f>
        <v>6804</v>
      </c>
      <c r="M15" s="5">
        <f t="shared" si="10"/>
        <v>0.99382716049382713</v>
      </c>
      <c r="P15">
        <v>6395</v>
      </c>
      <c r="Q15">
        <v>22</v>
      </c>
      <c r="R15" s="17">
        <f t="shared" si="6"/>
        <v>6417</v>
      </c>
      <c r="S15" s="5">
        <f t="shared" si="7"/>
        <v>0.99657160666978339</v>
      </c>
      <c r="T15" s="42"/>
      <c r="U15" s="26"/>
      <c r="V15" s="42"/>
      <c r="W15" s="42"/>
      <c r="X15" s="42"/>
      <c r="Y15" s="42"/>
      <c r="Z15" s="40"/>
    </row>
    <row r="16" spans="1:26" x14ac:dyDescent="0.25">
      <c r="A16" t="s">
        <v>11</v>
      </c>
      <c r="B16" s="3">
        <v>131</v>
      </c>
      <c r="C16" s="7">
        <f t="shared" si="0"/>
        <v>1.5162037037037036E-3</v>
      </c>
      <c r="D16">
        <v>749</v>
      </c>
      <c r="E16">
        <v>42</v>
      </c>
      <c r="F16">
        <f t="shared" si="1"/>
        <v>791</v>
      </c>
      <c r="G16" s="5">
        <f t="shared" si="4"/>
        <v>0.94690265486725667</v>
      </c>
      <c r="H16">
        <v>149</v>
      </c>
      <c r="I16" s="22">
        <f t="shared" si="2"/>
        <v>1.724537037037037E-3</v>
      </c>
      <c r="J16" s="17">
        <v>776</v>
      </c>
      <c r="K16" s="17">
        <v>3</v>
      </c>
      <c r="L16" s="17">
        <f t="shared" ref="L16:L24" si="11">J16+K16</f>
        <v>779</v>
      </c>
      <c r="M16" s="5">
        <f>J16/L16</f>
        <v>0.99614890885750962</v>
      </c>
      <c r="P16">
        <v>779</v>
      </c>
      <c r="Q16">
        <v>3</v>
      </c>
      <c r="R16" s="17">
        <f t="shared" si="6"/>
        <v>782</v>
      </c>
      <c r="S16" s="5">
        <f t="shared" si="7"/>
        <v>0.99616368286445012</v>
      </c>
      <c r="T16" s="42"/>
      <c r="U16" s="26"/>
      <c r="V16" s="42"/>
      <c r="W16" s="42"/>
      <c r="X16" s="42"/>
      <c r="Y16" s="42"/>
      <c r="Z16" s="40"/>
    </row>
    <row r="17" spans="1:26" x14ac:dyDescent="0.25">
      <c r="A17" t="s">
        <v>10</v>
      </c>
      <c r="B17" s="3">
        <v>99</v>
      </c>
      <c r="C17" s="7">
        <f t="shared" si="0"/>
        <v>1.1458333333333333E-3</v>
      </c>
      <c r="D17">
        <v>1193</v>
      </c>
      <c r="E17">
        <v>24</v>
      </c>
      <c r="F17">
        <f t="shared" si="1"/>
        <v>1217</v>
      </c>
      <c r="G17" s="5">
        <f t="shared" si="4"/>
        <v>0.98027937551355793</v>
      </c>
      <c r="I17" s="22">
        <f t="shared" si="2"/>
        <v>0</v>
      </c>
      <c r="J17" s="17">
        <v>1143</v>
      </c>
      <c r="K17" s="17">
        <v>23</v>
      </c>
      <c r="L17" s="17">
        <f t="shared" si="11"/>
        <v>1166</v>
      </c>
      <c r="M17" s="5">
        <f t="shared" ref="M17:M24" si="12">J17/L17</f>
        <v>0.98027444253859353</v>
      </c>
      <c r="P17">
        <v>1142</v>
      </c>
      <c r="Q17">
        <v>21</v>
      </c>
      <c r="R17" s="17">
        <f t="shared" si="6"/>
        <v>1163</v>
      </c>
      <c r="S17" s="5">
        <f t="shared" si="7"/>
        <v>0.98194325021496132</v>
      </c>
      <c r="T17" s="42"/>
      <c r="U17" s="26"/>
      <c r="V17" s="42"/>
      <c r="W17" s="42"/>
      <c r="X17" s="42"/>
      <c r="Y17" s="42"/>
      <c r="Z17" s="40"/>
    </row>
    <row r="18" spans="1:26" x14ac:dyDescent="0.25">
      <c r="A18" t="s">
        <v>40</v>
      </c>
      <c r="B18" s="39" t="s">
        <v>45</v>
      </c>
      <c r="C18" s="39"/>
      <c r="D18" s="39"/>
      <c r="E18" s="39"/>
      <c r="F18" s="39"/>
      <c r="G18" s="39"/>
      <c r="H18">
        <v>100666</v>
      </c>
      <c r="I18" s="22">
        <f t="shared" si="2"/>
        <v>1.1651157407407406</v>
      </c>
      <c r="J18" s="17">
        <f>42780+3456</f>
        <v>46236</v>
      </c>
      <c r="K18" s="20">
        <v>11388</v>
      </c>
      <c r="L18" s="17">
        <f t="shared" si="11"/>
        <v>57624</v>
      </c>
      <c r="M18" s="5">
        <f t="shared" si="12"/>
        <v>0.80237401082882132</v>
      </c>
      <c r="P18">
        <v>43356</v>
      </c>
      <c r="Q18">
        <v>13482</v>
      </c>
      <c r="R18" s="17">
        <f t="shared" si="6"/>
        <v>56838</v>
      </c>
      <c r="S18" s="5">
        <f t="shared" si="7"/>
        <v>0.76279953552200996</v>
      </c>
      <c r="T18" s="28"/>
      <c r="U18" s="28"/>
    </row>
    <row r="19" spans="1:26" x14ac:dyDescent="0.25">
      <c r="A19" t="s">
        <v>5</v>
      </c>
      <c r="B19" s="3">
        <v>577</v>
      </c>
      <c r="C19" s="7">
        <f t="shared" si="0"/>
        <v>6.6782407407407407E-3</v>
      </c>
      <c r="D19">
        <v>7638</v>
      </c>
      <c r="E19">
        <v>2398</v>
      </c>
      <c r="F19">
        <f t="shared" si="1"/>
        <v>10036</v>
      </c>
      <c r="G19" s="5">
        <f t="shared" si="4"/>
        <v>0.76106018333997605</v>
      </c>
      <c r="H19">
        <v>1994</v>
      </c>
      <c r="I19" s="22">
        <f t="shared" si="2"/>
        <v>2.3078703703703702E-2</v>
      </c>
      <c r="J19" s="17">
        <v>6565</v>
      </c>
      <c r="K19" s="20">
        <v>30</v>
      </c>
      <c r="L19" s="17">
        <f t="shared" si="11"/>
        <v>6595</v>
      </c>
      <c r="M19" s="5">
        <f t="shared" si="12"/>
        <v>0.99545109931766484</v>
      </c>
      <c r="P19">
        <v>6763</v>
      </c>
      <c r="Q19">
        <v>1616</v>
      </c>
      <c r="R19" s="17">
        <f t="shared" si="6"/>
        <v>8379</v>
      </c>
      <c r="S19" s="5">
        <f t="shared" si="7"/>
        <v>0.80713688984365672</v>
      </c>
      <c r="T19" s="43" t="s">
        <v>55</v>
      </c>
      <c r="U19" s="44"/>
      <c r="V19" s="44" t="s">
        <v>56</v>
      </c>
      <c r="W19" s="44">
        <v>22122</v>
      </c>
      <c r="X19" s="44">
        <v>1755</v>
      </c>
      <c r="Y19" s="44">
        <f>W19+X19</f>
        <v>23877</v>
      </c>
      <c r="Z19" s="32">
        <f>W19/Y19</f>
        <v>0.92649830380701093</v>
      </c>
    </row>
    <row r="20" spans="1:26" x14ac:dyDescent="0.25">
      <c r="A20" t="s">
        <v>32</v>
      </c>
      <c r="B20" s="3">
        <v>21</v>
      </c>
      <c r="C20" s="7">
        <f t="shared" si="0"/>
        <v>2.4305555555555555E-4</v>
      </c>
      <c r="D20">
        <v>388</v>
      </c>
      <c r="E20">
        <v>378</v>
      </c>
      <c r="F20">
        <f t="shared" si="1"/>
        <v>766</v>
      </c>
      <c r="G20" s="5">
        <f t="shared" si="4"/>
        <v>0.50652741514360311</v>
      </c>
      <c r="H20">
        <v>2821</v>
      </c>
      <c r="I20" s="22">
        <f t="shared" si="2"/>
        <v>3.2650462962962964E-2</v>
      </c>
      <c r="J20" s="17">
        <v>516</v>
      </c>
      <c r="K20" s="17">
        <v>248</v>
      </c>
      <c r="L20" s="17">
        <f t="shared" si="11"/>
        <v>764</v>
      </c>
      <c r="M20" s="5">
        <f t="shared" si="12"/>
        <v>0.67539267015706805</v>
      </c>
      <c r="P20">
        <v>303</v>
      </c>
      <c r="Q20">
        <v>377</v>
      </c>
      <c r="R20" s="17">
        <f t="shared" si="6"/>
        <v>680</v>
      </c>
      <c r="S20" s="5">
        <f t="shared" si="7"/>
        <v>0.44558823529411767</v>
      </c>
      <c r="T20" s="43"/>
      <c r="U20" s="44"/>
      <c r="V20" s="44"/>
      <c r="W20" s="44"/>
      <c r="X20" s="44"/>
      <c r="Y20" s="44"/>
      <c r="Z20" s="32"/>
    </row>
    <row r="21" spans="1:26" x14ac:dyDescent="0.25">
      <c r="A21" t="s">
        <v>33</v>
      </c>
      <c r="B21" s="8"/>
      <c r="C21" s="15"/>
      <c r="D21" s="9"/>
      <c r="E21" s="9"/>
      <c r="F21" s="9"/>
      <c r="G21" s="16"/>
      <c r="H21">
        <v>300</v>
      </c>
      <c r="I21" s="22">
        <f t="shared" si="2"/>
        <v>3.472222222222222E-3</v>
      </c>
      <c r="J21" s="17">
        <v>3054</v>
      </c>
      <c r="K21" s="17">
        <v>115</v>
      </c>
      <c r="L21" s="17">
        <f t="shared" si="11"/>
        <v>3169</v>
      </c>
      <c r="M21" s="5">
        <f t="shared" si="12"/>
        <v>0.96371094982644367</v>
      </c>
      <c r="P21">
        <v>3027</v>
      </c>
      <c r="Q21">
        <v>102</v>
      </c>
      <c r="R21" s="17">
        <f t="shared" si="6"/>
        <v>3129</v>
      </c>
      <c r="S21" s="5">
        <f t="shared" si="7"/>
        <v>0.96740172579098749</v>
      </c>
      <c r="T21" s="43"/>
      <c r="U21" s="44"/>
      <c r="V21" s="44"/>
      <c r="W21" s="44"/>
      <c r="X21" s="44"/>
      <c r="Y21" s="44"/>
      <c r="Z21" s="32"/>
    </row>
    <row r="22" spans="1:26" x14ac:dyDescent="0.25">
      <c r="A22" t="s">
        <v>36</v>
      </c>
      <c r="B22" s="8"/>
      <c r="C22" s="15"/>
      <c r="D22" s="9"/>
      <c r="E22" s="9"/>
      <c r="F22" s="9"/>
      <c r="G22" s="16"/>
      <c r="H22">
        <v>176</v>
      </c>
      <c r="I22" s="22">
        <f t="shared" si="2"/>
        <v>2.0370370370370369E-3</v>
      </c>
      <c r="J22" s="17">
        <v>11661</v>
      </c>
      <c r="K22" s="17">
        <v>22</v>
      </c>
      <c r="L22" s="17">
        <f t="shared" si="11"/>
        <v>11683</v>
      </c>
      <c r="M22" s="5">
        <f t="shared" si="12"/>
        <v>0.99811692202345292</v>
      </c>
      <c r="P22">
        <v>11661</v>
      </c>
      <c r="Q22">
        <v>22</v>
      </c>
      <c r="R22" s="17">
        <f t="shared" si="6"/>
        <v>11683</v>
      </c>
      <c r="S22" s="5">
        <f t="shared" si="7"/>
        <v>0.99811692202345292</v>
      </c>
      <c r="T22" s="43"/>
      <c r="U22" s="44"/>
      <c r="V22" s="44"/>
      <c r="W22" s="44"/>
      <c r="X22" s="44"/>
      <c r="Y22" s="44"/>
      <c r="Z22" s="32"/>
    </row>
    <row r="23" spans="1:26" x14ac:dyDescent="0.25">
      <c r="A23" t="s">
        <v>37</v>
      </c>
      <c r="B23" s="39" t="s">
        <v>44</v>
      </c>
      <c r="C23" s="39"/>
      <c r="D23" s="39"/>
      <c r="E23" s="39"/>
      <c r="F23" s="39"/>
      <c r="G23" s="39"/>
      <c r="H23">
        <v>106666</v>
      </c>
      <c r="I23" s="22">
        <f t="shared" si="2"/>
        <v>1.2345601851851853</v>
      </c>
      <c r="J23" s="17">
        <v>38256</v>
      </c>
      <c r="K23" s="20">
        <v>24660</v>
      </c>
      <c r="L23" s="17">
        <f t="shared" si="11"/>
        <v>62916</v>
      </c>
      <c r="M23" s="5">
        <f t="shared" si="12"/>
        <v>0.60804882700743845</v>
      </c>
      <c r="P23">
        <v>38110</v>
      </c>
      <c r="Q23">
        <v>24195</v>
      </c>
      <c r="R23" s="17">
        <f t="shared" si="6"/>
        <v>62305</v>
      </c>
      <c r="S23" s="5">
        <f t="shared" si="7"/>
        <v>0.61166840542492573</v>
      </c>
      <c r="T23" s="29"/>
      <c r="U23" s="29"/>
    </row>
    <row r="24" spans="1:26" x14ac:dyDescent="0.25">
      <c r="A24" t="s">
        <v>41</v>
      </c>
      <c r="B24" s="8"/>
      <c r="C24" s="15"/>
      <c r="D24" s="9"/>
      <c r="E24" s="9"/>
      <c r="F24" s="9"/>
      <c r="G24" s="16"/>
      <c r="H24">
        <v>114</v>
      </c>
      <c r="I24" s="22">
        <f t="shared" si="2"/>
        <v>1.3194444444444445E-3</v>
      </c>
      <c r="J24" s="17">
        <v>354</v>
      </c>
      <c r="K24" s="17">
        <v>15</v>
      </c>
      <c r="L24" s="17">
        <f t="shared" si="11"/>
        <v>369</v>
      </c>
      <c r="M24" s="5">
        <f t="shared" si="12"/>
        <v>0.95934959349593496</v>
      </c>
      <c r="P24">
        <v>338</v>
      </c>
      <c r="Q24">
        <v>32</v>
      </c>
      <c r="R24" s="17">
        <f t="shared" si="6"/>
        <v>370</v>
      </c>
      <c r="S24" s="5">
        <f t="shared" si="7"/>
        <v>0.91351351351351351</v>
      </c>
      <c r="T24" s="25"/>
      <c r="U24" s="25"/>
      <c r="V24" s="25"/>
      <c r="W24" s="25"/>
      <c r="X24" s="25"/>
      <c r="Y24" s="25"/>
    </row>
    <row r="25" spans="1:26" s="10" customFormat="1" x14ac:dyDescent="0.25">
      <c r="A25" s="10" t="s">
        <v>19</v>
      </c>
      <c r="B25" s="11">
        <f>SUM(B5:B20)</f>
        <v>19464</v>
      </c>
      <c r="C25" s="12">
        <f t="shared" si="0"/>
        <v>0.22527777777777777</v>
      </c>
      <c r="D25" s="11">
        <f>SUM(D5:D20)</f>
        <v>204051</v>
      </c>
      <c r="E25" s="11">
        <f>SUM(E5:E20)</f>
        <v>41600</v>
      </c>
      <c r="F25" s="11">
        <f>SUM(F5:F20)</f>
        <v>245651</v>
      </c>
      <c r="G25" s="13">
        <f>D25/F25</f>
        <v>0.83065405799284353</v>
      </c>
      <c r="H25" s="11">
        <f>SUM(H5:H24)</f>
        <v>265045</v>
      </c>
      <c r="I25" s="21">
        <f t="shared" si="2"/>
        <v>3.0676504629629631</v>
      </c>
      <c r="J25" s="19">
        <f>SUM(J5:J24)</f>
        <v>346522</v>
      </c>
      <c r="K25" s="19">
        <f>SUM(K5:K24)</f>
        <v>67400</v>
      </c>
      <c r="L25" s="19">
        <f>SUM(L5:L24)</f>
        <v>413922</v>
      </c>
      <c r="M25" s="13">
        <f>J25/L25</f>
        <v>0.83716738902498533</v>
      </c>
      <c r="P25" s="19">
        <f>SUM(P5:P24)</f>
        <v>323873</v>
      </c>
      <c r="Q25" s="19">
        <f>SUM(Q5:Q24)</f>
        <v>77542</v>
      </c>
      <c r="R25" s="19">
        <f>SUM(R5:R24)</f>
        <v>401415</v>
      </c>
      <c r="S25" s="13">
        <f>P25/R25</f>
        <v>0.80682834473051579</v>
      </c>
      <c r="W25" s="10">
        <f>SUM(W5:W23)</f>
        <v>52804</v>
      </c>
      <c r="X25" s="10">
        <f t="shared" ref="X25:Y25" si="13">SUM(X5:X23)</f>
        <v>2128</v>
      </c>
      <c r="Y25" s="10">
        <f t="shared" si="13"/>
        <v>54932</v>
      </c>
      <c r="Z25" s="10">
        <f>W25/Y25</f>
        <v>0.96126119566008883</v>
      </c>
    </row>
    <row r="26" spans="1:26" ht="15" customHeight="1" x14ac:dyDescent="0.25">
      <c r="A26" t="s">
        <v>38</v>
      </c>
      <c r="B26" s="36" t="s">
        <v>39</v>
      </c>
      <c r="C26" s="36"/>
      <c r="D26" s="36"/>
      <c r="E26" s="36"/>
      <c r="F26" s="36"/>
      <c r="G26" s="36"/>
      <c r="H26" s="17"/>
      <c r="I26" s="37"/>
      <c r="J26" s="37"/>
      <c r="K26" s="37"/>
      <c r="M26" s="5">
        <f>1-L26/414217</f>
        <v>1</v>
      </c>
      <c r="Q26">
        <f>(Q25*5)/3600</f>
        <v>107.69722222222222</v>
      </c>
      <c r="R26" s="17">
        <v>414217</v>
      </c>
    </row>
    <row r="27" spans="1:26" x14ac:dyDescent="0.25">
      <c r="F27" s="3"/>
      <c r="I27"/>
      <c r="U27" s="17"/>
    </row>
    <row r="28" spans="1:26" ht="49.5" customHeight="1" x14ac:dyDescent="0.25">
      <c r="A28" t="s">
        <v>42</v>
      </c>
      <c r="C28" s="38" t="s">
        <v>43</v>
      </c>
      <c r="D28" s="38"/>
      <c r="E28" s="38"/>
      <c r="F28" s="38"/>
      <c r="G28" s="38"/>
      <c r="H28" s="17">
        <f>K25*5</f>
        <v>337000</v>
      </c>
      <c r="I28" s="22">
        <f>(H28/86400)+I25</f>
        <v>6.9681134259259263</v>
      </c>
      <c r="K28" s="7"/>
      <c r="N28" s="32" t="s">
        <v>47</v>
      </c>
      <c r="O28" s="32"/>
      <c r="P28" s="32" t="str">
        <f>CONCATENATE("Il faut ",Q26," heures de plus pour faire la comparaison des erreurs sur darfeuille")</f>
        <v>Il faut 107,697222222222 heures de plus pour faire la comparaison des erreurs sur darfeuille</v>
      </c>
      <c r="Q28" s="32"/>
      <c r="R28" s="23" t="str">
        <f>CONCATENATE("Soit minimum ",((Q26/24)+4)," jours")</f>
        <v>Soit minimum 8,48738425925926 jours</v>
      </c>
    </row>
    <row r="29" spans="1:26" x14ac:dyDescent="0.25">
      <c r="F29" s="3"/>
      <c r="I29"/>
      <c r="S29"/>
    </row>
    <row r="30" spans="1:26" x14ac:dyDescent="0.25">
      <c r="A30" t="s">
        <v>18</v>
      </c>
      <c r="B30" s="3">
        <v>877</v>
      </c>
      <c r="C30" s="7">
        <f t="shared" si="0"/>
        <v>1.0150462962962964E-2</v>
      </c>
      <c r="D30">
        <v>19116</v>
      </c>
      <c r="E30">
        <v>554</v>
      </c>
      <c r="F30" s="3">
        <f>D30+E30</f>
        <v>19670</v>
      </c>
      <c r="G30" s="5">
        <f t="shared" ref="G30:G35" si="14">D30/F30</f>
        <v>0.9718352821555668</v>
      </c>
      <c r="I30"/>
      <c r="P30">
        <v>7232</v>
      </c>
      <c r="Q30">
        <v>378</v>
      </c>
      <c r="R30">
        <f>P30+Q30</f>
        <v>7610</v>
      </c>
      <c r="S30" s="13">
        <f t="shared" ref="S30" si="15">P30/R30</f>
        <v>0.95032851511169514</v>
      </c>
    </row>
    <row r="31" spans="1:26" x14ac:dyDescent="0.25">
      <c r="A31" t="s">
        <v>20</v>
      </c>
      <c r="B31" s="3">
        <v>995</v>
      </c>
      <c r="C31" s="7">
        <f t="shared" si="0"/>
        <v>1.1516203703703704E-2</v>
      </c>
      <c r="D31">
        <v>10311</v>
      </c>
      <c r="E31">
        <v>3564</v>
      </c>
      <c r="F31" s="3">
        <f>D31+E31</f>
        <v>13875</v>
      </c>
      <c r="G31" s="5">
        <f t="shared" si="14"/>
        <v>0.74313513513513518</v>
      </c>
      <c r="I31"/>
      <c r="S31"/>
    </row>
    <row r="32" spans="1:26" s="10" customFormat="1" x14ac:dyDescent="0.25">
      <c r="A32" s="10" t="s">
        <v>25</v>
      </c>
      <c r="B32" s="11">
        <v>25678</v>
      </c>
      <c r="C32" s="12">
        <f>B32/86400</f>
        <v>0.29719907407407409</v>
      </c>
      <c r="D32" s="10">
        <v>86365</v>
      </c>
      <c r="E32" s="10">
        <v>10791</v>
      </c>
      <c r="F32" s="3">
        <f>D32+E32</f>
        <v>97156</v>
      </c>
      <c r="G32" s="5">
        <f t="shared" si="14"/>
        <v>0.88893120342541887</v>
      </c>
      <c r="I32" s="12"/>
      <c r="J32" s="19"/>
      <c r="K32" s="19"/>
      <c r="L32" s="19"/>
      <c r="P32" s="10">
        <v>68040</v>
      </c>
      <c r="Q32" s="10">
        <v>10562</v>
      </c>
      <c r="R32" s="10">
        <f>P32+Q32</f>
        <v>78602</v>
      </c>
      <c r="S32" s="13">
        <f>P32/R32</f>
        <v>0.86562682883387188</v>
      </c>
    </row>
    <row r="33" spans="1:26" x14ac:dyDescent="0.25">
      <c r="F33" s="3"/>
      <c r="I33"/>
    </row>
    <row r="34" spans="1:26" x14ac:dyDescent="0.25">
      <c r="A34" t="s">
        <v>22</v>
      </c>
      <c r="B34" s="3">
        <v>41</v>
      </c>
      <c r="D34">
        <v>420</v>
      </c>
      <c r="E34">
        <v>39</v>
      </c>
      <c r="F34" s="3">
        <f t="shared" ref="F34" si="16">D34+E34</f>
        <v>459</v>
      </c>
      <c r="G34" s="5">
        <f t="shared" si="14"/>
        <v>0.91503267973856206</v>
      </c>
      <c r="H34">
        <v>93</v>
      </c>
      <c r="I34" s="14">
        <f t="shared" si="2"/>
        <v>1.0763888888888889E-3</v>
      </c>
      <c r="J34" s="17">
        <v>453</v>
      </c>
      <c r="K34" s="17">
        <v>5</v>
      </c>
      <c r="L34" s="17">
        <f t="shared" ref="L34:L35" si="17">J34+K34</f>
        <v>458</v>
      </c>
      <c r="M34" s="5">
        <f t="shared" ref="M34:M35" si="18">J34/L34</f>
        <v>0.98908296943231444</v>
      </c>
    </row>
    <row r="35" spans="1:26" x14ac:dyDescent="0.25">
      <c r="A35" t="s">
        <v>28</v>
      </c>
      <c r="B35" s="3" t="s">
        <v>29</v>
      </c>
      <c r="D35">
        <v>3748</v>
      </c>
      <c r="E35">
        <v>419</v>
      </c>
      <c r="F35" s="3">
        <f t="shared" ref="F35" si="19">D35+E35</f>
        <v>4167</v>
      </c>
      <c r="G35" s="5">
        <f t="shared" si="14"/>
        <v>0.89944804415646751</v>
      </c>
      <c r="H35">
        <v>855</v>
      </c>
      <c r="I35" s="14">
        <f t="shared" si="2"/>
        <v>9.8958333333333329E-3</v>
      </c>
      <c r="J35" s="17">
        <v>4329</v>
      </c>
      <c r="K35" s="17">
        <v>38</v>
      </c>
      <c r="L35" s="17">
        <f t="shared" si="17"/>
        <v>4367</v>
      </c>
      <c r="M35" s="5">
        <f t="shared" si="18"/>
        <v>0.99129837416991073</v>
      </c>
    </row>
    <row r="36" spans="1:26" s="10" customFormat="1" x14ac:dyDescent="0.25">
      <c r="A36" s="10" t="s">
        <v>26</v>
      </c>
      <c r="B36" s="11">
        <v>71386</v>
      </c>
      <c r="C36" s="12">
        <f t="shared" si="0"/>
        <v>0.82622685185185185</v>
      </c>
      <c r="D36" s="10">
        <v>23533</v>
      </c>
      <c r="E36" s="10">
        <v>1209</v>
      </c>
      <c r="F36" s="10">
        <f>D36+E36</f>
        <v>24742</v>
      </c>
      <c r="G36" s="13">
        <f>D36/F36</f>
        <v>0.9511357206369736</v>
      </c>
      <c r="H36" s="12"/>
      <c r="I36" s="12"/>
      <c r="J36" s="19"/>
      <c r="K36" s="19"/>
      <c r="L36" s="19"/>
      <c r="M36" s="13"/>
      <c r="P36" s="10">
        <v>23383</v>
      </c>
      <c r="Q36" s="10">
        <v>1245</v>
      </c>
      <c r="R36" s="10">
        <f>P36+Q36</f>
        <v>24628</v>
      </c>
      <c r="S36" s="13">
        <f>P36/R36</f>
        <v>0.9494477830112068</v>
      </c>
      <c r="U36" s="10">
        <v>15493</v>
      </c>
      <c r="V36" s="31">
        <f>U36/86400</f>
        <v>0.17931712962962962</v>
      </c>
      <c r="W36" s="10">
        <v>23383</v>
      </c>
      <c r="X36" s="10">
        <v>1245</v>
      </c>
      <c r="Y36" s="10">
        <f>W36+X36</f>
        <v>24628</v>
      </c>
      <c r="Z36" s="13">
        <f>W36/Y36</f>
        <v>0.9494477830112068</v>
      </c>
    </row>
    <row r="37" spans="1:26" x14ac:dyDescent="0.25">
      <c r="B37"/>
      <c r="C37"/>
      <c r="G37"/>
      <c r="I37"/>
      <c r="M37"/>
    </row>
    <row r="38" spans="1:26" x14ac:dyDescent="0.25">
      <c r="A38" t="s">
        <v>30</v>
      </c>
    </row>
    <row r="39" spans="1:26" x14ac:dyDescent="0.25">
      <c r="A39" t="s">
        <v>31</v>
      </c>
    </row>
    <row r="40" spans="1:26" x14ac:dyDescent="0.25">
      <c r="B40" s="3">
        <f>9300*30000</f>
        <v>279000000</v>
      </c>
    </row>
    <row r="41" spans="1:26" x14ac:dyDescent="0.25">
      <c r="B41" s="3">
        <f>14000*14693</f>
        <v>205702000</v>
      </c>
    </row>
    <row r="42" spans="1:26" x14ac:dyDescent="0.25">
      <c r="B42" s="3">
        <f>B40-B41</f>
        <v>73298000</v>
      </c>
    </row>
  </sheetData>
  <mergeCells count="27">
    <mergeCell ref="Y19:Y22"/>
    <mergeCell ref="Z19:Z22"/>
    <mergeCell ref="T19:T22"/>
    <mergeCell ref="U19:U22"/>
    <mergeCell ref="V19:V22"/>
    <mergeCell ref="W19:W22"/>
    <mergeCell ref="X19:X22"/>
    <mergeCell ref="Z12:Z17"/>
    <mergeCell ref="B1:F1"/>
    <mergeCell ref="H1:L1"/>
    <mergeCell ref="N1:R1"/>
    <mergeCell ref="T1:Z1"/>
    <mergeCell ref="T12:T17"/>
    <mergeCell ref="W12:W17"/>
    <mergeCell ref="X12:X17"/>
    <mergeCell ref="Y12:Y17"/>
    <mergeCell ref="N2:O2"/>
    <mergeCell ref="V12:V17"/>
    <mergeCell ref="P28:Q28"/>
    <mergeCell ref="N28:O28"/>
    <mergeCell ref="B3:C3"/>
    <mergeCell ref="H3:K3"/>
    <mergeCell ref="B26:G26"/>
    <mergeCell ref="I26:K26"/>
    <mergeCell ref="C28:G28"/>
    <mergeCell ref="B23:G23"/>
    <mergeCell ref="B18:G18"/>
  </mergeCells>
  <conditionalFormatting sqref="G2:G17 G27 G29:G1048576 G24:G25 G19:G22">
    <cfRule type="colorScale" priority="18">
      <colorScale>
        <cfvo type="percent" val="80"/>
        <cfvo type="percent" val="90"/>
        <cfvo type="percent" val="100"/>
        <color rgb="FFF8696B"/>
        <color rgb="FFFFEB84"/>
        <color rgb="FF63BE7B"/>
      </colorScale>
    </cfRule>
  </conditionalFormatting>
  <conditionalFormatting sqref="M33:M1048576 M2:M31">
    <cfRule type="colorScale" priority="12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S4">
    <cfRule type="colorScale" priority="10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S2:S3">
    <cfRule type="colorScale" priority="9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S2:S29 S31:S1048576">
    <cfRule type="colorScale" priority="8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S30">
    <cfRule type="colorScale" priority="7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Z4">
    <cfRule type="colorScale" priority="6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Z4">
    <cfRule type="colorScale" priority="5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Z4:Z19 Z37:Z1048576 Z23:Z35">
    <cfRule type="colorScale" priority="4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Z2:Z3">
    <cfRule type="colorScale" priority="3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Z2:Z3">
    <cfRule type="colorScale" priority="2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Z36">
    <cfRule type="colorScale" priority="1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55207F9F5B314B8B9B51B8E365D485" ma:contentTypeVersion="2" ma:contentTypeDescription="Crée un document." ma:contentTypeScope="" ma:versionID="c516aae3580213d3db2e32983502eaaa">
  <xsd:schema xmlns:xsd="http://www.w3.org/2001/XMLSchema" xmlns:xs="http://www.w3.org/2001/XMLSchema" xmlns:p="http://schemas.microsoft.com/office/2006/metadata/properties" xmlns:ns2="4c1ef9b3-4174-4af3-a5b1-5f98b740a774" targetNamespace="http://schemas.microsoft.com/office/2006/metadata/properties" ma:root="true" ma:fieldsID="c89a2e4264c97434fad65ccc84a3a390" ns2:_="">
    <xsd:import namespace="4c1ef9b3-4174-4af3-a5b1-5f98b740a77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ef9b3-4174-4af3-a5b1-5f98b740a77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5D3DB7-DCDC-44A8-A58C-499D0DB858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1ef9b3-4174-4af3-a5b1-5f98b740a7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26D1D9-FB3C-467D-BC63-924F291A0D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48F9C72-C66E-46A6-BA34-52C8707B92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2022-11-17T12:22:39Z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0x0101004955207F9F5B314B8B9B51B8E365D485</vt:lpwstr>
  </property>
</Properties>
</file>