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ink/ink1.xml" ContentType="application/inkml+xml"/>
  <Override PartName="/xl/ink/ink2.xml" ContentType="application/inkml+xml"/>
  <Override PartName="/xl/ink/ink3.xml" ContentType="application/inkml+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C:\Users\JMCD-\Desktop\Tools\"/>
    </mc:Choice>
  </mc:AlternateContent>
  <xr:revisionPtr revIDLastSave="0" documentId="13_ncr:1_{EF2EC24E-9817-429E-91B6-F96192B65CBE}" xr6:coauthVersionLast="47" xr6:coauthVersionMax="47" xr10:uidLastSave="{00000000-0000-0000-0000-000000000000}"/>
  <bookViews>
    <workbookView xWindow="5625" yWindow="2385" windowWidth="20775" windowHeight="11835" xr2:uid="{00000000-000D-0000-FFFF-FFFF00000000}"/>
  </bookViews>
  <sheets>
    <sheet name="Storage Efficiency" sheetId="5" r:id="rId1"/>
    <sheet name="Transmission Efficiency" sheetId="6" r:id="rId2"/>
    <sheet name="Charts - Storage &amp; Transmission" sheetId="8"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 i="6" l="1"/>
  <c r="I9" i="5"/>
  <c r="E5" i="5"/>
  <c r="Y2" i="6"/>
  <c r="H11" i="6" l="1"/>
  <c r="F11" i="6"/>
  <c r="D11" i="6"/>
  <c r="D13" i="6"/>
  <c r="H13" i="6" s="1"/>
  <c r="I11" i="6"/>
  <c r="G11" i="6"/>
  <c r="E11" i="6"/>
  <c r="F29" i="5"/>
  <c r="F28" i="5"/>
  <c r="F8" i="5"/>
  <c r="P3" i="6"/>
  <c r="Y3" i="6"/>
  <c r="A9" i="8"/>
  <c r="A8" i="8"/>
  <c r="A11" i="8"/>
  <c r="V3" i="8" l="1"/>
  <c r="N3" i="8"/>
  <c r="F3" i="8"/>
  <c r="A10" i="8"/>
  <c r="P20" i="6" l="1"/>
  <c r="E12" i="6"/>
  <c r="E32" i="6"/>
  <c r="G32" i="6" s="1"/>
  <c r="G12" i="6" l="1"/>
  <c r="I12" i="6"/>
  <c r="I32" i="6"/>
  <c r="C28" i="8"/>
  <c r="X28" i="8"/>
  <c r="G29" i="5" l="1"/>
  <c r="E8" i="5"/>
  <c r="E28" i="5" l="1"/>
  <c r="Q23" i="8"/>
  <c r="P9" i="5"/>
  <c r="H23" i="8"/>
  <c r="F2" i="8"/>
  <c r="U2" i="8"/>
  <c r="M2" i="8"/>
  <c r="P19" i="6"/>
  <c r="P2" i="6"/>
  <c r="F10" i="6"/>
  <c r="H10" i="6"/>
  <c r="D12" i="6"/>
  <c r="H12" i="6" s="1"/>
  <c r="J12" i="6"/>
  <c r="K12" i="6"/>
  <c r="M12" i="6" s="1"/>
  <c r="B13" i="6"/>
  <c r="D32" i="6"/>
  <c r="F32" i="6" s="1"/>
  <c r="J32" i="6"/>
  <c r="N32" i="6" s="1"/>
  <c r="K32" i="6"/>
  <c r="M32" i="6" s="1"/>
  <c r="C12" i="6" l="1"/>
  <c r="B14" i="6"/>
  <c r="E14" i="6" s="1"/>
  <c r="I14" i="6" s="1"/>
  <c r="E13" i="6"/>
  <c r="I13" i="6" s="1"/>
  <c r="N12" i="6"/>
  <c r="L12" i="6"/>
  <c r="L32" i="6"/>
  <c r="J13" i="6"/>
  <c r="L13" i="6" s="1"/>
  <c r="F12" i="6"/>
  <c r="C32" i="6"/>
  <c r="J14" i="6"/>
  <c r="L14" i="6" s="1"/>
  <c r="K14" i="6"/>
  <c r="D14" i="6"/>
  <c r="H14" i="6" s="1"/>
  <c r="B15" i="6"/>
  <c r="E15" i="6" s="1"/>
  <c r="I15" i="6" s="1"/>
  <c r="O32" i="6"/>
  <c r="K13" i="6"/>
  <c r="H32" i="6"/>
  <c r="O12" i="6"/>
  <c r="G15" i="6" l="1"/>
  <c r="G13" i="6"/>
  <c r="G14" i="6"/>
  <c r="N13" i="6"/>
  <c r="O13" i="6"/>
  <c r="M13" i="6"/>
  <c r="M14" i="6"/>
  <c r="O14" i="6"/>
  <c r="N14" i="6"/>
  <c r="C14" i="6"/>
  <c r="F14" i="6"/>
  <c r="C13" i="6"/>
  <c r="F13" i="6"/>
  <c r="K15" i="6"/>
  <c r="D15" i="6"/>
  <c r="H15" i="6" s="1"/>
  <c r="B16" i="6"/>
  <c r="E16" i="6" s="1"/>
  <c r="I16" i="6" s="1"/>
  <c r="J15" i="6"/>
  <c r="L15" i="6" s="1"/>
  <c r="G27" i="5"/>
  <c r="G26" i="5"/>
  <c r="G25" i="5"/>
  <c r="G24" i="5"/>
  <c r="G23" i="5"/>
  <c r="G22" i="5"/>
  <c r="G21" i="5"/>
  <c r="G20" i="5"/>
  <c r="G19" i="5"/>
  <c r="G18" i="5"/>
  <c r="G17" i="5"/>
  <c r="G16" i="5"/>
  <c r="G15" i="5"/>
  <c r="G14" i="5"/>
  <c r="G13" i="5"/>
  <c r="G12" i="5"/>
  <c r="G11" i="5"/>
  <c r="G10" i="5"/>
  <c r="G9" i="5"/>
  <c r="G8" i="5"/>
  <c r="D28" i="5"/>
  <c r="C28" i="5" s="1"/>
  <c r="D8" i="5"/>
  <c r="C8" i="5" s="1"/>
  <c r="G16" i="6" l="1"/>
  <c r="B17" i="6"/>
  <c r="E17" i="6" s="1"/>
  <c r="I17" i="6" s="1"/>
  <c r="J16" i="6"/>
  <c r="L16" i="6" s="1"/>
  <c r="K16" i="6"/>
  <c r="D16" i="6"/>
  <c r="H16" i="6" s="1"/>
  <c r="C15" i="6"/>
  <c r="F15" i="6"/>
  <c r="N15" i="6"/>
  <c r="M15" i="6"/>
  <c r="O15" i="6"/>
  <c r="B9" i="5"/>
  <c r="F9" i="5" s="1"/>
  <c r="G17" i="6" l="1"/>
  <c r="E9" i="5"/>
  <c r="N16" i="6"/>
  <c r="B18" i="6"/>
  <c r="E18" i="6" s="1"/>
  <c r="I18" i="6" s="1"/>
  <c r="J17" i="6"/>
  <c r="L17" i="6" s="1"/>
  <c r="K17" i="6"/>
  <c r="D17" i="6"/>
  <c r="H17" i="6" s="1"/>
  <c r="F16" i="6"/>
  <c r="C16" i="6"/>
  <c r="M16" i="6"/>
  <c r="O16" i="6"/>
  <c r="D9" i="5"/>
  <c r="C9" i="5" s="1"/>
  <c r="B10" i="5"/>
  <c r="F10" i="5" s="1"/>
  <c r="G18" i="6" l="1"/>
  <c r="E10" i="5"/>
  <c r="K18" i="6"/>
  <c r="D18" i="6"/>
  <c r="H18" i="6" s="1"/>
  <c r="B19" i="6"/>
  <c r="E19" i="6" s="1"/>
  <c r="I19" i="6" s="1"/>
  <c r="J18" i="6"/>
  <c r="L18" i="6" s="1"/>
  <c r="C17" i="6"/>
  <c r="F17" i="6"/>
  <c r="O17" i="6"/>
  <c r="M17" i="6"/>
  <c r="N17" i="6"/>
  <c r="D10" i="5"/>
  <c r="C10" i="5" s="1"/>
  <c r="B11" i="5"/>
  <c r="F11" i="5" s="1"/>
  <c r="G19" i="6" l="1"/>
  <c r="E11" i="5"/>
  <c r="C18" i="6"/>
  <c r="F18" i="6"/>
  <c r="K19" i="6"/>
  <c r="D19" i="6"/>
  <c r="H19" i="6" s="1"/>
  <c r="B20" i="6"/>
  <c r="E20" i="6" s="1"/>
  <c r="I20" i="6" s="1"/>
  <c r="J19" i="6"/>
  <c r="L19" i="6" s="1"/>
  <c r="M18" i="6"/>
  <c r="O18" i="6"/>
  <c r="N18" i="6"/>
  <c r="D11" i="5"/>
  <c r="C11" i="5" s="1"/>
  <c r="B12" i="5"/>
  <c r="F12" i="5" s="1"/>
  <c r="G20" i="6" l="1"/>
  <c r="E12" i="5"/>
  <c r="N19" i="6"/>
  <c r="B21" i="6"/>
  <c r="E21" i="6" s="1"/>
  <c r="I21" i="6" s="1"/>
  <c r="J20" i="6"/>
  <c r="L20" i="6" s="1"/>
  <c r="K20" i="6"/>
  <c r="D20" i="6"/>
  <c r="H20" i="6" s="1"/>
  <c r="C19" i="6"/>
  <c r="F19" i="6"/>
  <c r="M19" i="6"/>
  <c r="O19" i="6"/>
  <c r="D12" i="5"/>
  <c r="C12" i="5" s="1"/>
  <c r="B13" i="5"/>
  <c r="F13" i="5" s="1"/>
  <c r="G21" i="6" l="1"/>
  <c r="E13" i="5"/>
  <c r="F20" i="6"/>
  <c r="C20" i="6"/>
  <c r="M20" i="6"/>
  <c r="O20" i="6"/>
  <c r="N20" i="6"/>
  <c r="B22" i="6"/>
  <c r="E22" i="6" s="1"/>
  <c r="I22" i="6" s="1"/>
  <c r="J21" i="6"/>
  <c r="L21" i="6" s="1"/>
  <c r="K21" i="6"/>
  <c r="D21" i="6"/>
  <c r="H21" i="6" s="1"/>
  <c r="D13" i="5"/>
  <c r="C13" i="5" s="1"/>
  <c r="B14" i="5"/>
  <c r="F14" i="5" s="1"/>
  <c r="G22" i="6" l="1"/>
  <c r="E14" i="5"/>
  <c r="N21" i="6"/>
  <c r="J22" i="6"/>
  <c r="L22" i="6" s="1"/>
  <c r="K22" i="6"/>
  <c r="D22" i="6"/>
  <c r="H22" i="6" s="1"/>
  <c r="B23" i="6"/>
  <c r="E23" i="6" s="1"/>
  <c r="I23" i="6" s="1"/>
  <c r="C21" i="6"/>
  <c r="F21" i="6"/>
  <c r="O21" i="6"/>
  <c r="M21" i="6"/>
  <c r="D14" i="5"/>
  <c r="B15" i="5"/>
  <c r="F15" i="5" s="1"/>
  <c r="G23" i="6" l="1"/>
  <c r="E15" i="5"/>
  <c r="C14" i="5"/>
  <c r="N22" i="6"/>
  <c r="K23" i="6"/>
  <c r="B24" i="6"/>
  <c r="E24" i="6" s="1"/>
  <c r="I24" i="6" s="1"/>
  <c r="J23" i="6"/>
  <c r="L23" i="6" s="1"/>
  <c r="D23" i="6"/>
  <c r="H23" i="6" s="1"/>
  <c r="C22" i="6"/>
  <c r="F22" i="6"/>
  <c r="M22" i="6"/>
  <c r="O22" i="6"/>
  <c r="D15" i="5"/>
  <c r="C15" i="5" s="1"/>
  <c r="B16" i="5"/>
  <c r="F16" i="5" s="1"/>
  <c r="G24" i="6" l="1"/>
  <c r="E16" i="5"/>
  <c r="C23" i="6"/>
  <c r="F23" i="6"/>
  <c r="N23" i="6"/>
  <c r="J24" i="6"/>
  <c r="L24" i="6" s="1"/>
  <c r="B25" i="6"/>
  <c r="E25" i="6" s="1"/>
  <c r="I25" i="6" s="1"/>
  <c r="K24" i="6"/>
  <c r="D24" i="6"/>
  <c r="H24" i="6" s="1"/>
  <c r="M23" i="6"/>
  <c r="O23" i="6"/>
  <c r="D16" i="5"/>
  <c r="C16" i="5" s="1"/>
  <c r="B17" i="5"/>
  <c r="F17" i="5" s="1"/>
  <c r="G25" i="6" l="1"/>
  <c r="E17" i="5"/>
  <c r="B26" i="6"/>
  <c r="E26" i="6" s="1"/>
  <c r="I26" i="6" s="1"/>
  <c r="J25" i="6"/>
  <c r="L25" i="6" s="1"/>
  <c r="K25" i="6"/>
  <c r="D25" i="6"/>
  <c r="H25" i="6" s="1"/>
  <c r="N24" i="6"/>
  <c r="F24" i="6"/>
  <c r="C24" i="6"/>
  <c r="M24" i="6"/>
  <c r="O24" i="6"/>
  <c r="D17" i="5"/>
  <c r="C17" i="5" s="1"/>
  <c r="B18" i="5"/>
  <c r="F18" i="5" s="1"/>
  <c r="G26" i="6" l="1"/>
  <c r="E18" i="5"/>
  <c r="C25" i="6"/>
  <c r="F25" i="6"/>
  <c r="O25" i="6"/>
  <c r="M25" i="6"/>
  <c r="N25" i="6"/>
  <c r="J26" i="6"/>
  <c r="L26" i="6" s="1"/>
  <c r="K26" i="6"/>
  <c r="D26" i="6"/>
  <c r="H26" i="6" s="1"/>
  <c r="B27" i="6"/>
  <c r="E27" i="6" s="1"/>
  <c r="I27" i="6" s="1"/>
  <c r="D18" i="5"/>
  <c r="C18" i="5" s="1"/>
  <c r="B19" i="5"/>
  <c r="F19" i="5" s="1"/>
  <c r="G27" i="6" l="1"/>
  <c r="E19" i="5"/>
  <c r="K27" i="6"/>
  <c r="J27" i="6"/>
  <c r="L27" i="6" s="1"/>
  <c r="D27" i="6"/>
  <c r="H27" i="6" s="1"/>
  <c r="B28" i="6"/>
  <c r="E28" i="6" s="1"/>
  <c r="I28" i="6" s="1"/>
  <c r="F26" i="6"/>
  <c r="C26" i="6"/>
  <c r="M26" i="6"/>
  <c r="O26" i="6"/>
  <c r="N26" i="6"/>
  <c r="D19" i="5"/>
  <c r="C19" i="5" s="1"/>
  <c r="B20" i="5"/>
  <c r="F20" i="5" s="1"/>
  <c r="G28" i="6" l="1"/>
  <c r="E20" i="5"/>
  <c r="B29" i="6"/>
  <c r="E29" i="6" s="1"/>
  <c r="I29" i="6" s="1"/>
  <c r="J28" i="6"/>
  <c r="L28" i="6" s="1"/>
  <c r="K28" i="6"/>
  <c r="D28" i="6"/>
  <c r="H28" i="6" s="1"/>
  <c r="C27" i="6"/>
  <c r="F27" i="6"/>
  <c r="N27" i="6"/>
  <c r="M27" i="6"/>
  <c r="O27" i="6"/>
  <c r="D20" i="5"/>
  <c r="C20" i="5" s="1"/>
  <c r="B21" i="5"/>
  <c r="F21" i="5" s="1"/>
  <c r="G29" i="6" l="1"/>
  <c r="E21" i="5"/>
  <c r="F28" i="6"/>
  <c r="C28" i="6"/>
  <c r="M28" i="6"/>
  <c r="O28" i="6"/>
  <c r="J29" i="6"/>
  <c r="L29" i="6" s="1"/>
  <c r="K29" i="6"/>
  <c r="B30" i="6"/>
  <c r="E30" i="6" s="1"/>
  <c r="I30" i="6" s="1"/>
  <c r="D29" i="6"/>
  <c r="H29" i="6" s="1"/>
  <c r="N28" i="6"/>
  <c r="D21" i="5"/>
  <c r="C21" i="5" s="1"/>
  <c r="B22" i="5"/>
  <c r="F22" i="5" s="1"/>
  <c r="G30" i="6" l="1"/>
  <c r="E22" i="5"/>
  <c r="O29" i="6"/>
  <c r="M29" i="6"/>
  <c r="N29" i="6"/>
  <c r="C29" i="6"/>
  <c r="F29" i="6"/>
  <c r="J30" i="6"/>
  <c r="L30" i="6" s="1"/>
  <c r="D30" i="6"/>
  <c r="H30" i="6" s="1"/>
  <c r="K30" i="6"/>
  <c r="B31" i="6"/>
  <c r="E31" i="6" s="1"/>
  <c r="I31" i="6" s="1"/>
  <c r="D22" i="5"/>
  <c r="C22" i="5" s="1"/>
  <c r="B23" i="5"/>
  <c r="F23" i="5" s="1"/>
  <c r="G31" i="6" l="1"/>
  <c r="E23" i="5"/>
  <c r="K31" i="6"/>
  <c r="J31" i="6"/>
  <c r="E5" i="6" s="1"/>
  <c r="D31" i="6"/>
  <c r="H31" i="6" s="1"/>
  <c r="F30" i="6"/>
  <c r="C30" i="6"/>
  <c r="N30" i="6"/>
  <c r="M30" i="6"/>
  <c r="O30" i="6"/>
  <c r="D23" i="5"/>
  <c r="C23" i="5" s="1"/>
  <c r="B24" i="5"/>
  <c r="F24" i="5" s="1"/>
  <c r="L31" i="6" l="1"/>
  <c r="E24" i="5"/>
  <c r="C31" i="6"/>
  <c r="F31" i="6"/>
  <c r="N31" i="6"/>
  <c r="M31" i="6"/>
  <c r="O31" i="6"/>
  <c r="D24" i="5"/>
  <c r="C24" i="5" s="1"/>
  <c r="B25" i="5"/>
  <c r="F25" i="5" s="1"/>
  <c r="E25" i="5" l="1"/>
  <c r="D25" i="5"/>
  <c r="B26" i="5"/>
  <c r="F26" i="5" s="1"/>
  <c r="E26" i="5" l="1"/>
  <c r="C25" i="5"/>
  <c r="D26" i="5"/>
  <c r="C26" i="5" s="1"/>
  <c r="B27" i="5"/>
  <c r="F27" i="5" s="1"/>
  <c r="E27" i="5" l="1"/>
  <c r="D27" i="5"/>
  <c r="C27"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Jim J-</author>
  </authors>
  <commentList>
    <comment ref="G4" authorId="0" shapeId="0" xr:uid="{8CEB9BD9-C5F7-47F0-9222-3FA1B47FDDC6}">
      <text>
        <r>
          <rPr>
            <i/>
            <sz val="9"/>
            <color indexed="81"/>
            <rFont val="Tahoma"/>
            <family val="2"/>
          </rPr>
          <t>Calculations are theoretical and used to illustrate the dynamics of the impact deduplication.  They are not likely to match vendor calculations because there are many factors that influence deduplication capacity planning.</t>
        </r>
        <r>
          <rPr>
            <sz val="9"/>
            <color indexed="81"/>
            <rFont val="Tahoma"/>
            <family val="2"/>
          </rPr>
          <t xml:space="preserve">
Deduplication overhead is ignored as it can be variable depending upon data type and deduplication implementation.  Data that is encrypted, compressed or constantly unique could render deduplication rate less effective.  Data that is made up very small chunks could also reduce the effectiveness of deduplication.   Some deduplication engines ignore compressed data and/or data chunks that are too small. 
Network throughputs and storage requirements are never exact so smaller units of time (minutes) and storage (GiB) are not used.  The smaller units can be determined as decimal values of hours and TiB.  TiB = 1024, not 1000 GB</t>
        </r>
        <r>
          <rPr>
            <i/>
            <sz val="9"/>
            <color indexed="81"/>
            <rFont val="Tahoma"/>
            <family val="2"/>
          </rPr>
          <t xml:space="preserve">
</t>
        </r>
        <r>
          <rPr>
            <sz val="9"/>
            <color indexed="81"/>
            <rFont val="Tahoma"/>
            <family val="2"/>
          </rPr>
          <t xml:space="preserve">
INPUT: </t>
        </r>
        <r>
          <rPr>
            <b/>
            <sz val="9"/>
            <color indexed="81"/>
            <rFont val="Tahoma"/>
            <family val="2"/>
          </rPr>
          <t>Physical Storage Target</t>
        </r>
        <r>
          <rPr>
            <sz val="9"/>
            <color indexed="81"/>
            <rFont val="Tahoma"/>
            <family val="2"/>
          </rPr>
          <t xml:space="preserve"> (TiB)
Determines the maximum logical storage that can be stored on the volume for a given deduplication rates.
INPUT: </t>
        </r>
        <r>
          <rPr>
            <b/>
            <sz val="9"/>
            <color indexed="81"/>
            <rFont val="Tahoma"/>
            <family val="2"/>
          </rPr>
          <t xml:space="preserve">Source Data </t>
        </r>
        <r>
          <rPr>
            <sz val="9"/>
            <color indexed="81"/>
            <rFont val="Tahoma"/>
            <family val="2"/>
          </rPr>
          <t xml:space="preserve">(TiB)
Calculates how much physical storage is used in a deduplicating volume for a given deduplication rates.
Not compatible with Google Sheets [spreadsheet]
</t>
        </r>
        <r>
          <rPr>
            <i/>
            <sz val="9"/>
            <color indexed="81"/>
            <rFont val="Tahoma"/>
            <family val="2"/>
          </rPr>
          <t>This work is licensed under the Creative Commons Attribution-NonCommercial-NoDerivatives 4.0 International License. 
To view a copy of this license, visit http://creativecommons.org/licenses/by-nc-nd/4.0/ or send a letter to Creative Commons, PO Box 1866, Mountain View, CA 94042, USA.</t>
        </r>
        <r>
          <rPr>
            <sz val="9"/>
            <color indexed="81"/>
            <rFont val="Tahoma"/>
            <family val="2"/>
          </rPr>
          <t xml:space="preserve">
Author : Jim J. McDonald, Sydney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 J-</author>
  </authors>
  <commentList>
    <comment ref="I4" authorId="0" shapeId="0" xr:uid="{56008D47-178E-4A5C-B41F-36D02293EF43}">
      <text>
        <r>
          <rPr>
            <i/>
            <sz val="10"/>
            <color indexed="81"/>
            <rFont val="Tahoma"/>
            <family val="2"/>
          </rPr>
          <t>Calculations are theoretical and used to illustrate the dynamics of the impact deduplication.  They are not likely to match vendor calculations because there are many factors that influence deduplication capacity planning.</t>
        </r>
        <r>
          <rPr>
            <sz val="9"/>
            <color indexed="81"/>
            <rFont val="Tahoma"/>
            <family val="2"/>
          </rPr>
          <t xml:space="preserve">
 • Some deduplication engines compress data in the individual dedupe chunks before its added to the dedupe repository. 
 • Deduplication overhead is ignored as it can be variable depending upon data type and deduplication implementation.  
 • Data that is encrypted, compressed or constantly unique could render deduplication rate less effective.  
 • Data that is made up very small chunks could reduce the effectiveness of deduplication.   
   Some deduplication engines ignore compressed data and/or data chunks that are too small. 
 • Transport layer technologies like WAN optimisation are ignored. 
Time is decimal not HH:MM
TiB = 1024 GB, not 1000 GB
</t>
        </r>
        <r>
          <rPr>
            <b/>
            <sz val="9"/>
            <color indexed="81"/>
            <rFont val="Tahoma"/>
            <family val="2"/>
          </rPr>
          <t>NOTE</t>
        </r>
        <r>
          <rPr>
            <sz val="9"/>
            <color indexed="81"/>
            <rFont val="Tahoma"/>
            <family val="2"/>
          </rPr>
          <t xml:space="preserve"> __________________________________________________________________________________________________
 •  Results are theoretical.  Data may be compressed by the deduplication engine before storage.  
 •  To obtain an output that is based only on usable bandwidth set Physical Link to the usable link bandwidth and Efficiency to 100% 
 •  Data points calculated from Physical Link and Throttle bandwidth are charted and tabled.     
 •  Data points calculated from Link Efficiency (usable) bandwidth are charted only.
 •  Link Efficiency can be used a substitute for dedupe application throttling based on percentage
_______________________________________________________________________________________________________
INPUT:</t>
        </r>
        <r>
          <rPr>
            <b/>
            <sz val="9"/>
            <color indexed="81"/>
            <rFont val="Tahoma"/>
            <family val="2"/>
          </rPr>
          <t xml:space="preserve"> Physical Link </t>
        </r>
        <r>
          <rPr>
            <sz val="9"/>
            <color indexed="81"/>
            <rFont val="Tahoma"/>
            <family val="2"/>
          </rPr>
          <t xml:space="preserve">(Gbps) 
Dependencies: None
Calculated maximum logical throughput is not adjusted for TCP/IP packet overheads.  Deduplication overhead in transmitting checksums/footprints can be variable between implementations.  The overhead and efficiency of physical IP networks needs to be considered.  Using the maximum theoretical bandwidth could be misleading. 
INPUT: </t>
        </r>
        <r>
          <rPr>
            <b/>
            <sz val="9"/>
            <color indexed="81"/>
            <rFont val="Tahoma"/>
            <family val="2"/>
          </rPr>
          <t>Link Efficiency</t>
        </r>
        <r>
          <rPr>
            <sz val="9"/>
            <color indexed="81"/>
            <rFont val="Tahoma"/>
            <family val="2"/>
          </rPr>
          <t xml:space="preserve"> (%)  Set to 100% if not relevant
Dependencies: Physical Link 
Determines usable physical link throughput. See previous NOTE 
Charted for both Physical Link and throttled bandwidth.
Charting efficiency based on throttling is included but in reality the OS (Physical) efficiency is more relevant. 
INPUT: </t>
        </r>
        <r>
          <rPr>
            <b/>
            <sz val="9"/>
            <color indexed="81"/>
            <rFont val="Tahoma"/>
            <family val="2"/>
          </rPr>
          <t>Throttle</t>
        </r>
        <r>
          <rPr>
            <sz val="9"/>
            <color indexed="81"/>
            <rFont val="Tahoma"/>
            <family val="2"/>
          </rPr>
          <t xml:space="preserve"> (Gbps)   Set to 0 if not relevant
Dependencies: Physical Link and Efficiency
Used when bandwidth can be throttled within deduplication application.  
If deuplication throttle administration is based on a percentage use Efficiency as a substitute. 
INPUT: </t>
        </r>
        <r>
          <rPr>
            <b/>
            <sz val="9"/>
            <color indexed="81"/>
            <rFont val="Tahoma"/>
            <family val="2"/>
          </rPr>
          <t>Transfer Size</t>
        </r>
        <r>
          <rPr>
            <sz val="9"/>
            <color indexed="81"/>
            <rFont val="Tahoma"/>
            <family val="2"/>
          </rPr>
          <t xml:space="preserve"> (TiB)
Dependencies : Physical Link, Efficiency and Throttle
Provides times (hours) to transfer this quantity of data for each deduplication rate at current link speed.
INPUT:  </t>
        </r>
        <r>
          <rPr>
            <b/>
            <sz val="9"/>
            <color indexed="81"/>
            <rFont val="Tahoma"/>
            <family val="2"/>
          </rPr>
          <t>Duration</t>
        </r>
        <r>
          <rPr>
            <sz val="9"/>
            <color indexed="81"/>
            <rFont val="Tahoma"/>
            <family val="2"/>
          </rPr>
          <t xml:space="preserve"> (hr) 
Dependencies : Physical Link, Efficiency and Throttle
Provides data quantities (TiB) that can be transferred in a specific time period.
</t>
        </r>
        <r>
          <rPr>
            <i/>
            <sz val="9"/>
            <color indexed="81"/>
            <rFont val="Tahoma"/>
            <family val="2"/>
          </rPr>
          <t>This work is licensed under the Creative Commons Attribution-NonCommercial-NoDerivatives 4.0 International License. 
To view a copy of this license, visit http://creativecommons.org/licenses/by-nc-nd/4.0/ or send a letter to Creative Commons, PO Box 1866, Mountain View, CA 94042, USA.</t>
        </r>
        <r>
          <rPr>
            <sz val="9"/>
            <color indexed="81"/>
            <rFont val="Tahoma"/>
            <family val="2"/>
          </rPr>
          <t xml:space="preserve">
Author : Jim J McDonald Updated 202308
</t>
        </r>
      </text>
    </comment>
  </commentList>
</comments>
</file>

<file path=xl/sharedStrings.xml><?xml version="1.0" encoding="utf-8"?>
<sst xmlns="http://schemas.openxmlformats.org/spreadsheetml/2006/main" count="45" uniqueCount="32">
  <si>
    <t>Compression Factor</t>
  </si>
  <si>
    <t>Deduplication Rate</t>
  </si>
  <si>
    <t>Savings (%)</t>
  </si>
  <si>
    <t>Notes</t>
  </si>
  <si>
    <t>*</t>
  </si>
  <si>
    <t>97.5% deduplication rate not charted
Not Charted</t>
  </si>
  <si>
    <t xml:space="preserve">Performance without any  deduplication </t>
  </si>
  <si>
    <t>97.5% deduplication rate not charted</t>
  </si>
  <si>
    <t>Max Logical Storage (TiB)</t>
  </si>
  <si>
    <t>Physical  Storage Used for  (TiB)
TiB</t>
  </si>
  <si>
    <r>
      <t xml:space="preserve">           Physical Link </t>
    </r>
    <r>
      <rPr>
        <b/>
        <sz val="10"/>
        <color rgb="FF002060"/>
        <rFont val="Calibri"/>
        <family val="2"/>
        <scheme val="minor"/>
      </rPr>
      <t xml:space="preserve">(Gbps)   </t>
    </r>
    <r>
      <rPr>
        <b/>
        <sz val="12"/>
        <color rgb="FF002060"/>
        <rFont val="Calibri"/>
        <family val="2"/>
        <scheme val="minor"/>
      </rPr>
      <t xml:space="preserve">  </t>
    </r>
  </si>
  <si>
    <r>
      <t xml:space="preserve">                 Transfer Size </t>
    </r>
    <r>
      <rPr>
        <b/>
        <sz val="10"/>
        <color theme="9" tint="-0.499984740745262"/>
        <rFont val="Calibri"/>
        <family val="2"/>
        <scheme val="minor"/>
      </rPr>
      <t xml:space="preserve">(TiB)  </t>
    </r>
  </si>
  <si>
    <r>
      <t xml:space="preserve">                   Duration </t>
    </r>
    <r>
      <rPr>
        <b/>
        <sz val="10"/>
        <color rgb="FF168433"/>
        <rFont val="Calibri"/>
        <family val="2"/>
        <scheme val="minor"/>
      </rPr>
      <t xml:space="preserve">(hr)  </t>
    </r>
  </si>
  <si>
    <r>
      <t xml:space="preserve"> Physical Storage Target </t>
    </r>
    <r>
      <rPr>
        <b/>
        <sz val="10"/>
        <color rgb="FF002060"/>
        <rFont val="Calibri"/>
        <family val="2"/>
        <scheme val="minor"/>
      </rPr>
      <t>(TiB)</t>
    </r>
  </si>
  <si>
    <r>
      <t xml:space="preserve">                    Source Data</t>
    </r>
    <r>
      <rPr>
        <b/>
        <sz val="10"/>
        <color rgb="FF7030A0"/>
        <rFont val="Calibri"/>
        <family val="2"/>
        <scheme val="minor"/>
      </rPr>
      <t xml:space="preserve"> (TiB)</t>
    </r>
  </si>
  <si>
    <t>INPUTS</t>
  </si>
  <si>
    <t xml:space="preserve">               Link Efficiency %   </t>
  </si>
  <si>
    <t>Logical Throughput  Effiicency &amp; Throttling (Gbps)</t>
  </si>
  <si>
    <t>Logical Throughput (Gbps)</t>
  </si>
  <si>
    <t>Logical Throughput  - Effifiency (Gbps)</t>
  </si>
  <si>
    <t>Transfer Size - Efficiency (hrs)</t>
  </si>
  <si>
    <t>Transfer Size - Efficiency &amp; Throttle (hrs)</t>
  </si>
  <si>
    <t xml:space="preserve">     Deduplication - Transmission</t>
  </si>
  <si>
    <t xml:space="preserve">     Dedpuplication - Storage             </t>
  </si>
  <si>
    <t xml:space="preserve">   Licensed under the Creative Commons Attribution-NonCommercial-NoDerivatives 4.0 International License - See Notes</t>
  </si>
  <si>
    <t xml:space="preserve">         Dedpuplication efficiency determines data that can be stored on deduplicated volume</t>
  </si>
  <si>
    <t xml:space="preserve">         Physical and Logical Data Transmission Rates for Deduplication</t>
  </si>
  <si>
    <t xml:space="preserve">   Physical and Logical Data Transmission Rates</t>
  </si>
  <si>
    <r>
      <t xml:space="preserve">                    Throttle  </t>
    </r>
    <r>
      <rPr>
        <b/>
        <sz val="10"/>
        <color rgb="FF002060"/>
        <rFont val="Calibri"/>
        <family val="2"/>
        <scheme val="minor"/>
      </rPr>
      <t>(Gbp)</t>
    </r>
    <r>
      <rPr>
        <b/>
        <sz val="12"/>
        <color rgb="FF002060"/>
        <rFont val="Calibri"/>
        <family val="2"/>
        <scheme val="minor"/>
      </rPr>
      <t xml:space="preserve">      </t>
    </r>
  </si>
  <si>
    <t xml:space="preserve"> Theoretical Maximum </t>
  </si>
  <si>
    <t xml:space="preserve"> Data transmission window</t>
  </si>
  <si>
    <t xml:space="preserve"> Estimate how long to transfervthis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</si>
</sst>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0.0%"/>
    <numFmt numFmtId="165" formatCode="0.0"/>
    <numFmt numFmtId="166" formatCode="#,##0.0"/>
  </numFmts>
  <fonts count="87">
    <font>
      <sz val="11"/>
      <color theme="1"/>
      <name val="Calibri"/>
      <family val="2"/>
      <scheme val="minor"/>
    </font>
    <font>
      <sz val="11"/>
      <color theme="1"/>
      <name val="Calibri"/>
      <family val="2"/>
      <scheme val="minor"/>
    </font>
    <font>
      <sz val="10"/>
      <name val="Helv"/>
      <charset val="204"/>
    </font>
    <font>
      <sz val="10"/>
      <name val="Arial"/>
      <family val="2"/>
    </font>
    <font>
      <b/>
      <sz val="16"/>
      <color theme="1"/>
      <name val="Calibri"/>
      <family val="2"/>
      <scheme val="minor"/>
    </font>
    <font>
      <b/>
      <sz val="11"/>
      <color theme="0"/>
      <name val="Calibri"/>
      <family val="2"/>
      <scheme val="minor"/>
    </font>
    <font>
      <b/>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2"/>
      <color theme="1"/>
      <name val="Calibri"/>
      <family val="2"/>
      <scheme val="minor"/>
    </font>
    <font>
      <b/>
      <sz val="14"/>
      <color theme="1"/>
      <name val="Calibri"/>
      <family val="2"/>
      <scheme val="minor"/>
    </font>
    <font>
      <i/>
      <sz val="14"/>
      <color theme="1"/>
      <name val="Calibri"/>
      <family val="2"/>
      <scheme val="minor"/>
    </font>
    <font>
      <i/>
      <sz val="11"/>
      <color theme="1"/>
      <name val="Calibri"/>
      <family val="2"/>
      <scheme val="minor"/>
    </font>
    <font>
      <i/>
      <sz val="11"/>
      <color theme="0"/>
      <name val="Calibri"/>
      <family val="2"/>
      <scheme val="minor"/>
    </font>
    <font>
      <sz val="11"/>
      <color rgb="FF7030A0"/>
      <name val="Calibri"/>
      <family val="2"/>
      <scheme val="minor"/>
    </font>
    <font>
      <b/>
      <sz val="20"/>
      <color theme="1"/>
      <name val="Calibri"/>
      <family val="2"/>
      <scheme val="minor"/>
    </font>
    <font>
      <sz val="14"/>
      <color theme="0"/>
      <name val="Calibri"/>
      <family val="2"/>
      <scheme val="minor"/>
    </font>
    <font>
      <b/>
      <i/>
      <sz val="16"/>
      <color theme="0"/>
      <name val="Calibri"/>
      <family val="2"/>
      <scheme val="minor"/>
    </font>
    <font>
      <b/>
      <i/>
      <sz val="11"/>
      <color theme="1"/>
      <name val="Calibri"/>
      <family val="2"/>
      <scheme val="minor"/>
    </font>
    <font>
      <sz val="11"/>
      <name val="Calibri"/>
      <family val="2"/>
      <scheme val="minor"/>
    </font>
    <font>
      <b/>
      <sz val="14"/>
      <name val="Calibri"/>
      <family val="2"/>
      <scheme val="minor"/>
    </font>
    <font>
      <b/>
      <sz val="12"/>
      <color rgb="FF002060"/>
      <name val="Calibri"/>
      <family val="2"/>
      <scheme val="minor"/>
    </font>
    <font>
      <sz val="9"/>
      <color indexed="81"/>
      <name val="Tahoma"/>
      <family val="2"/>
    </font>
    <font>
      <b/>
      <sz val="12"/>
      <color theme="9" tint="-0.499984740745262"/>
      <name val="Calibri"/>
      <family val="2"/>
      <scheme val="minor"/>
    </font>
    <font>
      <b/>
      <sz val="10"/>
      <color theme="1"/>
      <name val="Calibri"/>
      <family val="2"/>
      <scheme val="minor"/>
    </font>
    <font>
      <sz val="10"/>
      <color theme="1"/>
      <name val="Calibri"/>
      <family val="2"/>
      <scheme val="minor"/>
    </font>
    <font>
      <i/>
      <sz val="10"/>
      <color theme="0"/>
      <name val="Calibri"/>
      <family val="2"/>
      <scheme val="minor"/>
    </font>
    <font>
      <sz val="10"/>
      <color theme="0"/>
      <name val="Calibri"/>
      <family val="2"/>
      <scheme val="minor"/>
    </font>
    <font>
      <sz val="26"/>
      <color rgb="FFFF0000"/>
      <name val="Calibri"/>
      <family val="2"/>
      <scheme val="minor"/>
    </font>
    <font>
      <sz val="26"/>
      <color theme="1" tint="0.34998626667073579"/>
      <name val="Calibri"/>
      <family val="2"/>
      <scheme val="minor"/>
    </font>
    <font>
      <b/>
      <sz val="9"/>
      <color indexed="81"/>
      <name val="Tahoma"/>
      <family val="2"/>
    </font>
    <font>
      <i/>
      <sz val="9"/>
      <color indexed="81"/>
      <name val="Tahoma"/>
      <family val="2"/>
    </font>
    <font>
      <sz val="14"/>
      <color rgb="FF002060"/>
      <name val="Calibri"/>
      <family val="2"/>
      <scheme val="minor"/>
    </font>
    <font>
      <b/>
      <sz val="16"/>
      <name val="Calibri"/>
      <family val="2"/>
      <scheme val="minor"/>
    </font>
    <font>
      <sz val="11"/>
      <color rgb="FF8E0000"/>
      <name val="Calibri"/>
      <family val="2"/>
      <scheme val="minor"/>
    </font>
    <font>
      <b/>
      <sz val="18"/>
      <color theme="1"/>
      <name val="Calibri"/>
      <family val="2"/>
      <scheme val="minor"/>
    </font>
    <font>
      <b/>
      <sz val="12"/>
      <color rgb="FF168433"/>
      <name val="Calibri"/>
      <family val="2"/>
      <scheme val="minor"/>
    </font>
    <font>
      <sz val="16"/>
      <color theme="1"/>
      <name val="Calibri"/>
      <family val="2"/>
      <scheme val="minor"/>
    </font>
    <font>
      <b/>
      <sz val="12"/>
      <color rgb="FF7030A0"/>
      <name val="Calibri"/>
      <family val="2"/>
      <scheme val="minor"/>
    </font>
    <font>
      <b/>
      <sz val="10"/>
      <color rgb="FF002060"/>
      <name val="Calibri"/>
      <family val="2"/>
      <scheme val="minor"/>
    </font>
    <font>
      <b/>
      <sz val="10"/>
      <color theme="9" tint="-0.499984740745262"/>
      <name val="Calibri"/>
      <family val="2"/>
      <scheme val="minor"/>
    </font>
    <font>
      <b/>
      <sz val="10"/>
      <color rgb="FF168433"/>
      <name val="Calibri"/>
      <family val="2"/>
      <scheme val="minor"/>
    </font>
    <font>
      <sz val="11"/>
      <color theme="0" tint="-0.14999847407452621"/>
      <name val="Calibri"/>
      <family val="2"/>
      <scheme val="minor"/>
    </font>
    <font>
      <b/>
      <sz val="12"/>
      <color theme="1" tint="0.499984740745262"/>
      <name val="Calibri"/>
      <family val="2"/>
      <scheme val="minor"/>
    </font>
    <font>
      <i/>
      <sz val="10"/>
      <color theme="1"/>
      <name val="Calibri"/>
      <family val="2"/>
      <scheme val="minor"/>
    </font>
    <font>
      <b/>
      <sz val="10"/>
      <color rgb="FF7030A0"/>
      <name val="Calibri"/>
      <family val="2"/>
      <scheme val="minor"/>
    </font>
    <font>
      <b/>
      <sz val="11"/>
      <color theme="0" tint="-0.14999847407452621"/>
      <name val="Calibri"/>
      <family val="2"/>
      <scheme val="minor"/>
    </font>
    <font>
      <sz val="10"/>
      <color rgb="FFC00000"/>
      <name val="Calibri"/>
      <family val="2"/>
      <scheme val="minor"/>
    </font>
    <font>
      <b/>
      <sz val="12"/>
      <color theme="1" tint="0.249977111117893"/>
      <name val="Calibri"/>
      <family val="2"/>
      <scheme val="minor"/>
    </font>
    <font>
      <b/>
      <sz val="10"/>
      <color rgb="FF0070C0"/>
      <name val="Calibri"/>
      <family val="2"/>
      <scheme val="minor"/>
    </font>
    <font>
      <sz val="8"/>
      <color theme="0" tint="-0.14999847407452621"/>
      <name val="Calibri"/>
      <family val="2"/>
      <scheme val="minor"/>
    </font>
    <font>
      <sz val="14"/>
      <color theme="0" tint="-0.14999847407452621"/>
      <name val="Calibri"/>
      <family val="2"/>
      <scheme val="minor"/>
    </font>
    <font>
      <b/>
      <sz val="12"/>
      <color theme="0" tint="-0.14999847407452621"/>
      <name val="Calibri"/>
      <family val="2"/>
      <scheme val="minor"/>
    </font>
    <font>
      <i/>
      <sz val="8"/>
      <color theme="0" tint="-0.14999847407452621"/>
      <name val="Calibri"/>
      <family val="2"/>
      <scheme val="minor"/>
    </font>
    <font>
      <sz val="10"/>
      <color theme="0" tint="-0.14999847407452621"/>
      <name val="Calibri"/>
      <family val="2"/>
      <scheme val="minor"/>
    </font>
    <font>
      <sz val="12"/>
      <color theme="1"/>
      <name val="Calibri"/>
      <family val="2"/>
      <scheme val="minor"/>
    </font>
    <font>
      <b/>
      <sz val="11"/>
      <color theme="1" tint="0.249977111117893"/>
      <name val="Calibri"/>
      <family val="2"/>
      <scheme val="minor"/>
    </font>
    <font>
      <b/>
      <sz val="12"/>
      <color rgb="FFFF0000"/>
      <name val="Calibri"/>
      <family val="2"/>
      <scheme val="minor"/>
    </font>
    <font>
      <b/>
      <sz val="11"/>
      <color rgb="FFFF0000"/>
      <name val="Calibri"/>
      <family val="2"/>
      <scheme val="minor"/>
    </font>
    <font>
      <b/>
      <sz val="10"/>
      <name val="Calibri"/>
      <family val="2"/>
      <scheme val="minor"/>
    </font>
    <font>
      <b/>
      <sz val="12"/>
      <color theme="0" tint="-4.9989318521683403E-2"/>
      <name val="Calibri"/>
      <family val="2"/>
      <scheme val="minor"/>
    </font>
    <font>
      <sz val="10.5"/>
      <color rgb="FF000000"/>
      <name val="Calibri"/>
      <family val="2"/>
      <scheme val="minor"/>
    </font>
    <font>
      <sz val="10"/>
      <color rgb="FF000000"/>
      <name val="Calibri"/>
      <family val="2"/>
      <scheme val="minor"/>
    </font>
    <font>
      <sz val="8"/>
      <color theme="1"/>
      <name val="Calibri"/>
      <family val="2"/>
      <scheme val="minor"/>
    </font>
    <font>
      <b/>
      <sz val="20"/>
      <color theme="0" tint="-0.14999847407452621"/>
      <name val="Calibri"/>
      <family val="2"/>
      <scheme val="minor"/>
    </font>
    <font>
      <b/>
      <sz val="16"/>
      <color theme="0" tint="-0.14999847407452621"/>
      <name val="Calibri"/>
      <family val="2"/>
      <scheme val="minor"/>
    </font>
    <font>
      <i/>
      <sz val="9"/>
      <color theme="0" tint="-0.14999847407452621"/>
      <name val="Calibri"/>
      <family val="2"/>
      <scheme val="minor"/>
    </font>
    <font>
      <i/>
      <sz val="10"/>
      <color theme="0" tint="-0.14999847407452621"/>
      <name val="Calibri"/>
      <family val="2"/>
      <scheme val="minor"/>
    </font>
    <font>
      <sz val="16"/>
      <color theme="1" tint="0.499984740745262"/>
      <name val="Calibri"/>
      <family val="2"/>
      <scheme val="minor"/>
    </font>
    <font>
      <b/>
      <sz val="11"/>
      <color rgb="FF0055FE"/>
      <name val="Calibri"/>
      <family val="2"/>
      <scheme val="minor"/>
    </font>
    <font>
      <b/>
      <sz val="12"/>
      <color rgb="FF0055FE"/>
      <name val="Calibri"/>
      <family val="2"/>
      <scheme val="minor"/>
    </font>
    <font>
      <b/>
      <sz val="12"/>
      <name val="Calibri"/>
      <family val="2"/>
      <scheme val="minor"/>
    </font>
    <font>
      <b/>
      <sz val="10"/>
      <color rgb="FF006C31"/>
      <name val="Calibri"/>
      <family val="2"/>
      <scheme val="minor"/>
    </font>
    <font>
      <b/>
      <sz val="8"/>
      <color theme="0" tint="-0.14999847407452621"/>
      <name val="Calibri"/>
      <family val="2"/>
      <scheme val="minor"/>
    </font>
    <font>
      <i/>
      <sz val="10"/>
      <color indexed="81"/>
      <name val="Tahoma"/>
      <family val="2"/>
    </font>
  </fonts>
  <fills count="56">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9" tint="0.79998168889431442"/>
        <bgColor indexed="64"/>
      </patternFill>
    </fill>
    <fill>
      <patternFill patternType="solid">
        <fgColor rgb="FFC5F0FF"/>
        <bgColor indexed="64"/>
      </patternFill>
    </fill>
    <fill>
      <patternFill patternType="solid">
        <fgColor theme="7" tint="0.79998168889431442"/>
        <bgColor indexed="64"/>
      </patternFill>
    </fill>
    <fill>
      <patternFill patternType="solid">
        <fgColor theme="0" tint="-0.14999847407452621"/>
        <bgColor auto="1"/>
      </patternFill>
    </fill>
    <fill>
      <patternFill patternType="solid">
        <fgColor theme="0" tint="-0.249977111117893"/>
        <bgColor indexed="64"/>
      </patternFill>
    </fill>
    <fill>
      <patternFill patternType="solid">
        <fgColor rgb="FF0055FE"/>
        <bgColor auto="1"/>
      </patternFill>
    </fill>
    <fill>
      <patternFill patternType="solid">
        <fgColor theme="4" tint="-0.499984740745262"/>
        <bgColor indexed="64"/>
      </patternFill>
    </fill>
    <fill>
      <patternFill patternType="solid">
        <fgColor theme="9" tint="-0.499984740745262"/>
        <bgColor indexed="64"/>
      </patternFill>
    </fill>
    <fill>
      <patternFill patternType="solid">
        <fgColor rgb="FF00B050"/>
        <bgColor indexed="64"/>
      </patternFill>
    </fill>
    <fill>
      <patternFill patternType="solid">
        <fgColor theme="9" tint="0.59999389629810485"/>
        <bgColor indexed="64"/>
      </patternFill>
    </fill>
    <fill>
      <patternFill patternType="solid">
        <fgColor rgb="FF9BBCFF"/>
        <bgColor indexed="64"/>
      </patternFill>
    </fill>
    <fill>
      <patternFill patternType="solid">
        <fgColor rgb="FFC9DBFF"/>
        <bgColor indexed="64"/>
      </patternFill>
    </fill>
    <fill>
      <patternFill patternType="solid">
        <fgColor rgb="FFB7CFFF"/>
        <bgColor indexed="64"/>
      </patternFill>
    </fill>
    <fill>
      <patternFill patternType="solid">
        <fgColor rgb="FF75DBFF"/>
        <bgColor indexed="64"/>
      </patternFill>
    </fill>
    <fill>
      <patternFill patternType="solid">
        <fgColor rgb="FFE2CFF1"/>
        <bgColor indexed="64"/>
      </patternFill>
    </fill>
    <fill>
      <patternFill patternType="solid">
        <fgColor theme="9" tint="0.59999389629810485"/>
        <bgColor auto="1"/>
      </patternFill>
    </fill>
    <fill>
      <patternFill patternType="solid">
        <fgColor rgb="FF99FF99"/>
        <bgColor auto="1"/>
      </patternFill>
    </fill>
    <fill>
      <patternFill patternType="solid">
        <fgColor rgb="FF99FF99"/>
        <bgColor indexed="64"/>
      </patternFill>
    </fill>
    <fill>
      <patternFill patternType="solid">
        <fgColor rgb="FFCCFFCC"/>
        <bgColor indexed="64"/>
      </patternFill>
    </fill>
    <fill>
      <patternFill patternType="solid">
        <fgColor rgb="FFFFFF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style="thin">
        <color theme="1"/>
      </left>
      <right style="thin">
        <color theme="1"/>
      </right>
      <top/>
      <bottom style="thin">
        <color theme="1"/>
      </bottom>
      <diagonal/>
    </border>
    <border>
      <left style="thin">
        <color indexed="64"/>
      </left>
      <right/>
      <top/>
      <bottom style="thin">
        <color indexed="64"/>
      </bottom>
      <diagonal/>
    </border>
    <border>
      <left style="thin">
        <color indexed="64"/>
      </left>
      <right/>
      <top style="thin">
        <color indexed="64"/>
      </top>
      <bottom/>
      <diagonal/>
    </border>
    <border>
      <left style="thin">
        <color theme="1"/>
      </left>
      <right style="thin">
        <color theme="1"/>
      </right>
      <top/>
      <bottom/>
      <diagonal/>
    </border>
    <border>
      <left/>
      <right/>
      <top style="thin">
        <color indexed="64"/>
      </top>
      <bottom/>
      <diagonal/>
    </border>
    <border>
      <left style="double">
        <color theme="0" tint="-0.34998626667073579"/>
      </left>
      <right style="double">
        <color theme="0" tint="-0.34998626667073579"/>
      </right>
      <top style="double">
        <color theme="0" tint="-0.34998626667073579"/>
      </top>
      <bottom style="thin">
        <color theme="0" tint="-0.34998626667073579"/>
      </bottom>
      <diagonal/>
    </border>
    <border>
      <left style="double">
        <color theme="0" tint="-0.34998626667073579"/>
      </left>
      <right style="double">
        <color theme="0" tint="-0.34998626667073579"/>
      </right>
      <top style="thin">
        <color theme="0" tint="-0.34998626667073579"/>
      </top>
      <bottom style="double">
        <color theme="0" tint="-0.34998626667073579"/>
      </bottom>
      <diagonal/>
    </border>
    <border>
      <left/>
      <right style="double">
        <color theme="0" tint="-0.34998626667073579"/>
      </right>
      <top/>
      <bottom/>
      <diagonal/>
    </border>
    <border>
      <left style="thin">
        <color theme="0"/>
      </left>
      <right style="thin">
        <color theme="0"/>
      </right>
      <top style="thin">
        <color theme="0"/>
      </top>
      <bottom/>
      <diagonal/>
    </border>
    <border>
      <left style="double">
        <color theme="0" tint="-0.34998626667073579"/>
      </left>
      <right style="double">
        <color theme="0" tint="-0.34998626667073579"/>
      </right>
      <top/>
      <bottom style="thin">
        <color theme="0" tint="-0.34998626667073579"/>
      </bottom>
      <diagonal/>
    </border>
    <border>
      <left style="double">
        <color theme="0" tint="-0.34998626667073579"/>
      </left>
      <right style="double">
        <color theme="0" tint="-0.34998626667073579"/>
      </right>
      <top style="double">
        <color theme="0" tint="-0.34998626667073579"/>
      </top>
      <bottom style="medium">
        <color theme="0" tint="-0.34998626667073579"/>
      </bottom>
      <diagonal/>
    </border>
    <border>
      <left style="double">
        <color theme="0" tint="-0.34998626667073579"/>
      </left>
      <right style="double">
        <color theme="0" tint="-0.34998626667073579"/>
      </right>
      <top style="medium">
        <color theme="0" tint="-0.34998626667073579"/>
      </top>
      <bottom style="medium">
        <color theme="0" tint="-0.34998626667073579"/>
      </bottom>
      <diagonal/>
    </border>
    <border>
      <left/>
      <right/>
      <top/>
      <bottom style="thin">
        <color indexed="64"/>
      </bottom>
      <diagonal/>
    </border>
    <border>
      <left style="thin">
        <color theme="1"/>
      </left>
      <right style="thin">
        <color indexed="64"/>
      </right>
      <top/>
      <bottom style="thin">
        <color theme="1"/>
      </bottom>
      <diagonal/>
    </border>
    <border>
      <left style="double">
        <color theme="0" tint="-0.34998626667073579"/>
      </left>
      <right/>
      <top/>
      <bottom/>
      <diagonal/>
    </border>
    <border>
      <left/>
      <right style="thin">
        <color indexed="64"/>
      </right>
      <top/>
      <bottom style="thin">
        <color indexed="64"/>
      </bottom>
      <diagonal/>
    </border>
    <border>
      <left style="thin">
        <color indexed="64"/>
      </left>
      <right style="thin">
        <color theme="0"/>
      </right>
      <top style="thin">
        <color indexed="64"/>
      </top>
      <bottom/>
      <diagonal/>
    </border>
    <border>
      <left style="thin">
        <color theme="0"/>
      </left>
      <right style="thin">
        <color theme="0"/>
      </right>
      <top style="thin">
        <color indexed="64"/>
      </top>
      <bottom/>
      <diagonal/>
    </border>
    <border>
      <left style="thin">
        <color theme="0"/>
      </left>
      <right style="thin">
        <color indexed="64"/>
      </right>
      <top style="thin">
        <color indexed="64"/>
      </top>
      <bottom/>
      <diagonal/>
    </border>
    <border>
      <left/>
      <right style="thin">
        <color indexed="64"/>
      </right>
      <top style="thin">
        <color indexed="64"/>
      </top>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top style="thick">
        <color indexed="64"/>
      </top>
      <bottom style="thick">
        <color indexed="64"/>
      </bottom>
      <diagonal/>
    </border>
    <border>
      <left style="thin">
        <color theme="1"/>
      </left>
      <right style="thin">
        <color theme="1"/>
      </right>
      <top style="thick">
        <color indexed="64"/>
      </top>
      <bottom style="thick">
        <color indexed="64"/>
      </bottom>
      <diagonal/>
    </border>
    <border>
      <left style="thin">
        <color theme="1"/>
      </left>
      <right style="thick">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s>
  <cellStyleXfs count="62">
    <xf numFmtId="0" fontId="0" fillId="0" borderId="0"/>
    <xf numFmtId="44" fontId="3" fillId="0" borderId="0" applyFont="0" applyFill="0" applyBorder="0" applyAlignment="0" applyProtection="0"/>
    <xf numFmtId="9"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1"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2" fillId="0" borderId="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applyNumberFormat="0" applyFill="0" applyBorder="0" applyAlignment="0" applyProtection="0"/>
    <xf numFmtId="0" fontId="8" fillId="0" borderId="4" applyNumberFormat="0" applyFill="0" applyAlignment="0" applyProtection="0"/>
    <xf numFmtId="0" fontId="9" fillId="0" borderId="5" applyNumberFormat="0" applyFill="0" applyAlignment="0" applyProtection="0"/>
    <xf numFmtId="0" fontId="10" fillId="0" borderId="6" applyNumberFormat="0" applyFill="0" applyAlignment="0" applyProtection="0"/>
    <xf numFmtId="0" fontId="10" fillId="0" borderId="0" applyNumberFormat="0" applyFill="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6" borderId="0" applyNumberFormat="0" applyBorder="0" applyAlignment="0" applyProtection="0"/>
    <xf numFmtId="0" fontId="14" fillId="7" borderId="7" applyNumberFormat="0" applyAlignment="0" applyProtection="0"/>
    <xf numFmtId="0" fontId="15" fillId="8" borderId="8" applyNumberFormat="0" applyAlignment="0" applyProtection="0"/>
    <xf numFmtId="0" fontId="16" fillId="8" borderId="7" applyNumberFormat="0" applyAlignment="0" applyProtection="0"/>
    <xf numFmtId="0" fontId="17" fillId="0" borderId="9" applyNumberFormat="0" applyFill="0" applyAlignment="0" applyProtection="0"/>
    <xf numFmtId="0" fontId="5" fillId="9" borderId="10" applyNumberFormat="0" applyAlignment="0" applyProtection="0"/>
    <xf numFmtId="0" fontId="18" fillId="0" borderId="0" applyNumberFormat="0" applyFill="0" applyBorder="0" applyAlignment="0" applyProtection="0"/>
    <xf numFmtId="0" fontId="1" fillId="10" borderId="11" applyNumberFormat="0" applyFont="0" applyAlignment="0" applyProtection="0"/>
    <xf numFmtId="0" fontId="19" fillId="0" borderId="0" applyNumberFormat="0" applyFill="0" applyBorder="0" applyAlignment="0" applyProtection="0"/>
    <xf numFmtId="0" fontId="6" fillId="0" borderId="12" applyNumberFormat="0" applyFill="0" applyAlignment="0" applyProtection="0"/>
    <xf numFmtId="0" fontId="20"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20" fillId="22" borderId="0" applyNumberFormat="0" applyBorder="0" applyAlignment="0" applyProtection="0"/>
    <xf numFmtId="0" fontId="20"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0" fillId="26" borderId="0" applyNumberFormat="0" applyBorder="0" applyAlignment="0" applyProtection="0"/>
    <xf numFmtId="0" fontId="20"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20" fillId="30" borderId="0" applyNumberFormat="0" applyBorder="0" applyAlignment="0" applyProtection="0"/>
    <xf numFmtId="0" fontId="20"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20" fillId="34" borderId="0" applyNumberFormat="0" applyBorder="0" applyAlignment="0" applyProtection="0"/>
  </cellStyleXfs>
  <cellXfs count="210">
    <xf numFmtId="0" fontId="0" fillId="0" borderId="0" xfId="0"/>
    <xf numFmtId="0" fontId="0" fillId="35" borderId="0" xfId="0" applyFill="1"/>
    <xf numFmtId="1" fontId="21" fillId="35" borderId="0" xfId="0" applyNumberFormat="1" applyFont="1" applyFill="1" applyAlignment="1">
      <alignment horizontal="center" vertical="center"/>
    </xf>
    <xf numFmtId="0" fontId="0" fillId="2" borderId="0" xfId="0" applyFill="1"/>
    <xf numFmtId="0" fontId="4" fillId="35" borderId="0" xfId="0" applyFont="1" applyFill="1" applyAlignment="1">
      <alignment horizontal="center" vertical="center" wrapText="1"/>
    </xf>
    <xf numFmtId="0" fontId="49" fillId="35" borderId="0" xfId="0" applyFont="1" applyFill="1" applyAlignment="1">
      <alignment horizontal="center" vertical="center" wrapText="1"/>
    </xf>
    <xf numFmtId="0" fontId="44" fillId="35" borderId="0" xfId="0" applyFont="1" applyFill="1" applyAlignment="1">
      <alignment vertical="center" wrapText="1"/>
    </xf>
    <xf numFmtId="0" fontId="33" fillId="35" borderId="0" xfId="0" applyFont="1" applyFill="1" applyAlignment="1">
      <alignment vertical="center" wrapText="1"/>
    </xf>
    <xf numFmtId="0" fontId="55" fillId="35" borderId="0" xfId="0" applyFont="1" applyFill="1" applyAlignment="1">
      <alignment horizontal="center" vertical="center" wrapText="1"/>
    </xf>
    <xf numFmtId="0" fontId="23" fillId="35" borderId="0" xfId="0" applyFont="1" applyFill="1" applyAlignment="1">
      <alignment vertical="center"/>
    </xf>
    <xf numFmtId="1" fontId="0" fillId="35" borderId="0" xfId="0" applyNumberFormat="1" applyFill="1"/>
    <xf numFmtId="0" fontId="46" fillId="35" borderId="0" xfId="0" applyFont="1" applyFill="1" applyAlignment="1">
      <alignment horizontal="right" vertical="top"/>
    </xf>
    <xf numFmtId="0" fontId="49" fillId="35" borderId="0" xfId="0" applyFont="1" applyFill="1" applyAlignment="1">
      <alignment horizontal="center" wrapText="1"/>
    </xf>
    <xf numFmtId="0" fontId="4" fillId="35" borderId="0" xfId="0" applyFont="1" applyFill="1" applyAlignment="1">
      <alignment horizontal="center" wrapText="1"/>
    </xf>
    <xf numFmtId="0" fontId="0" fillId="35" borderId="0" xfId="0" applyFill="1" applyAlignment="1">
      <alignment horizontal="center" wrapText="1"/>
    </xf>
    <xf numFmtId="1" fontId="5" fillId="3" borderId="22" xfId="0" applyNumberFormat="1" applyFont="1" applyFill="1" applyBorder="1" applyAlignment="1">
      <alignment horizontal="center" vertical="center" wrapText="1"/>
    </xf>
    <xf numFmtId="1" fontId="6" fillId="35" borderId="0" xfId="0" applyNumberFormat="1" applyFont="1" applyFill="1" applyAlignment="1">
      <alignment horizontal="center" vertical="center" wrapText="1"/>
    </xf>
    <xf numFmtId="1" fontId="22" fillId="35" borderId="0" xfId="0" applyNumberFormat="1" applyFont="1" applyFill="1" applyAlignment="1">
      <alignment wrapText="1"/>
    </xf>
    <xf numFmtId="1" fontId="0" fillId="35" borderId="0" xfId="0" applyNumberFormat="1" applyFill="1" applyAlignment="1">
      <alignment wrapText="1"/>
    </xf>
    <xf numFmtId="0" fontId="0" fillId="2" borderId="0" xfId="0" applyFill="1" applyAlignment="1">
      <alignment horizontal="center" wrapText="1"/>
    </xf>
    <xf numFmtId="4" fontId="58" fillId="35" borderId="0" xfId="0" applyNumberFormat="1" applyFont="1" applyFill="1" applyAlignment="1">
      <alignment horizontal="center"/>
    </xf>
    <xf numFmtId="4" fontId="6" fillId="35" borderId="0" xfId="0" applyNumberFormat="1" applyFont="1" applyFill="1" applyAlignment="1">
      <alignment horizontal="center"/>
    </xf>
    <xf numFmtId="9" fontId="37" fillId="2" borderId="1" xfId="0" applyNumberFormat="1" applyFont="1" applyFill="1" applyBorder="1" applyAlignment="1">
      <alignment horizontal="center"/>
    </xf>
    <xf numFmtId="4" fontId="37" fillId="2" borderId="1" xfId="0" applyNumberFormat="1" applyFont="1" applyFill="1" applyBorder="1" applyAlignment="1">
      <alignment horizontal="center"/>
    </xf>
    <xf numFmtId="1" fontId="0" fillId="35" borderId="0" xfId="0" applyNumberFormat="1" applyFill="1" applyAlignment="1">
      <alignment horizontal="center" wrapText="1"/>
    </xf>
    <xf numFmtId="0" fontId="6" fillId="35" borderId="0" xfId="0" applyFont="1" applyFill="1"/>
    <xf numFmtId="0" fontId="21" fillId="35" borderId="0" xfId="0" applyFont="1" applyFill="1"/>
    <xf numFmtId="1" fontId="24" fillId="35" borderId="0" xfId="0" applyNumberFormat="1" applyFont="1" applyFill="1" applyAlignment="1">
      <alignment horizontal="left"/>
    </xf>
    <xf numFmtId="0" fontId="0" fillId="35" borderId="0" xfId="0" applyFill="1" applyAlignment="1">
      <alignment horizontal="right" vertical="top"/>
    </xf>
    <xf numFmtId="0" fontId="0" fillId="35" borderId="0" xfId="0" applyFill="1" applyAlignment="1">
      <alignment vertical="top"/>
    </xf>
    <xf numFmtId="0" fontId="21" fillId="35" borderId="0" xfId="0" applyFont="1" applyFill="1" applyAlignment="1">
      <alignment vertical="top"/>
    </xf>
    <xf numFmtId="49" fontId="5" fillId="35" borderId="0" xfId="0" applyNumberFormat="1" applyFont="1" applyFill="1" applyAlignment="1">
      <alignment horizontal="center" vertical="center" wrapText="1"/>
    </xf>
    <xf numFmtId="0" fontId="5" fillId="35" borderId="0" xfId="0" applyFont="1" applyFill="1" applyAlignment="1">
      <alignment horizontal="center" vertical="center" wrapText="1"/>
    </xf>
    <xf numFmtId="1" fontId="0" fillId="2" borderId="0" xfId="0" applyNumberFormat="1" applyFill="1"/>
    <xf numFmtId="1" fontId="0" fillId="0" borderId="0" xfId="0" applyNumberFormat="1"/>
    <xf numFmtId="1" fontId="21" fillId="39" borderId="0" xfId="0" applyNumberFormat="1" applyFont="1" applyFill="1" applyAlignment="1">
      <alignment horizontal="center" vertical="center"/>
    </xf>
    <xf numFmtId="1" fontId="21" fillId="48" borderId="25" xfId="0" applyNumberFormat="1" applyFont="1" applyFill="1" applyBorder="1" applyAlignment="1" applyProtection="1">
      <alignment horizontal="center" vertical="center"/>
      <protection locked="0"/>
    </xf>
    <xf numFmtId="165" fontId="33" fillId="2" borderId="24" xfId="0" applyNumberFormat="1" applyFont="1" applyFill="1" applyBorder="1" applyAlignment="1" applyProtection="1">
      <alignment horizontal="center" vertical="center"/>
      <protection locked="0"/>
    </xf>
    <xf numFmtId="1" fontId="5" fillId="43" borderId="26" xfId="0" applyNumberFormat="1" applyFont="1" applyFill="1" applyBorder="1" applyAlignment="1">
      <alignment vertical="center"/>
    </xf>
    <xf numFmtId="0" fontId="6" fillId="35" borderId="0" xfId="0" applyFont="1" applyFill="1" applyAlignment="1">
      <alignment horizontal="center" vertical="center"/>
    </xf>
    <xf numFmtId="0" fontId="6" fillId="35" borderId="0" xfId="0" applyFont="1" applyFill="1" applyAlignment="1">
      <alignment horizontal="center"/>
    </xf>
    <xf numFmtId="0" fontId="6" fillId="35" borderId="0" xfId="0" applyFont="1" applyFill="1" applyAlignment="1">
      <alignment vertical="top"/>
    </xf>
    <xf numFmtId="1" fontId="59" fillId="35" borderId="0" xfId="0" applyNumberFormat="1" applyFont="1" applyFill="1" applyAlignment="1">
      <alignment wrapText="1"/>
    </xf>
    <xf numFmtId="0" fontId="69" fillId="35" borderId="0" xfId="0" applyFont="1" applyFill="1" applyAlignment="1">
      <alignment vertical="center" wrapText="1"/>
    </xf>
    <xf numFmtId="0" fontId="70" fillId="35" borderId="0" xfId="0" applyFont="1" applyFill="1"/>
    <xf numFmtId="4" fontId="0" fillId="38" borderId="1" xfId="0" applyNumberFormat="1" applyFill="1" applyBorder="1" applyAlignment="1">
      <alignment horizontal="center"/>
    </xf>
    <xf numFmtId="0" fontId="4" fillId="35" borderId="0" xfId="0" applyFont="1" applyFill="1" applyAlignment="1">
      <alignment horizontal="center" vertical="top" wrapText="1"/>
    </xf>
    <xf numFmtId="0" fontId="0" fillId="35" borderId="0" xfId="0" applyFill="1" applyAlignment="1">
      <alignment horizontal="center" vertical="top" wrapText="1"/>
    </xf>
    <xf numFmtId="0" fontId="0" fillId="2" borderId="0" xfId="0" applyFill="1" applyAlignment="1">
      <alignment vertical="top"/>
    </xf>
    <xf numFmtId="0" fontId="0" fillId="0" borderId="0" xfId="0" applyAlignment="1">
      <alignment vertical="top"/>
    </xf>
    <xf numFmtId="0" fontId="41" fillId="35" borderId="0" xfId="0" applyFont="1" applyFill="1" applyAlignment="1">
      <alignment horizontal="left" vertical="center" wrapText="1"/>
    </xf>
    <xf numFmtId="0" fontId="40" fillId="35" borderId="0" xfId="0" applyFont="1" applyFill="1" applyAlignment="1">
      <alignment horizontal="left" vertical="center" wrapText="1"/>
    </xf>
    <xf numFmtId="0" fontId="40" fillId="35" borderId="0" xfId="0" applyFont="1" applyFill="1" applyAlignment="1">
      <alignment horizontal="left" vertical="center"/>
    </xf>
    <xf numFmtId="0" fontId="41" fillId="35" borderId="0" xfId="0" applyFont="1" applyFill="1" applyAlignment="1">
      <alignment horizontal="left" vertical="center"/>
    </xf>
    <xf numFmtId="1" fontId="5" fillId="35" borderId="0" xfId="0" applyNumberFormat="1" applyFont="1" applyFill="1" applyAlignment="1">
      <alignment horizontal="center" vertical="center" wrapText="1"/>
    </xf>
    <xf numFmtId="0" fontId="4" fillId="35" borderId="0" xfId="0" applyFont="1" applyFill="1" applyAlignment="1">
      <alignment wrapText="1"/>
    </xf>
    <xf numFmtId="165" fontId="72" fillId="41" borderId="25" xfId="0" applyNumberFormat="1" applyFont="1" applyFill="1" applyBorder="1" applyAlignment="1" applyProtection="1">
      <alignment horizontal="center" vertical="center"/>
      <protection locked="0"/>
    </xf>
    <xf numFmtId="165" fontId="21" fillId="51" borderId="23" xfId="0" applyNumberFormat="1" applyFont="1" applyFill="1" applyBorder="1" applyAlignment="1" applyProtection="1">
      <alignment horizontal="center" vertical="center"/>
      <protection locked="0"/>
    </xf>
    <xf numFmtId="165" fontId="21" fillId="52" borderId="20" xfId="0" applyNumberFormat="1" applyFont="1" applyFill="1" applyBorder="1" applyAlignment="1" applyProtection="1">
      <alignment horizontal="center" vertical="center"/>
      <protection locked="0"/>
    </xf>
    <xf numFmtId="0" fontId="67" fillId="35" borderId="0" xfId="0" applyFont="1" applyFill="1" applyAlignment="1">
      <alignment vertical="center" wrapText="1"/>
    </xf>
    <xf numFmtId="0" fontId="67" fillId="35" borderId="0" xfId="0" applyFont="1" applyFill="1" applyAlignment="1">
      <alignment wrapText="1"/>
    </xf>
    <xf numFmtId="0" fontId="27" fillId="35" borderId="0" xfId="0" applyFont="1" applyFill="1" applyAlignment="1">
      <alignment vertical="center" wrapText="1"/>
    </xf>
    <xf numFmtId="0" fontId="27" fillId="35" borderId="0" xfId="0" applyFont="1" applyFill="1" applyAlignment="1">
      <alignment horizontal="center" vertical="center" wrapText="1"/>
    </xf>
    <xf numFmtId="0" fontId="6" fillId="35" borderId="0" xfId="0" applyFont="1" applyFill="1" applyAlignment="1">
      <alignment vertical="center"/>
    </xf>
    <xf numFmtId="165" fontId="21" fillId="39" borderId="0" xfId="0" applyNumberFormat="1" applyFont="1" applyFill="1" applyAlignment="1">
      <alignment horizontal="left" vertical="center"/>
    </xf>
    <xf numFmtId="49" fontId="45" fillId="39" borderId="0" xfId="0" applyNumberFormat="1" applyFont="1" applyFill="1" applyAlignment="1">
      <alignment vertical="center" wrapText="1"/>
    </xf>
    <xf numFmtId="0" fontId="29" fillId="35" borderId="0" xfId="0" applyFont="1" applyFill="1" applyAlignment="1">
      <alignment horizontal="center" vertical="center" wrapText="1"/>
    </xf>
    <xf numFmtId="0" fontId="32" fillId="35" borderId="0" xfId="0" applyFont="1" applyFill="1" applyAlignment="1">
      <alignment vertical="center" wrapText="1"/>
    </xf>
    <xf numFmtId="49" fontId="60" fillId="35" borderId="0" xfId="0" applyNumberFormat="1" applyFont="1" applyFill="1" applyAlignment="1">
      <alignment horizontal="center" vertical="center" wrapText="1"/>
    </xf>
    <xf numFmtId="0" fontId="26" fillId="35" borderId="0" xfId="0" applyFont="1" applyFill="1"/>
    <xf numFmtId="0" fontId="22" fillId="35" borderId="0" xfId="0" applyFont="1" applyFill="1" applyAlignment="1">
      <alignment horizontal="center" vertical="center" wrapText="1"/>
    </xf>
    <xf numFmtId="0" fontId="21" fillId="35" borderId="0" xfId="0" applyFont="1" applyFill="1" applyAlignment="1">
      <alignment horizontal="left" vertical="center"/>
    </xf>
    <xf numFmtId="0" fontId="28" fillId="35" borderId="0" xfId="0" applyFont="1" applyFill="1" applyAlignment="1">
      <alignment vertical="center"/>
    </xf>
    <xf numFmtId="0" fontId="63" fillId="35" borderId="0" xfId="0" applyFont="1" applyFill="1" applyAlignment="1">
      <alignment vertical="center"/>
    </xf>
    <xf numFmtId="2" fontId="63" fillId="35" borderId="0" xfId="0" applyNumberFormat="1" applyFont="1" applyFill="1" applyAlignment="1">
      <alignment vertical="center"/>
    </xf>
    <xf numFmtId="2" fontId="54" fillId="35" borderId="0" xfId="0" applyNumberFormat="1" applyFont="1" applyFill="1"/>
    <xf numFmtId="0" fontId="54" fillId="35" borderId="0" xfId="0" applyFont="1" applyFill="1"/>
    <xf numFmtId="0" fontId="30" fillId="35" borderId="0" xfId="0" applyFont="1" applyFill="1" applyAlignment="1">
      <alignment horizontal="center" wrapText="1"/>
    </xf>
    <xf numFmtId="1" fontId="62" fillId="35" borderId="0" xfId="0" applyNumberFormat="1" applyFont="1" applyFill="1" applyAlignment="1">
      <alignment horizontal="center" vertical="center" wrapText="1"/>
    </xf>
    <xf numFmtId="2" fontId="62" fillId="35" borderId="0" xfId="0" applyNumberFormat="1" applyFont="1" applyFill="1" applyAlignment="1">
      <alignment wrapText="1"/>
    </xf>
    <xf numFmtId="2" fontId="62" fillId="35" borderId="0" xfId="0" applyNumberFormat="1" applyFont="1" applyFill="1" applyAlignment="1">
      <alignment horizontal="center" wrapText="1"/>
    </xf>
    <xf numFmtId="166" fontId="62" fillId="35" borderId="0" xfId="0" applyNumberFormat="1" applyFont="1" applyFill="1" applyAlignment="1">
      <alignment horizontal="center"/>
    </xf>
    <xf numFmtId="166" fontId="37" fillId="46" borderId="13" xfId="0" applyNumberFormat="1" applyFont="1" applyFill="1" applyBorder="1" applyAlignment="1">
      <alignment horizontal="center"/>
    </xf>
    <xf numFmtId="166" fontId="61" fillId="47" borderId="15" xfId="0" applyNumberFormat="1" applyFont="1" applyFill="1" applyBorder="1" applyAlignment="1">
      <alignment horizontal="center"/>
    </xf>
    <xf numFmtId="166" fontId="37" fillId="45" borderId="14" xfId="0" applyNumberFormat="1" applyFont="1" applyFill="1" applyBorder="1" applyAlignment="1">
      <alignment horizontal="center" wrapText="1"/>
    </xf>
    <xf numFmtId="166" fontId="52" fillId="36" borderId="14" xfId="0" applyNumberFormat="1" applyFont="1" applyFill="1" applyBorder="1" applyAlignment="1">
      <alignment horizontal="center" wrapText="1"/>
    </xf>
    <xf numFmtId="0" fontId="25" fillId="35" borderId="0" xfId="0" applyFont="1" applyFill="1" applyAlignment="1">
      <alignment horizontal="center"/>
    </xf>
    <xf numFmtId="9" fontId="37" fillId="2" borderId="3" xfId="0" applyNumberFormat="1" applyFont="1" applyFill="1" applyBorder="1" applyAlignment="1">
      <alignment horizontal="center"/>
    </xf>
    <xf numFmtId="166" fontId="37" fillId="46" borderId="16" xfId="0" applyNumberFormat="1" applyFont="1" applyFill="1" applyBorder="1" applyAlignment="1">
      <alignment horizontal="center"/>
    </xf>
    <xf numFmtId="166" fontId="37" fillId="45" borderId="17" xfId="0" applyNumberFormat="1" applyFont="1" applyFill="1" applyBorder="1" applyAlignment="1">
      <alignment horizontal="center" wrapText="1"/>
    </xf>
    <xf numFmtId="166" fontId="65" fillId="35" borderId="0" xfId="0" applyNumberFormat="1" applyFont="1" applyFill="1" applyAlignment="1">
      <alignment horizontal="center"/>
    </xf>
    <xf numFmtId="164" fontId="38" fillId="35" borderId="18" xfId="0" applyNumberFormat="1" applyFont="1" applyFill="1" applyBorder="1" applyAlignment="1">
      <alignment horizontal="center"/>
    </xf>
    <xf numFmtId="4" fontId="38" fillId="35" borderId="18" xfId="0" applyNumberFormat="1" applyFont="1" applyFill="1" applyBorder="1" applyAlignment="1">
      <alignment horizontal="center"/>
    </xf>
    <xf numFmtId="166" fontId="38" fillId="35" borderId="18" xfId="0" applyNumberFormat="1" applyFont="1" applyFill="1" applyBorder="1" applyAlignment="1">
      <alignment horizontal="center"/>
    </xf>
    <xf numFmtId="4" fontId="39" fillId="35" borderId="18" xfId="0" applyNumberFormat="1" applyFont="1" applyFill="1" applyBorder="1" applyAlignment="1">
      <alignment horizontal="center" wrapText="1"/>
    </xf>
    <xf numFmtId="4" fontId="39" fillId="35" borderId="0" xfId="0" applyNumberFormat="1" applyFont="1" applyFill="1" applyAlignment="1">
      <alignment horizontal="center" wrapText="1"/>
    </xf>
    <xf numFmtId="4" fontId="66" fillId="35" borderId="0" xfId="0" applyNumberFormat="1" applyFont="1" applyFill="1" applyAlignment="1">
      <alignment horizontal="center" wrapText="1"/>
    </xf>
    <xf numFmtId="0" fontId="56" fillId="35" borderId="0" xfId="0" applyFont="1" applyFill="1" applyAlignment="1">
      <alignment wrapText="1"/>
    </xf>
    <xf numFmtId="0" fontId="73" fillId="35" borderId="0" xfId="0" applyFont="1" applyFill="1"/>
    <xf numFmtId="0" fontId="0" fillId="35" borderId="0" xfId="0" applyFill="1" applyAlignment="1">
      <alignment vertical="center" wrapText="1"/>
    </xf>
    <xf numFmtId="0" fontId="75" fillId="35" borderId="0" xfId="0" applyFont="1" applyFill="1" applyAlignment="1">
      <alignment horizontal="center" wrapText="1"/>
    </xf>
    <xf numFmtId="0" fontId="6" fillId="35" borderId="0" xfId="0" applyFont="1" applyFill="1" applyAlignment="1">
      <alignment vertical="center" wrapText="1"/>
    </xf>
    <xf numFmtId="0" fontId="21" fillId="35" borderId="0" xfId="0" applyFont="1" applyFill="1" applyAlignment="1">
      <alignment vertical="top" wrapText="1"/>
    </xf>
    <xf numFmtId="0" fontId="76" fillId="35" borderId="0" xfId="0" applyFont="1" applyFill="1" applyAlignment="1">
      <alignment horizontal="center" vertical="center" wrapText="1"/>
    </xf>
    <xf numFmtId="2" fontId="76" fillId="35" borderId="0" xfId="0" applyNumberFormat="1" applyFont="1" applyFill="1" applyAlignment="1">
      <alignment horizontal="center" vertical="center" wrapText="1"/>
    </xf>
    <xf numFmtId="2" fontId="77" fillId="39" borderId="0" xfId="0" applyNumberFormat="1" applyFont="1" applyFill="1" applyAlignment="1">
      <alignment vertical="center" wrapText="1"/>
    </xf>
    <xf numFmtId="0" fontId="64" fillId="35" borderId="0" xfId="0" applyFont="1" applyFill="1" applyAlignment="1">
      <alignment wrapText="1"/>
    </xf>
    <xf numFmtId="49" fontId="77" fillId="39" borderId="0" xfId="0" applyNumberFormat="1" applyFont="1" applyFill="1" applyAlignment="1">
      <alignment vertical="center" wrapText="1"/>
    </xf>
    <xf numFmtId="0" fontId="54" fillId="35" borderId="0" xfId="0" applyFont="1" applyFill="1" applyAlignment="1">
      <alignment vertical="center" wrapText="1"/>
    </xf>
    <xf numFmtId="49" fontId="64" fillId="35" borderId="0" xfId="0" applyNumberFormat="1" applyFont="1" applyFill="1" applyAlignment="1">
      <alignment horizontal="center" vertical="center" wrapText="1"/>
    </xf>
    <xf numFmtId="0" fontId="78" fillId="35" borderId="0" xfId="0" applyFont="1" applyFill="1" applyAlignment="1">
      <alignment horizontal="left" wrapText="1"/>
    </xf>
    <xf numFmtId="0" fontId="79" fillId="35" borderId="0" xfId="0" applyFont="1" applyFill="1" applyAlignment="1">
      <alignment wrapText="1"/>
    </xf>
    <xf numFmtId="0" fontId="54" fillId="2" borderId="0" xfId="0" applyFont="1" applyFill="1"/>
    <xf numFmtId="2" fontId="54" fillId="2" borderId="0" xfId="0" applyNumberFormat="1" applyFont="1" applyFill="1"/>
    <xf numFmtId="4" fontId="37" fillId="53" borderId="14" xfId="0" applyNumberFormat="1" applyFont="1" applyFill="1" applyBorder="1" applyAlignment="1">
      <alignment horizontal="center" wrapText="1"/>
    </xf>
    <xf numFmtId="0" fontId="5" fillId="3" borderId="15" xfId="0" applyFont="1" applyFill="1" applyBorder="1" applyAlignment="1">
      <alignment horizontal="center" vertical="center" wrapText="1"/>
    </xf>
    <xf numFmtId="10" fontId="5" fillId="3" borderId="22" xfId="0" applyNumberFormat="1" applyFont="1" applyFill="1" applyBorder="1" applyAlignment="1">
      <alignment horizontal="center" vertical="center" wrapText="1"/>
    </xf>
    <xf numFmtId="0" fontId="80" fillId="35" borderId="0" xfId="0" applyFont="1" applyFill="1" applyAlignment="1">
      <alignment horizontal="left" vertical="top" wrapText="1"/>
    </xf>
    <xf numFmtId="0" fontId="67" fillId="35" borderId="0" xfId="0" applyFont="1" applyFill="1"/>
    <xf numFmtId="0" fontId="67" fillId="35" borderId="0" xfId="0" applyFont="1" applyFill="1" applyAlignment="1">
      <alignment horizontal="center"/>
    </xf>
    <xf numFmtId="0" fontId="21" fillId="35" borderId="0" xfId="0" applyFont="1" applyFill="1" applyAlignment="1">
      <alignment horizontal="center" vertical="center"/>
    </xf>
    <xf numFmtId="4" fontId="81" fillId="35" borderId="0" xfId="0" applyNumberFormat="1" applyFont="1" applyFill="1" applyAlignment="1">
      <alignment horizontal="left"/>
    </xf>
    <xf numFmtId="1" fontId="81" fillId="35" borderId="0" xfId="0" applyNumberFormat="1" applyFont="1" applyFill="1" applyAlignment="1">
      <alignment horizontal="left" vertical="center" wrapText="1"/>
    </xf>
    <xf numFmtId="4" fontId="84" fillId="54" borderId="27" xfId="0" applyNumberFormat="1" applyFont="1" applyFill="1" applyBorder="1" applyAlignment="1">
      <alignment horizontal="center" wrapText="1"/>
    </xf>
    <xf numFmtId="9" fontId="37" fillId="2" borderId="2" xfId="0" applyNumberFormat="1" applyFont="1" applyFill="1" applyBorder="1" applyAlignment="1">
      <alignment horizontal="center"/>
    </xf>
    <xf numFmtId="166" fontId="37" fillId="46" borderId="15" xfId="0" applyNumberFormat="1" applyFont="1" applyFill="1" applyBorder="1" applyAlignment="1">
      <alignment horizontal="center"/>
    </xf>
    <xf numFmtId="10" fontId="5" fillId="3" borderId="30" xfId="0" applyNumberFormat="1" applyFont="1" applyFill="1" applyBorder="1" applyAlignment="1">
      <alignment horizontal="center" vertical="center" wrapText="1"/>
    </xf>
    <xf numFmtId="1" fontId="5" fillId="3" borderId="31" xfId="0" applyNumberFormat="1" applyFont="1" applyFill="1" applyBorder="1" applyAlignment="1">
      <alignment horizontal="center" vertical="center" wrapText="1"/>
    </xf>
    <xf numFmtId="1" fontId="6" fillId="46" borderId="32" xfId="0" applyNumberFormat="1" applyFont="1" applyFill="1" applyBorder="1" applyAlignment="1">
      <alignment horizontal="center" vertical="center" wrapText="1"/>
    </xf>
    <xf numFmtId="1" fontId="6" fillId="47" borderId="32" xfId="0" applyNumberFormat="1" applyFont="1" applyFill="1" applyBorder="1" applyAlignment="1">
      <alignment horizontal="center" vertical="center" wrapText="1"/>
    </xf>
    <xf numFmtId="1" fontId="6" fillId="45" borderId="32" xfId="0" applyNumberFormat="1" applyFont="1" applyFill="1" applyBorder="1" applyAlignment="1">
      <alignment horizontal="center" vertical="center" wrapText="1"/>
    </xf>
    <xf numFmtId="1" fontId="6" fillId="36" borderId="32" xfId="0" applyNumberFormat="1" applyFont="1" applyFill="1" applyBorder="1" applyAlignment="1">
      <alignment horizontal="center" vertical="center" wrapText="1"/>
    </xf>
    <xf numFmtId="0" fontId="6" fillId="53" borderId="3" xfId="0" applyFont="1" applyFill="1" applyBorder="1" applyAlignment="1">
      <alignment horizontal="center" vertical="center" wrapText="1"/>
    </xf>
    <xf numFmtId="0" fontId="6" fillId="54" borderId="33" xfId="0" applyFont="1" applyFill="1" applyBorder="1" applyAlignment="1">
      <alignment horizontal="center" vertical="center" wrapText="1"/>
    </xf>
    <xf numFmtId="164" fontId="37" fillId="40" borderId="1" xfId="0" applyNumberFormat="1" applyFont="1" applyFill="1" applyBorder="1" applyAlignment="1">
      <alignment horizontal="center"/>
    </xf>
    <xf numFmtId="4" fontId="37" fillId="40" borderId="2" xfId="0" applyNumberFormat="1" applyFont="1" applyFill="1" applyBorder="1" applyAlignment="1">
      <alignment horizontal="center"/>
    </xf>
    <xf numFmtId="166" fontId="37" fillId="40" borderId="1" xfId="0" applyNumberFormat="1" applyFont="1" applyFill="1" applyBorder="1" applyAlignment="1">
      <alignment horizontal="center"/>
    </xf>
    <xf numFmtId="166" fontId="37" fillId="40" borderId="15" xfId="0" applyNumberFormat="1" applyFont="1" applyFill="1" applyBorder="1" applyAlignment="1">
      <alignment horizontal="center"/>
    </xf>
    <xf numFmtId="166" fontId="37" fillId="40" borderId="1" xfId="0" applyNumberFormat="1" applyFont="1" applyFill="1" applyBorder="1" applyAlignment="1">
      <alignment horizontal="center" wrapText="1"/>
    </xf>
    <xf numFmtId="166" fontId="37" fillId="40" borderId="14" xfId="0" applyNumberFormat="1" applyFont="1" applyFill="1" applyBorder="1" applyAlignment="1">
      <alignment horizontal="center" wrapText="1"/>
    </xf>
    <xf numFmtId="4" fontId="37" fillId="40" borderId="1" xfId="0" applyNumberFormat="1" applyFont="1" applyFill="1" applyBorder="1" applyAlignment="1">
      <alignment horizontal="center" wrapText="1"/>
    </xf>
    <xf numFmtId="4" fontId="37" fillId="40" borderId="27" xfId="0" applyNumberFormat="1" applyFont="1" applyFill="1" applyBorder="1" applyAlignment="1">
      <alignment horizontal="center" wrapText="1"/>
    </xf>
    <xf numFmtId="4" fontId="37" fillId="2" borderId="2" xfId="0" applyNumberFormat="1" applyFont="1" applyFill="1" applyBorder="1" applyAlignment="1">
      <alignment horizontal="center"/>
    </xf>
    <xf numFmtId="4" fontId="0" fillId="38" borderId="2" xfId="0" applyNumberFormat="1" applyFill="1" applyBorder="1" applyAlignment="1">
      <alignment horizontal="center"/>
    </xf>
    <xf numFmtId="9" fontId="6" fillId="2" borderId="34" xfId="0" applyNumberFormat="1" applyFont="1" applyFill="1" applyBorder="1" applyAlignment="1">
      <alignment horizontal="center"/>
    </xf>
    <xf numFmtId="4" fontId="6" fillId="2" borderId="35" xfId="0" applyNumberFormat="1" applyFont="1" applyFill="1" applyBorder="1" applyAlignment="1">
      <alignment horizontal="center"/>
    </xf>
    <xf numFmtId="4" fontId="6" fillId="38" borderId="39" xfId="0" applyNumberFormat="1" applyFont="1" applyFill="1" applyBorder="1" applyAlignment="1">
      <alignment horizontal="center"/>
    </xf>
    <xf numFmtId="9" fontId="36" fillId="2" borderId="34" xfId="0" applyNumberFormat="1" applyFont="1" applyFill="1" applyBorder="1" applyAlignment="1">
      <alignment horizontal="center"/>
    </xf>
    <xf numFmtId="4" fontId="36" fillId="2" borderId="35" xfId="0" applyNumberFormat="1" applyFont="1" applyFill="1" applyBorder="1" applyAlignment="1">
      <alignment horizontal="center"/>
    </xf>
    <xf numFmtId="166" fontId="36" fillId="46" borderId="36" xfId="0" applyNumberFormat="1" applyFont="1" applyFill="1" applyBorder="1" applyAlignment="1">
      <alignment horizontal="center"/>
    </xf>
    <xf numFmtId="166" fontId="36" fillId="47" borderId="36" xfId="0" applyNumberFormat="1" applyFont="1" applyFill="1" applyBorder="1" applyAlignment="1">
      <alignment horizontal="center"/>
    </xf>
    <xf numFmtId="166" fontId="36" fillId="45" borderId="37" xfId="0" applyNumberFormat="1" applyFont="1" applyFill="1" applyBorder="1" applyAlignment="1">
      <alignment horizontal="center" wrapText="1"/>
    </xf>
    <xf numFmtId="166" fontId="36" fillId="36" borderId="37" xfId="0" applyNumberFormat="1" applyFont="1" applyFill="1" applyBorder="1" applyAlignment="1">
      <alignment horizontal="center" wrapText="1"/>
    </xf>
    <xf numFmtId="4" fontId="36" fillId="53" borderId="37" xfId="0" applyNumberFormat="1" applyFont="1" applyFill="1" applyBorder="1" applyAlignment="1">
      <alignment horizontal="center" wrapText="1"/>
    </xf>
    <xf numFmtId="4" fontId="36" fillId="54" borderId="38" xfId="0" applyNumberFormat="1" applyFont="1" applyFill="1" applyBorder="1" applyAlignment="1">
      <alignment horizontal="center" wrapText="1"/>
    </xf>
    <xf numFmtId="166" fontId="85" fillId="35" borderId="0" xfId="0" applyNumberFormat="1" applyFont="1" applyFill="1" applyAlignment="1">
      <alignment horizontal="center"/>
    </xf>
    <xf numFmtId="49" fontId="68" fillId="35" borderId="0" xfId="0" applyNumberFormat="1" applyFont="1" applyFill="1" applyAlignment="1">
      <alignment horizontal="center" vertical="center" wrapText="1"/>
    </xf>
    <xf numFmtId="49" fontId="22" fillId="55" borderId="0" xfId="0" applyNumberFormat="1" applyFont="1" applyFill="1" applyAlignment="1">
      <alignment horizontal="center" vertical="center" wrapText="1"/>
    </xf>
    <xf numFmtId="4" fontId="33" fillId="49" borderId="19" xfId="0" applyNumberFormat="1" applyFont="1" applyFill="1" applyBorder="1" applyAlignment="1" applyProtection="1">
      <alignment horizontal="center" vertical="center"/>
      <protection locked="0"/>
    </xf>
    <xf numFmtId="4" fontId="33" fillId="50" borderId="19" xfId="0" applyNumberFormat="1" applyFont="1" applyFill="1" applyBorder="1" applyAlignment="1" applyProtection="1">
      <alignment horizontal="center" vertical="center"/>
      <protection locked="0"/>
    </xf>
    <xf numFmtId="4" fontId="6" fillId="37" borderId="35" xfId="0" applyNumberFormat="1" applyFont="1" applyFill="1" applyBorder="1" applyAlignment="1">
      <alignment horizontal="center"/>
    </xf>
    <xf numFmtId="4" fontId="37" fillId="37" borderId="2" xfId="0" applyNumberFormat="1" applyFont="1" applyFill="1" applyBorder="1" applyAlignment="1">
      <alignment horizontal="center"/>
    </xf>
    <xf numFmtId="4" fontId="37" fillId="37" borderId="1" xfId="0" applyNumberFormat="1" applyFont="1" applyFill="1" applyBorder="1" applyAlignment="1">
      <alignment horizontal="center"/>
    </xf>
    <xf numFmtId="164" fontId="0" fillId="40" borderId="1" xfId="0" applyNumberFormat="1" applyFill="1" applyBorder="1" applyAlignment="1">
      <alignment horizontal="center"/>
    </xf>
    <xf numFmtId="4" fontId="0" fillId="40" borderId="1" xfId="0" applyNumberFormat="1" applyFill="1" applyBorder="1" applyAlignment="1">
      <alignment horizontal="center"/>
    </xf>
    <xf numFmtId="165" fontId="21" fillId="39" borderId="28" xfId="0" applyNumberFormat="1" applyFont="1" applyFill="1" applyBorder="1" applyAlignment="1">
      <alignment vertical="center"/>
    </xf>
    <xf numFmtId="165" fontId="21" fillId="39" borderId="0" xfId="0" applyNumberFormat="1" applyFont="1" applyFill="1" applyAlignment="1">
      <alignment vertical="center"/>
    </xf>
    <xf numFmtId="0" fontId="74" fillId="35" borderId="0" xfId="0" applyFont="1" applyFill="1" applyAlignment="1">
      <alignment horizontal="left"/>
    </xf>
    <xf numFmtId="0" fontId="21" fillId="35" borderId="0" xfId="0" applyFont="1" applyFill="1" applyAlignment="1">
      <alignment horizontal="center"/>
    </xf>
    <xf numFmtId="0" fontId="24" fillId="35" borderId="0" xfId="0" applyFont="1" applyFill="1" applyAlignment="1">
      <alignment horizontal="right"/>
    </xf>
    <xf numFmtId="0" fontId="47" fillId="35" borderId="0" xfId="0" applyFont="1" applyFill="1" applyAlignment="1">
      <alignment horizontal="left" vertical="center" wrapText="1"/>
    </xf>
    <xf numFmtId="0" fontId="31" fillId="35" borderId="0" xfId="0" applyFont="1" applyFill="1" applyAlignment="1">
      <alignment horizontal="left" vertical="center" wrapText="1"/>
    </xf>
    <xf numFmtId="0" fontId="22" fillId="39" borderId="0" xfId="0" applyFont="1" applyFill="1" applyAlignment="1">
      <alignment horizontal="center" vertical="center" wrapText="1"/>
    </xf>
    <xf numFmtId="1" fontId="71" fillId="35" borderId="18" xfId="0" applyNumberFormat="1" applyFont="1" applyFill="1" applyBorder="1" applyAlignment="1">
      <alignment horizontal="right" vertical="center" wrapText="1"/>
    </xf>
    <xf numFmtId="0" fontId="82" fillId="35" borderId="0" xfId="0" applyFont="1" applyFill="1" applyAlignment="1">
      <alignment horizontal="left" vertical="top"/>
    </xf>
    <xf numFmtId="0" fontId="6" fillId="35" borderId="0" xfId="0" applyFont="1" applyFill="1" applyAlignment="1">
      <alignment horizontal="center"/>
    </xf>
    <xf numFmtId="1" fontId="50" fillId="35" borderId="0" xfId="0" applyNumberFormat="1" applyFont="1" applyFill="1" applyAlignment="1">
      <alignment horizontal="left"/>
    </xf>
    <xf numFmtId="0" fontId="33" fillId="35" borderId="0" xfId="0" applyFont="1" applyFill="1" applyAlignment="1">
      <alignment horizontal="left" vertical="center" wrapText="1"/>
    </xf>
    <xf numFmtId="0" fontId="21" fillId="55" borderId="0" xfId="0" applyFont="1" applyFill="1" applyAlignment="1">
      <alignment horizontal="center" vertical="center" wrapText="1"/>
    </xf>
    <xf numFmtId="1" fontId="21" fillId="35" borderId="0" xfId="0" applyNumberFormat="1" applyFont="1" applyFill="1" applyAlignment="1">
      <alignment horizontal="center" wrapText="1"/>
    </xf>
    <xf numFmtId="0" fontId="0" fillId="35" borderId="0" xfId="0" applyFill="1" applyAlignment="1">
      <alignment horizontal="center" vertical="center" wrapText="1"/>
    </xf>
    <xf numFmtId="0" fontId="0" fillId="35" borderId="0" xfId="0" applyFill="1" applyAlignment="1">
      <alignment horizontal="center" vertical="center"/>
    </xf>
    <xf numFmtId="0" fontId="0" fillId="35" borderId="0" xfId="0" applyFill="1" applyAlignment="1">
      <alignment horizontal="left" vertical="center" wrapText="1"/>
    </xf>
    <xf numFmtId="0" fontId="21" fillId="35" borderId="0" xfId="0" applyFont="1" applyFill="1" applyAlignment="1">
      <alignment horizontal="center" vertical="center" wrapText="1"/>
    </xf>
    <xf numFmtId="0" fontId="31" fillId="35" borderId="0" xfId="0" applyFont="1" applyFill="1" applyAlignment="1">
      <alignment horizontal="left" vertical="top" wrapText="1"/>
    </xf>
    <xf numFmtId="165" fontId="21" fillId="39" borderId="28" xfId="0" applyNumberFormat="1" applyFont="1" applyFill="1" applyBorder="1" applyAlignment="1">
      <alignment horizontal="left" vertical="center"/>
    </xf>
    <xf numFmtId="165" fontId="21" fillId="39" borderId="0" xfId="0" applyNumberFormat="1" applyFont="1" applyFill="1" applyAlignment="1">
      <alignment horizontal="left" vertical="center"/>
    </xf>
    <xf numFmtId="0" fontId="21" fillId="35" borderId="0" xfId="0" applyFont="1" applyFill="1" applyAlignment="1">
      <alignment vertical="center" wrapText="1"/>
    </xf>
    <xf numFmtId="165" fontId="83" fillId="39" borderId="28" xfId="0" applyNumberFormat="1" applyFont="1" applyFill="1" applyBorder="1" applyAlignment="1">
      <alignment horizontal="left" vertical="center"/>
    </xf>
    <xf numFmtId="165" fontId="83" fillId="39" borderId="0" xfId="0" applyNumberFormat="1" applyFont="1" applyFill="1" applyAlignment="1">
      <alignment horizontal="left" vertical="center"/>
    </xf>
    <xf numFmtId="0" fontId="5" fillId="44" borderId="26" xfId="0" applyFont="1" applyFill="1" applyBorder="1" applyAlignment="1">
      <alignment horizontal="center" vertical="center"/>
    </xf>
    <xf numFmtId="0" fontId="5" fillId="44" borderId="29" xfId="0" applyFont="1" applyFill="1" applyBorder="1" applyAlignment="1">
      <alignment horizontal="center" vertical="center"/>
    </xf>
    <xf numFmtId="0" fontId="21" fillId="35" borderId="0" xfId="0" applyFont="1" applyFill="1" applyAlignment="1">
      <alignment horizontal="center" vertical="center"/>
    </xf>
    <xf numFmtId="0" fontId="48" fillId="35" borderId="0" xfId="0" applyFont="1" applyFill="1" applyAlignment="1">
      <alignment horizontal="center" vertical="center" wrapText="1"/>
    </xf>
    <xf numFmtId="0" fontId="48" fillId="35" borderId="21" xfId="0" applyFont="1" applyFill="1" applyBorder="1" applyAlignment="1">
      <alignment horizontal="center" vertical="center" wrapText="1"/>
    </xf>
    <xf numFmtId="0" fontId="5" fillId="42" borderId="26" xfId="0" applyFont="1" applyFill="1" applyBorder="1" applyAlignment="1">
      <alignment horizontal="center" vertical="center" wrapText="1"/>
    </xf>
    <xf numFmtId="0" fontId="67" fillId="35" borderId="0" xfId="0" applyFont="1" applyFill="1" applyAlignment="1">
      <alignment horizontal="center" vertical="center" wrapText="1"/>
    </xf>
    <xf numFmtId="0" fontId="35" fillId="35" borderId="0" xfId="0" applyFont="1" applyFill="1" applyAlignment="1">
      <alignment horizontal="center" wrapText="1"/>
    </xf>
    <xf numFmtId="0" fontId="35" fillId="35" borderId="21" xfId="0" applyFont="1" applyFill="1" applyBorder="1" applyAlignment="1">
      <alignment horizontal="center" wrapText="1"/>
    </xf>
    <xf numFmtId="49" fontId="33" fillId="35" borderId="0" xfId="0" applyNumberFormat="1" applyFont="1" applyFill="1" applyAlignment="1">
      <alignment horizontal="center" vertical="center"/>
    </xf>
    <xf numFmtId="49" fontId="33" fillId="35" borderId="21" xfId="0" applyNumberFormat="1" applyFont="1" applyFill="1" applyBorder="1" applyAlignment="1">
      <alignment horizontal="center" vertical="center"/>
    </xf>
    <xf numFmtId="49" fontId="33" fillId="35" borderId="0" xfId="0" applyNumberFormat="1" applyFont="1" applyFill="1" applyAlignment="1">
      <alignment horizontal="center" vertical="center" wrapText="1"/>
    </xf>
    <xf numFmtId="49" fontId="33" fillId="35" borderId="21" xfId="0" applyNumberFormat="1" applyFont="1" applyFill="1" applyBorder="1" applyAlignment="1">
      <alignment horizontal="center" vertical="center" wrapText="1"/>
    </xf>
    <xf numFmtId="0" fontId="0" fillId="35" borderId="0" xfId="0" applyFill="1" applyAlignment="1">
      <alignment horizontal="left" wrapText="1"/>
    </xf>
    <xf numFmtId="0" fontId="67" fillId="35" borderId="0" xfId="0" applyFont="1" applyFill="1" applyAlignment="1">
      <alignment horizontal="left" wrapText="1"/>
    </xf>
    <xf numFmtId="0" fontId="4" fillId="35" borderId="0" xfId="0" applyFont="1" applyFill="1" applyAlignment="1">
      <alignment horizontal="left" vertical="top" wrapText="1"/>
    </xf>
    <xf numFmtId="0" fontId="67" fillId="35" borderId="0" xfId="0" applyFont="1" applyFill="1" applyAlignment="1">
      <alignment horizontal="left" vertical="center" wrapText="1"/>
    </xf>
    <xf numFmtId="0" fontId="21" fillId="35" borderId="0" xfId="0" applyFont="1" applyFill="1" applyAlignment="1">
      <alignment horizontal="center" vertical="top" wrapText="1"/>
    </xf>
    <xf numFmtId="0" fontId="67" fillId="35" borderId="0" xfId="0" applyFont="1" applyFill="1" applyAlignment="1">
      <alignment horizontal="center"/>
    </xf>
    <xf numFmtId="0" fontId="67" fillId="35" borderId="0" xfId="0" applyFont="1" applyFill="1" applyAlignment="1">
      <alignment horizontal="center" vertical="center"/>
    </xf>
  </cellXfs>
  <cellStyles count="62">
    <cellStyle name="20% - Accent1" xfId="39" builtinId="30" customBuiltin="1"/>
    <cellStyle name="20% - Accent2" xfId="43" builtinId="34" customBuiltin="1"/>
    <cellStyle name="20% - Accent3" xfId="47" builtinId="38" customBuiltin="1"/>
    <cellStyle name="20% - Accent4" xfId="51" builtinId="42" customBuiltin="1"/>
    <cellStyle name="20% - Accent5" xfId="55" builtinId="46" customBuiltin="1"/>
    <cellStyle name="20% - Accent6" xfId="59" builtinId="50" customBuiltin="1"/>
    <cellStyle name="40% - Accent1" xfId="40" builtinId="31" customBuiltin="1"/>
    <cellStyle name="40% - Accent2" xfId="44" builtinId="35" customBuiltin="1"/>
    <cellStyle name="40% - Accent3" xfId="48" builtinId="39" customBuiltin="1"/>
    <cellStyle name="40% - Accent4" xfId="52" builtinId="43" customBuiltin="1"/>
    <cellStyle name="40% - Accent5" xfId="56" builtinId="47" customBuiltin="1"/>
    <cellStyle name="40% - Accent6" xfId="60" builtinId="51" customBuiltin="1"/>
    <cellStyle name="60% - Accent1" xfId="41" builtinId="32" customBuiltin="1"/>
    <cellStyle name="60% - Accent2" xfId="45" builtinId="36" customBuiltin="1"/>
    <cellStyle name="60% - Accent3" xfId="49" builtinId="40" customBuiltin="1"/>
    <cellStyle name="60% - Accent4" xfId="53" builtinId="44" customBuiltin="1"/>
    <cellStyle name="60% - Accent5" xfId="57" builtinId="48" customBuiltin="1"/>
    <cellStyle name="60% - Accent6" xfId="61" builtinId="52" customBuiltin="1"/>
    <cellStyle name="Accent1" xfId="38" builtinId="29" customBuiltin="1"/>
    <cellStyle name="Accent2" xfId="42" builtinId="33" customBuiltin="1"/>
    <cellStyle name="Accent3" xfId="46" builtinId="37" customBuiltin="1"/>
    <cellStyle name="Accent4" xfId="50" builtinId="41" customBuiltin="1"/>
    <cellStyle name="Accent5" xfId="54" builtinId="45" customBuiltin="1"/>
    <cellStyle name="Accent6" xfId="58" builtinId="49" customBuiltin="1"/>
    <cellStyle name="Bad" xfId="27" builtinId="27" customBuiltin="1"/>
    <cellStyle name="Calculation" xfId="31" builtinId="22" customBuiltin="1"/>
    <cellStyle name="Check Cell" xfId="33" builtinId="23" customBuiltin="1"/>
    <cellStyle name="Currency 2" xfId="1" xr:uid="{00000000-0005-0000-0000-00001B000000}"/>
    <cellStyle name="Currency 2 2" xfId="3" xr:uid="{00000000-0005-0000-0000-00001C000000}"/>
    <cellStyle name="Currency 2 2 2" xfId="13" xr:uid="{00000000-0005-0000-0000-00001D000000}"/>
    <cellStyle name="Currency 2 3" xfId="4" xr:uid="{00000000-0005-0000-0000-00001E000000}"/>
    <cellStyle name="Currency 2 3 2" xfId="14" xr:uid="{00000000-0005-0000-0000-00001F000000}"/>
    <cellStyle name="Currency 2 4" xfId="5" xr:uid="{00000000-0005-0000-0000-000020000000}"/>
    <cellStyle name="Currency 2 4 2" xfId="15" xr:uid="{00000000-0005-0000-0000-000021000000}"/>
    <cellStyle name="Currency 3" xfId="6" xr:uid="{00000000-0005-0000-0000-000022000000}"/>
    <cellStyle name="Currency 3 2" xfId="16" xr:uid="{00000000-0005-0000-0000-000023000000}"/>
    <cellStyle name="Explanatory Text" xfId="36" builtinId="53" customBuiltin="1"/>
    <cellStyle name="Good" xfId="26" builtinId="26" customBuiltin="1"/>
    <cellStyle name="Heading 1" xfId="22" builtinId="16" customBuiltin="1"/>
    <cellStyle name="Heading 2" xfId="23" builtinId="17" customBuiltin="1"/>
    <cellStyle name="Heading 3" xfId="24" builtinId="18" customBuiltin="1"/>
    <cellStyle name="Heading 4" xfId="25" builtinId="19" customBuiltin="1"/>
    <cellStyle name="Input" xfId="29" builtinId="20" customBuiltin="1"/>
    <cellStyle name="Linked Cell" xfId="32" builtinId="24" customBuiltin="1"/>
    <cellStyle name="Neutral" xfId="28" builtinId="28" customBuiltin="1"/>
    <cellStyle name="Normal" xfId="0" builtinId="0"/>
    <cellStyle name="Normal 2" xfId="7" xr:uid="{00000000-0005-0000-0000-00002E000000}"/>
    <cellStyle name="Note" xfId="35" builtinId="10" customBuiltin="1"/>
    <cellStyle name="Output" xfId="30" builtinId="21" customBuiltin="1"/>
    <cellStyle name="Percent 2" xfId="2" xr:uid="{00000000-0005-0000-0000-000031000000}"/>
    <cellStyle name="Percent 2 2" xfId="8" xr:uid="{00000000-0005-0000-0000-000032000000}"/>
    <cellStyle name="Percent 2 2 2" xfId="17" xr:uid="{00000000-0005-0000-0000-000033000000}"/>
    <cellStyle name="Percent 2 3" xfId="9" xr:uid="{00000000-0005-0000-0000-000034000000}"/>
    <cellStyle name="Percent 2 3 2" xfId="18" xr:uid="{00000000-0005-0000-0000-000035000000}"/>
    <cellStyle name="Percent 2 4" xfId="10" xr:uid="{00000000-0005-0000-0000-000036000000}"/>
    <cellStyle name="Percent 2 4 2" xfId="19" xr:uid="{00000000-0005-0000-0000-000037000000}"/>
    <cellStyle name="Percent 3" xfId="11" xr:uid="{00000000-0005-0000-0000-000038000000}"/>
    <cellStyle name="Percent 3 2" xfId="20" xr:uid="{00000000-0005-0000-0000-000039000000}"/>
    <cellStyle name="Style 1" xfId="12" xr:uid="{00000000-0005-0000-0000-00003A000000}"/>
    <cellStyle name="Title" xfId="21" builtinId="15" customBuiltin="1"/>
    <cellStyle name="Total" xfId="37" builtinId="25" customBuiltin="1"/>
    <cellStyle name="Warning Text" xfId="34" builtinId="11" customBuiltin="1"/>
  </cellStyles>
  <dxfs count="0"/>
  <tableStyles count="0" defaultTableStyle="TableStyleMedium2" defaultPivotStyle="PivotStyleLight16"/>
  <colors>
    <mruColors>
      <color rgb="FF0055FE"/>
      <color rgb="FF006C31"/>
      <color rgb="FFCCFFCC"/>
      <color rgb="FF99FF99"/>
      <color rgb="FFE2CFF1"/>
      <color rgb="FF75DBFF"/>
      <color rgb="FFCBA9E5"/>
      <color rgb="FF6DBCD1"/>
      <color rgb="FFC9DB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9736838794456162E-2"/>
          <c:y val="0.11893574946967243"/>
          <c:w val="0.74279441105641475"/>
          <c:h val="0.7034532053356346"/>
        </c:manualLayout>
      </c:layout>
      <c:barChart>
        <c:barDir val="col"/>
        <c:grouping val="clustered"/>
        <c:varyColors val="0"/>
        <c:ser>
          <c:idx val="1"/>
          <c:order val="0"/>
          <c:tx>
            <c:v>Physical Storage</c:v>
          </c:tx>
          <c:spPr>
            <a:solidFill>
              <a:srgbClr val="FF0000">
                <a:alpha val="58000"/>
              </a:srgbClr>
            </a:solidFill>
            <a:ln>
              <a:solidFill>
                <a:schemeClr val="bg1">
                  <a:lumMod val="65000"/>
                  <a:alpha val="60000"/>
                </a:schemeClr>
              </a:solidFill>
            </a:ln>
            <a:effectLst/>
          </c:spPr>
          <c:invertIfNegative val="0"/>
          <c:val>
            <c:numRef>
              <c:f>'Storage Efficiency'!$G$8:$G$27</c:f>
              <c:numCache>
                <c:formatCode>#,##0.00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extLst>
            <c:ext xmlns:c16="http://schemas.microsoft.com/office/drawing/2014/chart" uri="{C3380CC4-5D6E-409C-BE32-E72D297353CC}">
              <c16:uniqueId val="{00000002-2A60-493B-A874-E96691BC05A6}"/>
            </c:ext>
          </c:extLst>
        </c:ser>
        <c:dLbls>
          <c:showLegendKey val="0"/>
          <c:showVal val="0"/>
          <c:showCatName val="0"/>
          <c:showSerName val="0"/>
          <c:showPercent val="0"/>
          <c:showBubbleSize val="0"/>
        </c:dLbls>
        <c:gapWidth val="0"/>
        <c:axId val="1214969279"/>
        <c:axId val="1214784351"/>
      </c:barChart>
      <c:lineChart>
        <c:grouping val="standard"/>
        <c:varyColors val="0"/>
        <c:ser>
          <c:idx val="0"/>
          <c:order val="1"/>
          <c:tx>
            <c:v>Logical Storage</c:v>
          </c:tx>
          <c:spPr>
            <a:ln w="25400" cap="rnd">
              <a:solidFill>
                <a:schemeClr val="accent1"/>
              </a:solidFill>
              <a:round/>
            </a:ln>
            <a:effectLst/>
          </c:spPr>
          <c:marker>
            <c:symbol val="none"/>
          </c:marker>
          <c:cat>
            <c:numRef>
              <c:f>'Storage Efficiency'!$B$8:$B$27</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'Storage Efficiency'!$D$8:$D$27</c:f>
              <c:numCache>
                <c:formatCode>#,##0.00</c:formatCode>
                <c:ptCount val="20"/>
                <c:pt idx="0">
                  <c:v>70</c:v>
                </c:pt>
                <c:pt idx="1">
                  <c:v>73.684210526315795</c:v>
                </c:pt>
                <c:pt idx="2">
                  <c:v>77.777777777777771</c:v>
                </c:pt>
                <c:pt idx="3">
                  <c:v>82.352941176470594</c:v>
                </c:pt>
                <c:pt idx="4">
                  <c:v>87.5</c:v>
                </c:pt>
                <c:pt idx="5">
                  <c:v>93.333333333333329</c:v>
                </c:pt>
                <c:pt idx="6">
                  <c:v>100</c:v>
                </c:pt>
                <c:pt idx="7">
                  <c:v>107.69230769230769</c:v>
                </c:pt>
                <c:pt idx="8">
                  <c:v>116.66666666666664</c:v>
                </c:pt>
                <c:pt idx="9">
                  <c:v>127.27272727272727</c:v>
                </c:pt>
                <c:pt idx="10">
                  <c:v>140</c:v>
                </c:pt>
                <c:pt idx="11">
                  <c:v>155.55555555555554</c:v>
                </c:pt>
                <c:pt idx="12">
                  <c:v>175</c:v>
                </c:pt>
                <c:pt idx="13">
                  <c:v>200</c:v>
                </c:pt>
                <c:pt idx="14">
                  <c:v>233.33333333333337</c:v>
                </c:pt>
                <c:pt idx="15">
                  <c:v>280.00000000000011</c:v>
                </c:pt>
                <c:pt idx="16">
                  <c:v>350.00000000000028</c:v>
                </c:pt>
                <c:pt idx="17">
                  <c:v>466.66666666666731</c:v>
                </c:pt>
                <c:pt idx="18">
                  <c:v>700.00000000000171</c:v>
                </c:pt>
                <c:pt idx="19">
                  <c:v>1400.0000000000082</c:v>
                </c:pt>
              </c:numCache>
            </c:numRef>
          </c:val>
          <c:smooth val="0"/>
          <c:extLst>
            <c:ext xmlns:c16="http://schemas.microsoft.com/office/drawing/2014/chart" uri="{C3380CC4-5D6E-409C-BE32-E72D297353CC}">
              <c16:uniqueId val="{00000000-2762-442D-9BA1-B44309D9D408}"/>
            </c:ext>
          </c:extLst>
        </c:ser>
        <c:dLbls>
          <c:showLegendKey val="0"/>
          <c:showVal val="0"/>
          <c:showCatName val="0"/>
          <c:showSerName val="0"/>
          <c:showPercent val="0"/>
          <c:showBubbleSize val="0"/>
        </c:dLbls>
        <c:marker val="1"/>
        <c:smooth val="0"/>
        <c:axId val="1214969279"/>
        <c:axId val="1214784351"/>
      </c:lineChart>
      <c:catAx>
        <c:axId val="1214969279"/>
        <c:scaling>
          <c:orientation val="minMax"/>
        </c:scaling>
        <c:delete val="0"/>
        <c:axPos val="b"/>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AU" sz="1050" b="1" baseline="0">
                    <a:effectLst/>
                  </a:rPr>
                  <a:t> Deduplication Rate (% Savings)</a:t>
                </a:r>
                <a:endParaRPr lang="en-AU" sz="1050" b="1">
                  <a:effectLst/>
                </a:endParaRPr>
              </a:p>
            </c:rich>
          </c:tx>
          <c:layout>
            <c:manualLayout>
              <c:xMode val="edge"/>
              <c:yMode val="edge"/>
              <c:x val="0.27994739220058124"/>
              <c:y val="0.8925196131305505"/>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784351"/>
        <c:crosses val="autoZero"/>
        <c:auto val="1"/>
        <c:lblAlgn val="ctr"/>
        <c:lblOffset val="100"/>
        <c:tickLblSkip val="2"/>
        <c:tickMarkSkip val="2"/>
        <c:noMultiLvlLbl val="0"/>
      </c:catAx>
      <c:valAx>
        <c:axId val="1214784351"/>
        <c:scaling>
          <c:orientation val="minMax"/>
        </c:scaling>
        <c:delete val="0"/>
        <c:axPos val="r"/>
        <c:majorGridlines>
          <c:spPr>
            <a:ln w="9525" cap="flat" cmpd="sng" algn="ctr">
              <a:solidFill>
                <a:schemeClr val="bg1">
                  <a:lumMod val="50000"/>
                </a:schemeClr>
              </a:solidFill>
              <a:round/>
            </a:ln>
            <a:effectLst/>
          </c:spPr>
        </c:majorGridlines>
        <c:title>
          <c:tx>
            <c:rich>
              <a:bodyPr rot="5400000" spcFirstLastPara="1" vertOverflow="ellipsis" wrap="square" anchor="ctr" anchorCtr="1"/>
              <a:lstStyle/>
              <a:p>
                <a:pPr>
                  <a:defRPr sz="1050" b="0" i="0" u="none" strike="noStrike" kern="1200" baseline="0">
                    <a:solidFill>
                      <a:schemeClr val="tx1">
                        <a:lumMod val="65000"/>
                        <a:lumOff val="35000"/>
                      </a:schemeClr>
                    </a:solidFill>
                    <a:latin typeface="+mn-lt"/>
                    <a:ea typeface="+mn-ea"/>
                    <a:cs typeface="+mn-cs"/>
                  </a:defRPr>
                </a:pPr>
                <a:r>
                  <a:rPr lang="en-AU" sz="1050" b="1" i="0">
                    <a:effectLst/>
                  </a:rPr>
                  <a:t>Maximum</a:t>
                </a:r>
                <a:r>
                  <a:rPr lang="en-AU" sz="1050" b="1" i="0" baseline="0">
                    <a:effectLst/>
                  </a:rPr>
                  <a:t>  Logical Storage (TiB)</a:t>
                </a:r>
                <a:endParaRPr lang="en-AU" sz="1050">
                  <a:effectLst/>
                </a:endParaRPr>
              </a:p>
            </c:rich>
          </c:tx>
          <c:layout>
            <c:manualLayout>
              <c:xMode val="edge"/>
              <c:yMode val="edge"/>
              <c:x val="0.91783187073465455"/>
              <c:y val="0.25957875813468523"/>
            </c:manualLayout>
          </c:layout>
          <c:overlay val="0"/>
          <c:spPr>
            <a:noFill/>
            <a:ln>
              <a:noFill/>
            </a:ln>
            <a:effectLst/>
          </c:spPr>
          <c:txPr>
            <a:bodyPr rot="5400000" spcFirstLastPara="1" vertOverflow="ellipsis"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969279"/>
        <c:crosses val="max"/>
        <c:crossBetween val="midCat"/>
      </c:valAx>
      <c:spPr>
        <a:solidFill>
          <a:srgbClr val="C5F0FF"/>
        </a:solidFill>
        <a:ln>
          <a:noFill/>
        </a:ln>
        <a:effectLst/>
      </c:spPr>
    </c:plotArea>
    <c:legend>
      <c:legendPos val="t"/>
      <c:legendEntry>
        <c:idx val="0"/>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433963597120823"/>
          <c:y val="0.14119407724615765"/>
          <c:w val="0.74629445619106383"/>
          <c:h val="0.68584742793731623"/>
        </c:manualLayout>
      </c:layout>
      <c:lineChart>
        <c:grouping val="standard"/>
        <c:varyColors val="0"/>
        <c:ser>
          <c:idx val="0"/>
          <c:order val="0"/>
          <c:spPr>
            <a:ln w="25400" cap="rnd">
              <a:solidFill>
                <a:schemeClr val="accent1"/>
              </a:solidFill>
              <a:round/>
            </a:ln>
            <a:effectLst/>
          </c:spPr>
          <c:marker>
            <c:symbol val="none"/>
          </c:marker>
          <c:cat>
            <c:numRef>
              <c:f>'Storage Efficiency'!$B$8:$B$27</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'Storage Efficiency'!$E$8:$E$27</c:f>
              <c:numCache>
                <c:formatCode>#,##0.00</c:formatCode>
                <c:ptCount val="20"/>
                <c:pt idx="0">
                  <c:v>50</c:v>
                </c:pt>
                <c:pt idx="1">
                  <c:v>47.5</c:v>
                </c:pt>
                <c:pt idx="2">
                  <c:v>45</c:v>
                </c:pt>
                <c:pt idx="3">
                  <c:v>42.5</c:v>
                </c:pt>
                <c:pt idx="4">
                  <c:v>40</c:v>
                </c:pt>
                <c:pt idx="5">
                  <c:v>37.5</c:v>
                </c:pt>
                <c:pt idx="6">
                  <c:v>35</c:v>
                </c:pt>
                <c:pt idx="7">
                  <c:v>32.5</c:v>
                </c:pt>
                <c:pt idx="8">
                  <c:v>30</c:v>
                </c:pt>
                <c:pt idx="9">
                  <c:v>27.500000000000004</c:v>
                </c:pt>
                <c:pt idx="10">
                  <c:v>25.000000000000004</c:v>
                </c:pt>
                <c:pt idx="11">
                  <c:v>22.500000000000004</c:v>
                </c:pt>
                <c:pt idx="12">
                  <c:v>20</c:v>
                </c:pt>
                <c:pt idx="13">
                  <c:v>17.5</c:v>
                </c:pt>
                <c:pt idx="14">
                  <c:v>15</c:v>
                </c:pt>
                <c:pt idx="15">
                  <c:v>12.499999999999993</c:v>
                </c:pt>
                <c:pt idx="16">
                  <c:v>9.9999999999999929</c:v>
                </c:pt>
                <c:pt idx="17">
                  <c:v>7.4999999999999929</c:v>
                </c:pt>
                <c:pt idx="18">
                  <c:v>4.9999999999999858</c:v>
                </c:pt>
                <c:pt idx="19">
                  <c:v>2.4999999999999858</c:v>
                </c:pt>
              </c:numCache>
            </c:numRef>
          </c:val>
          <c:smooth val="0"/>
          <c:extLst>
            <c:ext xmlns:c16="http://schemas.microsoft.com/office/drawing/2014/chart" uri="{C3380CC4-5D6E-409C-BE32-E72D297353CC}">
              <c16:uniqueId val="{00000000-C227-410D-851A-FDC7D0369532}"/>
            </c:ext>
          </c:extLst>
        </c:ser>
        <c:ser>
          <c:idx val="1"/>
          <c:order val="1"/>
          <c:tx>
            <c:v>Physical Storage</c:v>
          </c:tx>
          <c:spPr>
            <a:ln w="63500" cap="flat">
              <a:solidFill>
                <a:srgbClr val="C00000">
                  <a:alpha val="60000"/>
                </a:srgbClr>
              </a:solidFill>
              <a:miter lim="800000"/>
            </a:ln>
            <a:effectLst/>
          </c:spPr>
          <c:marker>
            <c:symbol val="none"/>
          </c:marker>
          <c:cat>
            <c:numRef>
              <c:f>'Storage Efficiency'!$B$8:$B$27</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'Storage Efficiency'!$G$8:$G$27</c:f>
              <c:numCache>
                <c:formatCode>#,##0.00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mooth val="0"/>
          <c:extLst>
            <c:ext xmlns:c16="http://schemas.microsoft.com/office/drawing/2014/chart" uri="{C3380CC4-5D6E-409C-BE32-E72D297353CC}">
              <c16:uniqueId val="{00000001-C227-410D-851A-FDC7D0369532}"/>
            </c:ext>
          </c:extLst>
        </c:ser>
        <c:dLbls>
          <c:showLegendKey val="0"/>
          <c:showVal val="0"/>
          <c:showCatName val="0"/>
          <c:showSerName val="0"/>
          <c:showPercent val="0"/>
          <c:showBubbleSize val="0"/>
        </c:dLbls>
        <c:smooth val="0"/>
        <c:axId val="1195765328"/>
        <c:axId val="1203237472"/>
      </c:lineChart>
      <c:catAx>
        <c:axId val="1195765328"/>
        <c:scaling>
          <c:orientation val="minMax"/>
        </c:scaling>
        <c:delete val="0"/>
        <c:axPos val="b"/>
        <c:majorGridlines>
          <c:spPr>
            <a:ln w="3175" cap="flat" cmpd="sng" algn="ctr">
              <a:solidFill>
                <a:schemeClr val="tx1"/>
              </a:solidFill>
              <a:round/>
            </a:ln>
            <a:effectLst/>
          </c:spPr>
        </c:majorGridlines>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AU" sz="1050" b="1" i="0" u="none" strike="noStrike" baseline="0">
                    <a:effectLst/>
                  </a:rPr>
                  <a:t>Deduplication Rate/Savings (%)</a:t>
                </a:r>
                <a:endParaRPr lang="en-AU" sz="1050" b="1"/>
              </a:p>
            </c:rich>
          </c:tx>
          <c:layout>
            <c:manualLayout>
              <c:xMode val="edge"/>
              <c:yMode val="edge"/>
              <c:x val="0.324619350519807"/>
              <c:y val="0.90082511032247936"/>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237472"/>
        <c:crosses val="autoZero"/>
        <c:auto val="1"/>
        <c:lblAlgn val="ctr"/>
        <c:lblOffset val="100"/>
        <c:tickLblSkip val="2"/>
        <c:tickMarkSkip val="2"/>
        <c:noMultiLvlLbl val="0"/>
      </c:catAx>
      <c:valAx>
        <c:axId val="1203237472"/>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wrap="square" anchor="ctr" anchorCtr="1"/>
              <a:lstStyle/>
              <a:p>
                <a:pPr>
                  <a:defRPr sz="1050" b="0" i="0" u="none" strike="noStrike" kern="1200" baseline="0">
                    <a:solidFill>
                      <a:schemeClr val="tx1">
                        <a:lumMod val="65000"/>
                        <a:lumOff val="35000"/>
                      </a:schemeClr>
                    </a:solidFill>
                    <a:latin typeface="+mn-lt"/>
                    <a:ea typeface="+mn-ea"/>
                    <a:cs typeface="+mn-cs"/>
                  </a:defRPr>
                </a:pPr>
                <a:r>
                  <a:rPr lang="en-AU" sz="1050" b="1" i="0">
                    <a:effectLst/>
                  </a:rPr>
                  <a:t>Physical Storage Used </a:t>
                </a:r>
                <a:r>
                  <a:rPr lang="en-AU" sz="1050" b="1" i="0" baseline="0">
                    <a:effectLst/>
                  </a:rPr>
                  <a:t>(TiB)</a:t>
                </a:r>
                <a:endParaRPr lang="en-AU" sz="1050">
                  <a:effectLst/>
                </a:endParaRPr>
              </a:p>
            </c:rich>
          </c:tx>
          <c:layout>
            <c:manualLayout>
              <c:xMode val="edge"/>
              <c:yMode val="edge"/>
              <c:x val="1.6311805183465082E-2"/>
              <c:y val="0.30721366060082389"/>
            </c:manualLayout>
          </c:layout>
          <c:overlay val="0"/>
          <c:spPr>
            <a:noFill/>
            <a:ln>
              <a:noFill/>
            </a:ln>
            <a:effectLst/>
          </c:spPr>
          <c:txPr>
            <a:bodyPr rot="5400000" spcFirstLastPara="1" vertOverflow="ellipsis"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765328"/>
        <c:crosses val="autoZero"/>
        <c:crossBetween val="midCat"/>
      </c:valAx>
      <c:spPr>
        <a:solidFill>
          <a:schemeClr val="accent4">
            <a:lumMod val="20000"/>
            <a:lumOff val="80000"/>
          </a:schemeClr>
        </a:solidFill>
        <a:ln>
          <a:solidFill>
            <a:schemeClr val="tx1"/>
          </a:solidFill>
        </a:ln>
        <a:effectLst>
          <a:softEdge rad="0"/>
        </a:effectLst>
      </c:spPr>
    </c:plotArea>
    <c:legend>
      <c:legendPos val="t"/>
      <c:legendEntry>
        <c:idx val="0"/>
        <c:delete val="1"/>
      </c:legendEntry>
      <c:layout>
        <c:manualLayout>
          <c:xMode val="edge"/>
          <c:yMode val="edge"/>
          <c:x val="0.34858425547586064"/>
          <c:y val="5.1141537801305058E-2"/>
          <c:w val="0.28182777450510793"/>
          <c:h val="6.164424933829523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933968164892529"/>
          <c:y val="0.14119407724615765"/>
          <c:w val="0.79687003489819896"/>
          <c:h val="0.70411226286635376"/>
        </c:manualLayout>
      </c:layout>
      <c:lineChart>
        <c:grouping val="standard"/>
        <c:varyColors val="0"/>
        <c:ser>
          <c:idx val="0"/>
          <c:order val="0"/>
          <c:spPr>
            <a:ln w="25400" cap="rnd">
              <a:solidFill>
                <a:schemeClr val="accent1"/>
              </a:solidFill>
              <a:round/>
            </a:ln>
            <a:effectLst/>
          </c:spPr>
          <c:marker>
            <c:symbol val="none"/>
          </c:marker>
          <c:cat>
            <c:numRef>
              <c:f>'Storage Efficiency'!$B$8:$B$27</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'Storage Efficiency'!$E$8:$E$27</c:f>
              <c:numCache>
                <c:formatCode>#,##0.00</c:formatCode>
                <c:ptCount val="20"/>
                <c:pt idx="0">
                  <c:v>50</c:v>
                </c:pt>
                <c:pt idx="1">
                  <c:v>47.5</c:v>
                </c:pt>
                <c:pt idx="2">
                  <c:v>45</c:v>
                </c:pt>
                <c:pt idx="3">
                  <c:v>42.5</c:v>
                </c:pt>
                <c:pt idx="4">
                  <c:v>40</c:v>
                </c:pt>
                <c:pt idx="5">
                  <c:v>37.5</c:v>
                </c:pt>
                <c:pt idx="6">
                  <c:v>35</c:v>
                </c:pt>
                <c:pt idx="7">
                  <c:v>32.5</c:v>
                </c:pt>
                <c:pt idx="8">
                  <c:v>30</c:v>
                </c:pt>
                <c:pt idx="9">
                  <c:v>27.500000000000004</c:v>
                </c:pt>
                <c:pt idx="10">
                  <c:v>25.000000000000004</c:v>
                </c:pt>
                <c:pt idx="11">
                  <c:v>22.500000000000004</c:v>
                </c:pt>
                <c:pt idx="12">
                  <c:v>20</c:v>
                </c:pt>
                <c:pt idx="13">
                  <c:v>17.5</c:v>
                </c:pt>
                <c:pt idx="14">
                  <c:v>15</c:v>
                </c:pt>
                <c:pt idx="15">
                  <c:v>12.499999999999993</c:v>
                </c:pt>
                <c:pt idx="16">
                  <c:v>9.9999999999999929</c:v>
                </c:pt>
                <c:pt idx="17">
                  <c:v>7.4999999999999929</c:v>
                </c:pt>
                <c:pt idx="18">
                  <c:v>4.9999999999999858</c:v>
                </c:pt>
                <c:pt idx="19">
                  <c:v>2.4999999999999858</c:v>
                </c:pt>
              </c:numCache>
            </c:numRef>
          </c:val>
          <c:smooth val="0"/>
          <c:extLst>
            <c:ext xmlns:c16="http://schemas.microsoft.com/office/drawing/2014/chart" uri="{C3380CC4-5D6E-409C-BE32-E72D297353CC}">
              <c16:uniqueId val="{00000000-E94D-474E-9ECF-03A5FF83AAD1}"/>
            </c:ext>
          </c:extLst>
        </c:ser>
        <c:ser>
          <c:idx val="1"/>
          <c:order val="1"/>
          <c:tx>
            <c:v>Physical Storage</c:v>
          </c:tx>
          <c:spPr>
            <a:ln w="38100" cap="flat">
              <a:solidFill>
                <a:srgbClr val="C00000">
                  <a:alpha val="60000"/>
                </a:srgbClr>
              </a:solidFill>
              <a:miter lim="800000"/>
            </a:ln>
            <a:effectLst/>
          </c:spPr>
          <c:marker>
            <c:symbol val="none"/>
          </c:marker>
          <c:cat>
            <c:numRef>
              <c:f>'Storage Efficiency'!$B$8:$B$27</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'Storage Efficiency'!$G$8:$G$27</c:f>
              <c:numCache>
                <c:formatCode>#,##0.00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smooth val="0"/>
          <c:extLst>
            <c:ext xmlns:c16="http://schemas.microsoft.com/office/drawing/2014/chart" uri="{C3380CC4-5D6E-409C-BE32-E72D297353CC}">
              <c16:uniqueId val="{00000000-7DC2-48F4-B71F-2C1655A79BB2}"/>
            </c:ext>
          </c:extLst>
        </c:ser>
        <c:dLbls>
          <c:showLegendKey val="0"/>
          <c:showVal val="0"/>
          <c:showCatName val="0"/>
          <c:showSerName val="0"/>
          <c:showPercent val="0"/>
          <c:showBubbleSize val="0"/>
        </c:dLbls>
        <c:smooth val="0"/>
        <c:axId val="1195765328"/>
        <c:axId val="1203237472"/>
      </c:lineChart>
      <c:catAx>
        <c:axId val="1195765328"/>
        <c:scaling>
          <c:orientation val="minMax"/>
        </c:scaling>
        <c:delete val="0"/>
        <c:axPos val="b"/>
        <c:majorGridlines>
          <c:spPr>
            <a:ln w="3175" cap="flat" cmpd="sng" algn="ctr">
              <a:solidFill>
                <a:schemeClr val="tx1"/>
              </a:solidFill>
              <a:round/>
            </a:ln>
            <a:effectLst/>
          </c:spPr>
        </c:majorGridlines>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AU" sz="1050" b="1" i="0" u="none" strike="noStrike" baseline="0">
                    <a:effectLst/>
                  </a:rPr>
                  <a:t>Deduplication Rate (% Savings)</a:t>
                </a:r>
                <a:endParaRPr lang="en-AU" sz="1050" b="1"/>
              </a:p>
            </c:rich>
          </c:tx>
          <c:layout>
            <c:manualLayout>
              <c:xMode val="edge"/>
              <c:yMode val="edge"/>
              <c:x val="0.32461942257217846"/>
              <c:y val="0.91543697826570936"/>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237472"/>
        <c:crosses val="autoZero"/>
        <c:auto val="1"/>
        <c:lblAlgn val="ctr"/>
        <c:lblOffset val="100"/>
        <c:tickLblSkip val="2"/>
        <c:tickMarkSkip val="2"/>
        <c:noMultiLvlLbl val="0"/>
      </c:catAx>
      <c:valAx>
        <c:axId val="1203237472"/>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wrap="square" anchor="ctr" anchorCtr="1"/>
              <a:lstStyle/>
              <a:p>
                <a:pPr>
                  <a:defRPr sz="1050" b="0" i="0" u="none" strike="noStrike" kern="1200" baseline="0">
                    <a:solidFill>
                      <a:schemeClr val="tx1">
                        <a:lumMod val="65000"/>
                        <a:lumOff val="35000"/>
                      </a:schemeClr>
                    </a:solidFill>
                    <a:latin typeface="+mn-lt"/>
                    <a:ea typeface="+mn-ea"/>
                    <a:cs typeface="+mn-cs"/>
                  </a:defRPr>
                </a:pPr>
                <a:r>
                  <a:rPr lang="en-AU" sz="1050" b="1" i="0">
                    <a:effectLst/>
                  </a:rPr>
                  <a:t>Physical Storage Used </a:t>
                </a:r>
                <a:r>
                  <a:rPr lang="en-AU" sz="1050" b="1" i="0" baseline="0">
                    <a:effectLst/>
                  </a:rPr>
                  <a:t>(TiB)</a:t>
                </a:r>
                <a:endParaRPr lang="en-AU" sz="1050">
                  <a:effectLst/>
                </a:endParaRPr>
              </a:p>
            </c:rich>
          </c:tx>
          <c:layout>
            <c:manualLayout>
              <c:xMode val="edge"/>
              <c:yMode val="edge"/>
              <c:x val="1.6311805183465082E-2"/>
              <c:y val="0.30721366060082389"/>
            </c:manualLayout>
          </c:layout>
          <c:overlay val="0"/>
          <c:spPr>
            <a:noFill/>
            <a:ln>
              <a:noFill/>
            </a:ln>
            <a:effectLst/>
          </c:spPr>
          <c:txPr>
            <a:bodyPr rot="5400000" spcFirstLastPara="1" vertOverflow="ellipsis"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765328"/>
        <c:crosses val="autoZero"/>
        <c:crossBetween val="midCat"/>
      </c:valAx>
      <c:spPr>
        <a:solidFill>
          <a:schemeClr val="accent4">
            <a:lumMod val="20000"/>
            <a:lumOff val="80000"/>
          </a:schemeClr>
        </a:solidFill>
        <a:ln>
          <a:solidFill>
            <a:schemeClr val="tx1"/>
          </a:solidFill>
        </a:ln>
        <a:effectLst>
          <a:softEdge rad="0"/>
        </a:effectLst>
      </c:spPr>
    </c:plotArea>
    <c:legend>
      <c:legendPos val="t"/>
      <c:legendEntry>
        <c:idx val="0"/>
        <c:delete val="1"/>
      </c:legendEntry>
      <c:layout>
        <c:manualLayout>
          <c:xMode val="edge"/>
          <c:yMode val="edge"/>
          <c:x val="0.34858425547586064"/>
          <c:y val="5.1141537801305058E-2"/>
          <c:w val="0.28182777450510793"/>
          <c:h val="6.164424933829523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409223780398553E-2"/>
          <c:y val="0.10768613708809185"/>
          <c:w val="0.78703178497783111"/>
          <c:h val="0.76222886258955902"/>
        </c:manualLayout>
      </c:layout>
      <c:lineChart>
        <c:grouping val="standard"/>
        <c:varyColors val="0"/>
        <c:ser>
          <c:idx val="0"/>
          <c:order val="0"/>
          <c:tx>
            <c:v>Usable</c:v>
          </c:tx>
          <c:spPr>
            <a:ln w="25400" cap="rnd">
              <a:solidFill>
                <a:schemeClr val="tx1"/>
              </a:solidFill>
              <a:prstDash val="solid"/>
              <a:round/>
            </a:ln>
            <a:effectLst/>
          </c:spPr>
          <c:marker>
            <c:symbol val="none"/>
          </c:marker>
          <c:cat>
            <c:numRef>
              <c:f>'Transmission Efficiency'!$B$12:$B$31</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'Transmission Efficiency'!$N$12:$N$31</c:f>
              <c:numCache>
                <c:formatCode>0.00</c:formatCode>
                <c:ptCount val="20"/>
                <c:pt idx="0">
                  <c:v>7.03125</c:v>
                </c:pt>
                <c:pt idx="1">
                  <c:v>7.4013157894736841</c:v>
                </c:pt>
                <c:pt idx="2">
                  <c:v>7.8125</c:v>
                </c:pt>
                <c:pt idx="3">
                  <c:v>8.2720588235294112</c:v>
                </c:pt>
                <c:pt idx="4">
                  <c:v>8.7890625</c:v>
                </c:pt>
                <c:pt idx="5">
                  <c:v>9.375</c:v>
                </c:pt>
                <c:pt idx="6">
                  <c:v>10.044642857142858</c:v>
                </c:pt>
                <c:pt idx="7">
                  <c:v>10.817307692307693</c:v>
                </c:pt>
                <c:pt idx="8">
                  <c:v>11.71875</c:v>
                </c:pt>
                <c:pt idx="9">
                  <c:v>12.78409090909091</c:v>
                </c:pt>
                <c:pt idx="10">
                  <c:v>14.0625</c:v>
                </c:pt>
                <c:pt idx="11">
                  <c:v>15.624999999999998</c:v>
                </c:pt>
                <c:pt idx="12">
                  <c:v>17.578125</c:v>
                </c:pt>
                <c:pt idx="13">
                  <c:v>20.089285714285715</c:v>
                </c:pt>
                <c:pt idx="14">
                  <c:v>23.437500000000004</c:v>
                </c:pt>
                <c:pt idx="15">
                  <c:v>28.125000000000014</c:v>
                </c:pt>
                <c:pt idx="16">
                  <c:v>35.156250000000021</c:v>
                </c:pt>
                <c:pt idx="17">
                  <c:v>46.875000000000064</c:v>
                </c:pt>
                <c:pt idx="18">
                  <c:v>70.312500000000171</c:v>
                </c:pt>
                <c:pt idx="19">
                  <c:v>140.6250000000008</c:v>
                </c:pt>
              </c:numCache>
            </c:numRef>
          </c:val>
          <c:smooth val="0"/>
          <c:extLst>
            <c:ext xmlns:c16="http://schemas.microsoft.com/office/drawing/2014/chart" uri="{C3380CC4-5D6E-409C-BE32-E72D297353CC}">
              <c16:uniqueId val="{00000000-ACEB-481C-95CA-152112FB5637}"/>
            </c:ext>
          </c:extLst>
        </c:ser>
        <c:ser>
          <c:idx val="1"/>
          <c:order val="1"/>
          <c:tx>
            <c:v>Physical</c:v>
          </c:tx>
          <c:spPr>
            <a:ln w="25400" cap="rnd">
              <a:solidFill>
                <a:schemeClr val="tx1"/>
              </a:solidFill>
              <a:prstDash val="sysDash"/>
              <a:round/>
            </a:ln>
            <a:effectLst/>
          </c:spPr>
          <c:marker>
            <c:symbol val="none"/>
          </c:marker>
          <c:cat>
            <c:numRef>
              <c:f>'Transmission Efficiency'!$B$12:$B$31</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'Transmission Efficiency'!$H$12:$H$31</c:f>
              <c:numCache>
                <c:formatCode>#,##0.00</c:formatCode>
                <c:ptCount val="20"/>
                <c:pt idx="0">
                  <c:v>52.734375</c:v>
                </c:pt>
                <c:pt idx="1">
                  <c:v>55.509868421052637</c:v>
                </c:pt>
                <c:pt idx="2">
                  <c:v>58.59375</c:v>
                </c:pt>
                <c:pt idx="3">
                  <c:v>62.040441176470594</c:v>
                </c:pt>
                <c:pt idx="4">
                  <c:v>65.91796875</c:v>
                </c:pt>
                <c:pt idx="5">
                  <c:v>70.3125</c:v>
                </c:pt>
                <c:pt idx="6">
                  <c:v>75.334821428571445</c:v>
                </c:pt>
                <c:pt idx="7">
                  <c:v>81.129807692307693</c:v>
                </c:pt>
                <c:pt idx="8">
                  <c:v>87.890624999999986</c:v>
                </c:pt>
                <c:pt idx="9">
                  <c:v>95.880681818181813</c:v>
                </c:pt>
                <c:pt idx="10">
                  <c:v>105.46875</c:v>
                </c:pt>
                <c:pt idx="11">
                  <c:v>117.18749999999997</c:v>
                </c:pt>
                <c:pt idx="12">
                  <c:v>131.8359375</c:v>
                </c:pt>
                <c:pt idx="13">
                  <c:v>150.66964285714289</c:v>
                </c:pt>
                <c:pt idx="14">
                  <c:v>175.78125000000006</c:v>
                </c:pt>
                <c:pt idx="15">
                  <c:v>210.93750000000009</c:v>
                </c:pt>
                <c:pt idx="16">
                  <c:v>263.67187500000017</c:v>
                </c:pt>
                <c:pt idx="17">
                  <c:v>351.56250000000045</c:v>
                </c:pt>
                <c:pt idx="18">
                  <c:v>527.34375000000125</c:v>
                </c:pt>
                <c:pt idx="19">
                  <c:v>1054.6875000000061</c:v>
                </c:pt>
              </c:numCache>
            </c:numRef>
          </c:val>
          <c:smooth val="0"/>
          <c:extLst>
            <c:ext xmlns:c16="http://schemas.microsoft.com/office/drawing/2014/chart" uri="{C3380CC4-5D6E-409C-BE32-E72D297353CC}">
              <c16:uniqueId val="{00000001-ACEB-481C-95CA-152112FB5637}"/>
            </c:ext>
          </c:extLst>
        </c:ser>
        <c:ser>
          <c:idx val="2"/>
          <c:order val="2"/>
          <c:tx>
            <c:v>Throttle</c:v>
          </c:tx>
          <c:spPr>
            <a:ln w="25400" cap="rnd">
              <a:solidFill>
                <a:srgbClr val="00B050"/>
              </a:solidFill>
              <a:round/>
            </a:ln>
            <a:effectLst/>
          </c:spPr>
          <c:marker>
            <c:symbol val="none"/>
          </c:marker>
          <c:cat>
            <c:numRef>
              <c:f>'Transmission Efficiency'!$B$12:$B$31</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'Transmission Efficiency'!$I$12:$I$31</c:f>
              <c:numCache>
                <c:formatCode>#,##0.00</c:formatCode>
                <c:ptCount val="20"/>
                <c:pt idx="0">
                  <c:v>26.3671875</c:v>
                </c:pt>
                <c:pt idx="1">
                  <c:v>27.754934210526319</c:v>
                </c:pt>
                <c:pt idx="2">
                  <c:v>29.296875</c:v>
                </c:pt>
                <c:pt idx="3">
                  <c:v>31.020220588235297</c:v>
                </c:pt>
                <c:pt idx="4">
                  <c:v>32.958984375</c:v>
                </c:pt>
                <c:pt idx="5">
                  <c:v>35.15625</c:v>
                </c:pt>
                <c:pt idx="6">
                  <c:v>37.667410714285722</c:v>
                </c:pt>
                <c:pt idx="7">
                  <c:v>40.564903846153847</c:v>
                </c:pt>
                <c:pt idx="8">
                  <c:v>43.945312499999993</c:v>
                </c:pt>
                <c:pt idx="9">
                  <c:v>47.940340909090907</c:v>
                </c:pt>
                <c:pt idx="10">
                  <c:v>52.734375</c:v>
                </c:pt>
                <c:pt idx="11">
                  <c:v>58.593749999999986</c:v>
                </c:pt>
                <c:pt idx="12">
                  <c:v>65.91796875</c:v>
                </c:pt>
                <c:pt idx="13">
                  <c:v>75.334821428571445</c:v>
                </c:pt>
                <c:pt idx="14">
                  <c:v>87.890625000000028</c:v>
                </c:pt>
                <c:pt idx="15">
                  <c:v>105.46875000000004</c:v>
                </c:pt>
                <c:pt idx="16">
                  <c:v>131.83593750000009</c:v>
                </c:pt>
                <c:pt idx="17">
                  <c:v>175.78125000000023</c:v>
                </c:pt>
                <c:pt idx="18">
                  <c:v>263.67187500000063</c:v>
                </c:pt>
                <c:pt idx="19">
                  <c:v>527.34375000000307</c:v>
                </c:pt>
              </c:numCache>
            </c:numRef>
          </c:val>
          <c:smooth val="0"/>
          <c:extLst>
            <c:ext xmlns:c16="http://schemas.microsoft.com/office/drawing/2014/chart" uri="{C3380CC4-5D6E-409C-BE32-E72D297353CC}">
              <c16:uniqueId val="{00000002-ACEB-481C-95CA-152112FB5637}"/>
            </c:ext>
          </c:extLst>
        </c:ser>
        <c:ser>
          <c:idx val="3"/>
          <c:order val="3"/>
          <c:tx>
            <c:v>Throttle + Efficiency</c:v>
          </c:tx>
          <c:spPr>
            <a:ln w="25400" cap="rnd">
              <a:solidFill>
                <a:srgbClr val="00B050"/>
              </a:solidFill>
              <a:prstDash val="sysDot"/>
              <a:round/>
            </a:ln>
            <a:effectLst/>
          </c:spPr>
          <c:marker>
            <c:symbol val="none"/>
          </c:marker>
          <c:cat>
            <c:numRef>
              <c:f>'Transmission Efficiency'!$B$12:$B$31</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'Transmission Efficiency'!$O$12:$O$31</c:f>
              <c:numCache>
                <c:formatCode>0.00</c:formatCode>
                <c:ptCount val="20"/>
                <c:pt idx="0">
                  <c:v>3.515625</c:v>
                </c:pt>
                <c:pt idx="1">
                  <c:v>3.700657894736842</c:v>
                </c:pt>
                <c:pt idx="2">
                  <c:v>3.90625</c:v>
                </c:pt>
                <c:pt idx="3">
                  <c:v>4.1360294117647056</c:v>
                </c:pt>
                <c:pt idx="4">
                  <c:v>4.39453125</c:v>
                </c:pt>
                <c:pt idx="5">
                  <c:v>4.6875</c:v>
                </c:pt>
                <c:pt idx="6">
                  <c:v>5.0223214285714288</c:v>
                </c:pt>
                <c:pt idx="7">
                  <c:v>5.4086538461538467</c:v>
                </c:pt>
                <c:pt idx="8">
                  <c:v>5.859375</c:v>
                </c:pt>
                <c:pt idx="9">
                  <c:v>6.392045454545455</c:v>
                </c:pt>
                <c:pt idx="10">
                  <c:v>7.03125</c:v>
                </c:pt>
                <c:pt idx="11">
                  <c:v>7.8124999999999991</c:v>
                </c:pt>
                <c:pt idx="12">
                  <c:v>8.7890625</c:v>
                </c:pt>
                <c:pt idx="13">
                  <c:v>10.044642857142858</c:v>
                </c:pt>
                <c:pt idx="14">
                  <c:v>11.718750000000002</c:v>
                </c:pt>
                <c:pt idx="15">
                  <c:v>14.062500000000007</c:v>
                </c:pt>
                <c:pt idx="16">
                  <c:v>17.578125000000011</c:v>
                </c:pt>
                <c:pt idx="17">
                  <c:v>23.437500000000032</c:v>
                </c:pt>
                <c:pt idx="18">
                  <c:v>35.156250000000085</c:v>
                </c:pt>
                <c:pt idx="19">
                  <c:v>70.312500000000398</c:v>
                </c:pt>
              </c:numCache>
            </c:numRef>
          </c:val>
          <c:smooth val="0"/>
          <c:extLst>
            <c:ext xmlns:c16="http://schemas.microsoft.com/office/drawing/2014/chart" uri="{C3380CC4-5D6E-409C-BE32-E72D297353CC}">
              <c16:uniqueId val="{00000003-ACEB-481C-95CA-152112FB5637}"/>
            </c:ext>
          </c:extLst>
        </c:ser>
        <c:dLbls>
          <c:showLegendKey val="0"/>
          <c:showVal val="0"/>
          <c:showCatName val="0"/>
          <c:showSerName val="0"/>
          <c:showPercent val="0"/>
          <c:showBubbleSize val="0"/>
        </c:dLbls>
        <c:smooth val="0"/>
        <c:axId val="1214969279"/>
        <c:axId val="1214784351"/>
      </c:lineChart>
      <c:catAx>
        <c:axId val="12149692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Deduplication Rate</a:t>
                </a:r>
              </a:p>
            </c:rich>
          </c:tx>
          <c:layout>
            <c:manualLayout>
              <c:xMode val="edge"/>
              <c:yMode val="edge"/>
              <c:x val="0.30049705822453293"/>
              <c:y val="0.9389888328302126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784351"/>
        <c:crosses val="autoZero"/>
        <c:auto val="1"/>
        <c:lblAlgn val="ctr"/>
        <c:lblOffset val="100"/>
        <c:tickLblSkip val="2"/>
        <c:tickMarkSkip val="2"/>
        <c:noMultiLvlLbl val="0"/>
      </c:catAx>
      <c:valAx>
        <c:axId val="1214784351"/>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TiB</a:t>
                </a:r>
              </a:p>
            </c:rich>
          </c:tx>
          <c:layout>
            <c:manualLayout>
              <c:xMode val="edge"/>
              <c:yMode val="edge"/>
              <c:x val="0.91371273106418804"/>
              <c:y val="0.47365217432334872"/>
            </c:manualLayout>
          </c:layout>
          <c:overlay val="0"/>
          <c:spPr>
            <a:noFill/>
            <a:ln>
              <a:noFill/>
            </a:ln>
            <a:effectLst/>
          </c:spPr>
          <c:txPr>
            <a:bodyPr rot="0" spcFirstLastPara="1" vertOverflow="ellipsis"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969279"/>
        <c:crosses val="max"/>
        <c:crossBetween val="midCat"/>
      </c:valAx>
      <c:spPr>
        <a:solidFill>
          <a:srgbClr val="CEFED3"/>
        </a:solidFill>
        <a:ln>
          <a:noFill/>
        </a:ln>
        <a:effectLst/>
      </c:spPr>
    </c:plotArea>
    <c:legend>
      <c:legendPos val="t"/>
      <c:layout>
        <c:manualLayout>
          <c:xMode val="edge"/>
          <c:yMode val="edge"/>
          <c:x val="2.7085489549011965E-2"/>
          <c:y val="3.2171581769436998E-2"/>
          <c:w val="0.899999932339277"/>
          <c:h val="6.032213801693019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441330320170822E-2"/>
          <c:y val="7.6578893467243531E-2"/>
          <c:w val="0.79181189854619682"/>
          <c:h val="0.78214428339468534"/>
        </c:manualLayout>
      </c:layout>
      <c:lineChart>
        <c:grouping val="standard"/>
        <c:varyColors val="0"/>
        <c:ser>
          <c:idx val="0"/>
          <c:order val="0"/>
          <c:tx>
            <c:v>Usable</c:v>
          </c:tx>
          <c:spPr>
            <a:ln w="28575" cap="rnd">
              <a:solidFill>
                <a:schemeClr val="tx1"/>
              </a:solidFill>
              <a:round/>
            </a:ln>
            <a:effectLst/>
          </c:spPr>
          <c:marker>
            <c:symbol val="none"/>
          </c:marker>
          <c:cat>
            <c:numRef>
              <c:f>'Transmission Efficiency'!$B$12:$B$31</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'Transmission Efficiency'!$L$12:$L$31</c:f>
              <c:numCache>
                <c:formatCode>0.00</c:formatCode>
                <c:ptCount val="20"/>
                <c:pt idx="0">
                  <c:v>1.1377777777777778</c:v>
                </c:pt>
                <c:pt idx="1">
                  <c:v>1.080888888888889</c:v>
                </c:pt>
                <c:pt idx="2">
                  <c:v>1.0239999999999998</c:v>
                </c:pt>
                <c:pt idx="3">
                  <c:v>0.96711111111111103</c:v>
                </c:pt>
                <c:pt idx="4">
                  <c:v>0.91022222222222227</c:v>
                </c:pt>
                <c:pt idx="5">
                  <c:v>0.85333333333333339</c:v>
                </c:pt>
                <c:pt idx="6">
                  <c:v>0.7964444444444444</c:v>
                </c:pt>
                <c:pt idx="7">
                  <c:v>0.73955555555555563</c:v>
                </c:pt>
                <c:pt idx="8">
                  <c:v>0.68266666666666675</c:v>
                </c:pt>
                <c:pt idx="9">
                  <c:v>0.62577777777777788</c:v>
                </c:pt>
                <c:pt idx="10">
                  <c:v>0.56888888888888889</c:v>
                </c:pt>
                <c:pt idx="11">
                  <c:v>0.51200000000000012</c:v>
                </c:pt>
                <c:pt idx="12">
                  <c:v>0.45511111111111113</c:v>
                </c:pt>
                <c:pt idx="13">
                  <c:v>0.3982222222222222</c:v>
                </c:pt>
                <c:pt idx="14">
                  <c:v>0.34133333333333327</c:v>
                </c:pt>
                <c:pt idx="15">
                  <c:v>0.28444444444444433</c:v>
                </c:pt>
                <c:pt idx="16">
                  <c:v>0.22755555555555537</c:v>
                </c:pt>
                <c:pt idx="17">
                  <c:v>0.17066666666666644</c:v>
                </c:pt>
                <c:pt idx="18">
                  <c:v>0.11377777777777751</c:v>
                </c:pt>
                <c:pt idx="19">
                  <c:v>5.6888888888888565E-2</c:v>
                </c:pt>
              </c:numCache>
            </c:numRef>
          </c:val>
          <c:smooth val="0"/>
          <c:extLst>
            <c:ext xmlns:c16="http://schemas.microsoft.com/office/drawing/2014/chart" uri="{C3380CC4-5D6E-409C-BE32-E72D297353CC}">
              <c16:uniqueId val="{00000001-6236-46DB-8D55-8B8376F0C49D}"/>
            </c:ext>
          </c:extLst>
        </c:ser>
        <c:ser>
          <c:idx val="1"/>
          <c:order val="1"/>
          <c:tx>
            <c:v>Physical</c:v>
          </c:tx>
          <c:spPr>
            <a:ln w="28575" cap="rnd">
              <a:solidFill>
                <a:schemeClr val="tx1"/>
              </a:solidFill>
              <a:prstDash val="sysDash"/>
              <a:round/>
            </a:ln>
            <a:effectLst/>
          </c:spPr>
          <c:marker>
            <c:symbol val="none"/>
          </c:marker>
          <c:cat>
            <c:numRef>
              <c:f>'Transmission Efficiency'!$B$12:$B$31</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'Transmission Efficiency'!$F$12:$F$31</c:f>
              <c:numCache>
                <c:formatCode>#,##0.0</c:formatCode>
                <c:ptCount val="20"/>
                <c:pt idx="0">
                  <c:v>0.91022222222222227</c:v>
                </c:pt>
                <c:pt idx="1">
                  <c:v>0.86471111111111099</c:v>
                </c:pt>
                <c:pt idx="2">
                  <c:v>0.81919999999999993</c:v>
                </c:pt>
                <c:pt idx="3">
                  <c:v>0.77368888888888887</c:v>
                </c:pt>
                <c:pt idx="4">
                  <c:v>0.72817777777777781</c:v>
                </c:pt>
                <c:pt idx="5">
                  <c:v>0.68266666666666664</c:v>
                </c:pt>
                <c:pt idx="6">
                  <c:v>0.63715555555555548</c:v>
                </c:pt>
                <c:pt idx="7">
                  <c:v>0.59164444444444442</c:v>
                </c:pt>
                <c:pt idx="8">
                  <c:v>0.54613333333333347</c:v>
                </c:pt>
                <c:pt idx="9">
                  <c:v>0.5006222222222223</c:v>
                </c:pt>
                <c:pt idx="10">
                  <c:v>0.45511111111111113</c:v>
                </c:pt>
                <c:pt idx="11">
                  <c:v>0.40960000000000013</c:v>
                </c:pt>
                <c:pt idx="12">
                  <c:v>0.36408888888888891</c:v>
                </c:pt>
                <c:pt idx="13">
                  <c:v>0.31857777777777774</c:v>
                </c:pt>
                <c:pt idx="14">
                  <c:v>0.27306666666666657</c:v>
                </c:pt>
                <c:pt idx="15">
                  <c:v>0.22755555555555548</c:v>
                </c:pt>
                <c:pt idx="16">
                  <c:v>0.18204444444444431</c:v>
                </c:pt>
                <c:pt idx="17">
                  <c:v>0.13653333333333315</c:v>
                </c:pt>
                <c:pt idx="18">
                  <c:v>9.1022222222222005E-2</c:v>
                </c:pt>
                <c:pt idx="19">
                  <c:v>4.5511111111110843E-2</c:v>
                </c:pt>
              </c:numCache>
            </c:numRef>
          </c:val>
          <c:smooth val="0"/>
          <c:extLst>
            <c:ext xmlns:c16="http://schemas.microsoft.com/office/drawing/2014/chart" uri="{C3380CC4-5D6E-409C-BE32-E72D297353CC}">
              <c16:uniqueId val="{00000002-6236-46DB-8D55-8B8376F0C49D}"/>
            </c:ext>
          </c:extLst>
        </c:ser>
        <c:ser>
          <c:idx val="2"/>
          <c:order val="2"/>
          <c:tx>
            <c:v>Throttle</c:v>
          </c:tx>
          <c:spPr>
            <a:ln w="28575" cap="rnd">
              <a:solidFill>
                <a:schemeClr val="accent6">
                  <a:lumMod val="75000"/>
                </a:schemeClr>
              </a:solidFill>
              <a:round/>
            </a:ln>
            <a:effectLst/>
          </c:spPr>
          <c:marker>
            <c:symbol val="none"/>
          </c:marker>
          <c:cat>
            <c:numRef>
              <c:f>'Transmission Efficiency'!$B$12:$B$31</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'Transmission Efficiency'!$G$12:$G$31</c:f>
              <c:numCache>
                <c:formatCode>#,##0.0</c:formatCode>
                <c:ptCount val="20"/>
                <c:pt idx="0">
                  <c:v>1.8204444444444445</c:v>
                </c:pt>
                <c:pt idx="1">
                  <c:v>1.729422222222222</c:v>
                </c:pt>
                <c:pt idx="2">
                  <c:v>1.6383999999999999</c:v>
                </c:pt>
                <c:pt idx="3">
                  <c:v>1.5473777777777777</c:v>
                </c:pt>
                <c:pt idx="4">
                  <c:v>1.4563555555555556</c:v>
                </c:pt>
                <c:pt idx="5">
                  <c:v>1.3653333333333333</c:v>
                </c:pt>
                <c:pt idx="6">
                  <c:v>1.274311111111111</c:v>
                </c:pt>
                <c:pt idx="7">
                  <c:v>1.1832888888888888</c:v>
                </c:pt>
                <c:pt idx="8">
                  <c:v>1.0922666666666669</c:v>
                </c:pt>
                <c:pt idx="9">
                  <c:v>1.0012444444444446</c:v>
                </c:pt>
                <c:pt idx="10">
                  <c:v>0.91022222222222227</c:v>
                </c:pt>
                <c:pt idx="11">
                  <c:v>0.81920000000000026</c:v>
                </c:pt>
                <c:pt idx="12">
                  <c:v>0.72817777777777781</c:v>
                </c:pt>
                <c:pt idx="13">
                  <c:v>0.63715555555555548</c:v>
                </c:pt>
                <c:pt idx="14">
                  <c:v>0.54613333333333314</c:v>
                </c:pt>
                <c:pt idx="15">
                  <c:v>0.45511111111111097</c:v>
                </c:pt>
                <c:pt idx="16">
                  <c:v>0.36408888888888863</c:v>
                </c:pt>
                <c:pt idx="17">
                  <c:v>0.27306666666666629</c:v>
                </c:pt>
                <c:pt idx="18">
                  <c:v>0.18204444444444401</c:v>
                </c:pt>
                <c:pt idx="19">
                  <c:v>9.1022222222221685E-2</c:v>
                </c:pt>
              </c:numCache>
            </c:numRef>
          </c:val>
          <c:smooth val="0"/>
          <c:extLst>
            <c:ext xmlns:c16="http://schemas.microsoft.com/office/drawing/2014/chart" uri="{C3380CC4-5D6E-409C-BE32-E72D297353CC}">
              <c16:uniqueId val="{00000003-6236-46DB-8D55-8B8376F0C49D}"/>
            </c:ext>
          </c:extLst>
        </c:ser>
        <c:ser>
          <c:idx val="3"/>
          <c:order val="3"/>
          <c:tx>
            <c:v>Throttle + Efficiency</c:v>
          </c:tx>
          <c:spPr>
            <a:ln w="19050" cap="rnd">
              <a:solidFill>
                <a:schemeClr val="accent6">
                  <a:lumMod val="75000"/>
                </a:schemeClr>
              </a:solidFill>
              <a:prstDash val="sysDot"/>
              <a:round/>
            </a:ln>
            <a:effectLst/>
          </c:spPr>
          <c:marker>
            <c:symbol val="none"/>
          </c:marker>
          <c:cat>
            <c:numRef>
              <c:f>'Transmission Efficiency'!$B$12:$B$31</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'Transmission Efficiency'!$M$12:$M$31</c:f>
              <c:numCache>
                <c:formatCode>0.00</c:formatCode>
                <c:ptCount val="20"/>
                <c:pt idx="0">
                  <c:v>2.2755555555555556</c:v>
                </c:pt>
                <c:pt idx="1">
                  <c:v>2.161777777777778</c:v>
                </c:pt>
                <c:pt idx="2">
                  <c:v>2.0479999999999996</c:v>
                </c:pt>
                <c:pt idx="3">
                  <c:v>1.9342222222222221</c:v>
                </c:pt>
                <c:pt idx="4">
                  <c:v>1.8204444444444445</c:v>
                </c:pt>
                <c:pt idx="5">
                  <c:v>1.7066666666666668</c:v>
                </c:pt>
                <c:pt idx="6">
                  <c:v>1.5928888888888888</c:v>
                </c:pt>
                <c:pt idx="7">
                  <c:v>1.4791111111111113</c:v>
                </c:pt>
                <c:pt idx="8">
                  <c:v>1.3653333333333335</c:v>
                </c:pt>
                <c:pt idx="9">
                  <c:v>1.2515555555555558</c:v>
                </c:pt>
                <c:pt idx="10">
                  <c:v>1.1377777777777778</c:v>
                </c:pt>
                <c:pt idx="11">
                  <c:v>1.0240000000000002</c:v>
                </c:pt>
                <c:pt idx="12">
                  <c:v>0.91022222222222227</c:v>
                </c:pt>
                <c:pt idx="13">
                  <c:v>0.7964444444444444</c:v>
                </c:pt>
                <c:pt idx="14">
                  <c:v>0.68266666666666653</c:v>
                </c:pt>
                <c:pt idx="15">
                  <c:v>0.56888888888888867</c:v>
                </c:pt>
                <c:pt idx="16">
                  <c:v>0.45511111111111074</c:v>
                </c:pt>
                <c:pt idx="17">
                  <c:v>0.34133333333333288</c:v>
                </c:pt>
                <c:pt idx="18">
                  <c:v>0.22755555555555501</c:v>
                </c:pt>
                <c:pt idx="19">
                  <c:v>0.11377777777777713</c:v>
                </c:pt>
              </c:numCache>
            </c:numRef>
          </c:val>
          <c:smooth val="0"/>
          <c:extLst>
            <c:ext xmlns:c16="http://schemas.microsoft.com/office/drawing/2014/chart" uri="{C3380CC4-5D6E-409C-BE32-E72D297353CC}">
              <c16:uniqueId val="{00000004-6236-46DB-8D55-8B8376F0C49D}"/>
            </c:ext>
          </c:extLst>
        </c:ser>
        <c:dLbls>
          <c:showLegendKey val="0"/>
          <c:showVal val="0"/>
          <c:showCatName val="0"/>
          <c:showSerName val="0"/>
          <c:showPercent val="0"/>
          <c:showBubbleSize val="0"/>
        </c:dLbls>
        <c:smooth val="0"/>
        <c:axId val="1214969279"/>
        <c:axId val="1214784351"/>
      </c:lineChart>
      <c:catAx>
        <c:axId val="12149692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Deduplication Rate</a:t>
                </a:r>
              </a:p>
            </c:rich>
          </c:tx>
          <c:layout>
            <c:manualLayout>
              <c:xMode val="edge"/>
              <c:yMode val="edge"/>
              <c:x val="0.2939884731305063"/>
              <c:y val="0.92438830143297035"/>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784351"/>
        <c:crosses val="autoZero"/>
        <c:auto val="1"/>
        <c:lblAlgn val="ctr"/>
        <c:lblOffset val="100"/>
        <c:tickLblSkip val="2"/>
        <c:tickMarkSkip val="2"/>
        <c:noMultiLvlLbl val="0"/>
      </c:catAx>
      <c:valAx>
        <c:axId val="1214784351"/>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Hours</a:t>
                </a:r>
              </a:p>
            </c:rich>
          </c:tx>
          <c:layout>
            <c:manualLayout>
              <c:xMode val="edge"/>
              <c:yMode val="edge"/>
              <c:x val="0.90370762970958551"/>
              <c:y val="0.39995857896000486"/>
            </c:manualLayout>
          </c:layout>
          <c:overlay val="0"/>
          <c:spPr>
            <a:noFill/>
            <a:ln>
              <a:noFill/>
            </a:ln>
            <a:effectLst/>
          </c:spPr>
          <c:txPr>
            <a:bodyPr rot="5400000" spcFirstLastPara="1" vertOverflow="ellipsis"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out"/>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969279"/>
        <c:crosses val="max"/>
        <c:crossBetween val="midCat"/>
      </c:valAx>
      <c:spPr>
        <a:solidFill>
          <a:schemeClr val="accent6">
            <a:lumMod val="20000"/>
            <a:lumOff val="80000"/>
          </a:schemeClr>
        </a:solidFill>
        <a:ln>
          <a:noFill/>
        </a:ln>
        <a:effectLst/>
      </c:spPr>
    </c:plotArea>
    <c:legend>
      <c:legendPos val="t"/>
      <c:layout>
        <c:manualLayout>
          <c:xMode val="edge"/>
          <c:yMode val="edge"/>
          <c:x val="1.1904591596340823E-2"/>
          <c:y val="0"/>
          <c:w val="0.98494141730931728"/>
          <c:h val="6.13468711147948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noFill/>
      <a:round/>
    </a:ln>
    <a:effectLst/>
  </c:spPr>
  <c:txPr>
    <a:bodyPr/>
    <a:lstStyle/>
    <a:p>
      <a:pPr>
        <a:defRPr/>
      </a:pPr>
      <a:endParaRPr lang="en-US"/>
    </a:p>
  </c:txPr>
  <c:printSettings>
    <c:headerFooter/>
    <c:pageMargins b="0.75" l="0.7" r="0.7" t="0.75" header="0.3" footer="0.3"/>
    <c:pageSetup paperSize="8"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675678338842454E-2"/>
          <c:y val="9.7436919944262582E-2"/>
          <c:w val="0.79686007486769073"/>
          <c:h val="0.77617897763437527"/>
        </c:manualLayout>
      </c:layout>
      <c:lineChart>
        <c:grouping val="standard"/>
        <c:varyColors val="0"/>
        <c:ser>
          <c:idx val="2"/>
          <c:order val="0"/>
          <c:tx>
            <c:v>Usable</c:v>
          </c:tx>
          <c:spPr>
            <a:ln w="25400" cap="rnd">
              <a:solidFill>
                <a:schemeClr val="tx1"/>
              </a:solidFill>
              <a:prstDash val="solid"/>
              <a:round/>
            </a:ln>
            <a:effectLst/>
          </c:spPr>
          <c:marker>
            <c:symbol val="none"/>
          </c:marker>
          <c:val>
            <c:numRef>
              <c:f>'Transmission Efficiency'!$J$12:$J$31</c:f>
              <c:numCache>
                <c:formatCode>#,##0.0</c:formatCode>
                <c:ptCount val="20"/>
                <c:pt idx="0">
                  <c:v>8</c:v>
                </c:pt>
                <c:pt idx="1">
                  <c:v>8.4210526315789469</c:v>
                </c:pt>
                <c:pt idx="2">
                  <c:v>8.8888888888888893</c:v>
                </c:pt>
                <c:pt idx="3">
                  <c:v>9.4117647058823533</c:v>
                </c:pt>
                <c:pt idx="4">
                  <c:v>10</c:v>
                </c:pt>
                <c:pt idx="5">
                  <c:v>10.666666666666666</c:v>
                </c:pt>
                <c:pt idx="6">
                  <c:v>11.428571428571429</c:v>
                </c:pt>
                <c:pt idx="7">
                  <c:v>12.307692307692307</c:v>
                </c:pt>
                <c:pt idx="8">
                  <c:v>13.333333333333332</c:v>
                </c:pt>
                <c:pt idx="9">
                  <c:v>14.545454545454545</c:v>
                </c:pt>
                <c:pt idx="10">
                  <c:v>16</c:v>
                </c:pt>
                <c:pt idx="11">
                  <c:v>17.777777777777775</c:v>
                </c:pt>
                <c:pt idx="12">
                  <c:v>20</c:v>
                </c:pt>
                <c:pt idx="13">
                  <c:v>22.857142857142858</c:v>
                </c:pt>
                <c:pt idx="14">
                  <c:v>26.666666666666671</c:v>
                </c:pt>
                <c:pt idx="15">
                  <c:v>32.000000000000014</c:v>
                </c:pt>
                <c:pt idx="16">
                  <c:v>40.000000000000028</c:v>
                </c:pt>
                <c:pt idx="17">
                  <c:v>53.333333333333407</c:v>
                </c:pt>
                <c:pt idx="18">
                  <c:v>80.000000000000199</c:v>
                </c:pt>
                <c:pt idx="19">
                  <c:v>160.00000000000091</c:v>
                </c:pt>
              </c:numCache>
            </c:numRef>
          </c:val>
          <c:smooth val="0"/>
          <c:extLst>
            <c:ext xmlns:c16="http://schemas.microsoft.com/office/drawing/2014/chart" uri="{C3380CC4-5D6E-409C-BE32-E72D297353CC}">
              <c16:uniqueId val="{00000003-C561-48AF-9967-9967CBFD892C}"/>
            </c:ext>
          </c:extLst>
        </c:ser>
        <c:ser>
          <c:idx val="0"/>
          <c:order val="1"/>
          <c:tx>
            <c:v>Physical</c:v>
          </c:tx>
          <c:spPr>
            <a:ln w="25400" cap="rnd">
              <a:solidFill>
                <a:schemeClr val="tx1"/>
              </a:solidFill>
              <a:prstDash val="sysDash"/>
              <a:round/>
            </a:ln>
            <a:effectLst/>
          </c:spPr>
          <c:marker>
            <c:symbol val="none"/>
          </c:marker>
          <c:cat>
            <c:numRef>
              <c:f>'Transmission Efficiency'!$B$12:$B$31</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'Transmission Efficiency'!$D$12:$D$31</c:f>
              <c:numCache>
                <c:formatCode>#,##0.0</c:formatCode>
                <c:ptCount val="20"/>
                <c:pt idx="0">
                  <c:v>10</c:v>
                </c:pt>
                <c:pt idx="1">
                  <c:v>10.526315789473685</c:v>
                </c:pt>
                <c:pt idx="2">
                  <c:v>11.111111111111111</c:v>
                </c:pt>
                <c:pt idx="3">
                  <c:v>11.764705882352942</c:v>
                </c:pt>
                <c:pt idx="4">
                  <c:v>12.5</c:v>
                </c:pt>
                <c:pt idx="5">
                  <c:v>13.333333333333334</c:v>
                </c:pt>
                <c:pt idx="6">
                  <c:v>14.285714285714286</c:v>
                </c:pt>
                <c:pt idx="7">
                  <c:v>15.384615384615383</c:v>
                </c:pt>
                <c:pt idx="8">
                  <c:v>16.666666666666664</c:v>
                </c:pt>
                <c:pt idx="9">
                  <c:v>18.18181818181818</c:v>
                </c:pt>
                <c:pt idx="10">
                  <c:v>20</c:v>
                </c:pt>
                <c:pt idx="11">
                  <c:v>22.222222222222218</c:v>
                </c:pt>
                <c:pt idx="12">
                  <c:v>25</c:v>
                </c:pt>
                <c:pt idx="13">
                  <c:v>28.571428571428573</c:v>
                </c:pt>
                <c:pt idx="14">
                  <c:v>33.333333333333343</c:v>
                </c:pt>
                <c:pt idx="15">
                  <c:v>40.000000000000014</c:v>
                </c:pt>
                <c:pt idx="16">
                  <c:v>50.000000000000036</c:v>
                </c:pt>
                <c:pt idx="17">
                  <c:v>66.666666666666757</c:v>
                </c:pt>
                <c:pt idx="18">
                  <c:v>100.00000000000024</c:v>
                </c:pt>
                <c:pt idx="19">
                  <c:v>200.00000000000117</c:v>
                </c:pt>
              </c:numCache>
            </c:numRef>
          </c:val>
          <c:smooth val="0"/>
          <c:extLst>
            <c:ext xmlns:c16="http://schemas.microsoft.com/office/drawing/2014/chart" uri="{C3380CC4-5D6E-409C-BE32-E72D297353CC}">
              <c16:uniqueId val="{00000000-C561-48AF-9967-9967CBFD892C}"/>
            </c:ext>
          </c:extLst>
        </c:ser>
        <c:ser>
          <c:idx val="1"/>
          <c:order val="2"/>
          <c:tx>
            <c:v>Throttle</c:v>
          </c:tx>
          <c:spPr>
            <a:ln w="25400" cap="rnd">
              <a:solidFill>
                <a:srgbClr val="0055FE"/>
              </a:solidFill>
              <a:round/>
            </a:ln>
            <a:effectLst/>
          </c:spPr>
          <c:marker>
            <c:symbol val="none"/>
          </c:marker>
          <c:cat>
            <c:numRef>
              <c:f>'Transmission Efficiency'!$B$12:$B$31</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'Transmission Efficiency'!$E$12:$E$31</c:f>
              <c:numCache>
                <c:formatCode>#,##0.0</c:formatCode>
                <c:ptCount val="20"/>
                <c:pt idx="0">
                  <c:v>5</c:v>
                </c:pt>
                <c:pt idx="1">
                  <c:v>5.2631578947368425</c:v>
                </c:pt>
                <c:pt idx="2">
                  <c:v>5.5555555555555554</c:v>
                </c:pt>
                <c:pt idx="3">
                  <c:v>5.882352941176471</c:v>
                </c:pt>
                <c:pt idx="4">
                  <c:v>6.25</c:v>
                </c:pt>
                <c:pt idx="5">
                  <c:v>6.666666666666667</c:v>
                </c:pt>
                <c:pt idx="6">
                  <c:v>7.1428571428571432</c:v>
                </c:pt>
                <c:pt idx="7">
                  <c:v>7.6923076923076916</c:v>
                </c:pt>
                <c:pt idx="8">
                  <c:v>8.3333333333333321</c:v>
                </c:pt>
                <c:pt idx="9">
                  <c:v>9.0909090909090899</c:v>
                </c:pt>
                <c:pt idx="10">
                  <c:v>10</c:v>
                </c:pt>
                <c:pt idx="11">
                  <c:v>11.111111111111109</c:v>
                </c:pt>
                <c:pt idx="12">
                  <c:v>12.5</c:v>
                </c:pt>
                <c:pt idx="13">
                  <c:v>14.285714285714286</c:v>
                </c:pt>
                <c:pt idx="14">
                  <c:v>16.666666666666671</c:v>
                </c:pt>
                <c:pt idx="15">
                  <c:v>20.000000000000007</c:v>
                </c:pt>
                <c:pt idx="16">
                  <c:v>25.000000000000018</c:v>
                </c:pt>
                <c:pt idx="17">
                  <c:v>33.333333333333378</c:v>
                </c:pt>
                <c:pt idx="18">
                  <c:v>50.000000000000121</c:v>
                </c:pt>
                <c:pt idx="19">
                  <c:v>100.00000000000058</c:v>
                </c:pt>
              </c:numCache>
            </c:numRef>
          </c:val>
          <c:smooth val="0"/>
          <c:extLst>
            <c:ext xmlns:c16="http://schemas.microsoft.com/office/drawing/2014/chart" uri="{C3380CC4-5D6E-409C-BE32-E72D297353CC}">
              <c16:uniqueId val="{00000001-C561-48AF-9967-9967CBFD892C}"/>
            </c:ext>
          </c:extLst>
        </c:ser>
        <c:ser>
          <c:idx val="3"/>
          <c:order val="3"/>
          <c:tx>
            <c:v>Throttle + Efficency</c:v>
          </c:tx>
          <c:spPr>
            <a:ln w="25400" cap="rnd">
              <a:solidFill>
                <a:srgbClr val="0055FE"/>
              </a:solidFill>
              <a:prstDash val="sysDot"/>
              <a:round/>
            </a:ln>
            <a:effectLst/>
          </c:spPr>
          <c:marker>
            <c:symbol val="none"/>
          </c:marker>
          <c:val>
            <c:numRef>
              <c:f>'Transmission Efficiency'!$K$12:$K$31</c:f>
              <c:numCache>
                <c:formatCode>#,##0.0</c:formatCode>
                <c:ptCount val="20"/>
                <c:pt idx="0">
                  <c:v>4</c:v>
                </c:pt>
                <c:pt idx="1">
                  <c:v>4.2105263157894735</c:v>
                </c:pt>
                <c:pt idx="2">
                  <c:v>4.4444444444444446</c:v>
                </c:pt>
                <c:pt idx="3">
                  <c:v>4.7058823529411766</c:v>
                </c:pt>
                <c:pt idx="4">
                  <c:v>5</c:v>
                </c:pt>
                <c:pt idx="5">
                  <c:v>5.333333333333333</c:v>
                </c:pt>
                <c:pt idx="6">
                  <c:v>5.7142857142857144</c:v>
                </c:pt>
                <c:pt idx="7">
                  <c:v>6.1538461538461533</c:v>
                </c:pt>
                <c:pt idx="8">
                  <c:v>6.6666666666666661</c:v>
                </c:pt>
                <c:pt idx="9">
                  <c:v>7.2727272727272725</c:v>
                </c:pt>
                <c:pt idx="10">
                  <c:v>8</c:v>
                </c:pt>
                <c:pt idx="11">
                  <c:v>8.8888888888888875</c:v>
                </c:pt>
                <c:pt idx="12">
                  <c:v>10</c:v>
                </c:pt>
                <c:pt idx="13">
                  <c:v>11.428571428571429</c:v>
                </c:pt>
                <c:pt idx="14">
                  <c:v>13.333333333333336</c:v>
                </c:pt>
                <c:pt idx="15">
                  <c:v>16.000000000000007</c:v>
                </c:pt>
                <c:pt idx="16">
                  <c:v>20.000000000000014</c:v>
                </c:pt>
                <c:pt idx="17">
                  <c:v>26.666666666666703</c:v>
                </c:pt>
                <c:pt idx="18">
                  <c:v>40.000000000000099</c:v>
                </c:pt>
                <c:pt idx="19">
                  <c:v>80.000000000000455</c:v>
                </c:pt>
              </c:numCache>
            </c:numRef>
          </c:val>
          <c:smooth val="0"/>
          <c:extLst>
            <c:ext xmlns:c16="http://schemas.microsoft.com/office/drawing/2014/chart" uri="{C3380CC4-5D6E-409C-BE32-E72D297353CC}">
              <c16:uniqueId val="{00000004-C561-48AF-9967-9967CBFD892C}"/>
            </c:ext>
          </c:extLst>
        </c:ser>
        <c:dLbls>
          <c:showLegendKey val="0"/>
          <c:showVal val="0"/>
          <c:showCatName val="0"/>
          <c:showSerName val="0"/>
          <c:showPercent val="0"/>
          <c:showBubbleSize val="0"/>
        </c:dLbls>
        <c:smooth val="0"/>
        <c:axId val="1214969279"/>
        <c:axId val="1214784351"/>
      </c:lineChart>
      <c:catAx>
        <c:axId val="1214969279"/>
        <c:scaling>
          <c:orientation val="minMax"/>
        </c:scaling>
        <c:delete val="0"/>
        <c:axPos val="b"/>
        <c:majorGridlines>
          <c:spPr>
            <a:ln w="9525" cap="flat" cmpd="sng" algn="ctr">
              <a:solidFill>
                <a:srgbClr val="6DBCD1"/>
              </a:solidFill>
              <a:round/>
            </a:ln>
            <a:effectLst/>
          </c:spPr>
        </c:majorGridlines>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AU" sz="1100" b="1"/>
                  <a:t>Depuplication</a:t>
                </a:r>
                <a:r>
                  <a:rPr lang="en-AU" sz="1100" b="1" baseline="0"/>
                  <a:t> Rate</a:t>
                </a:r>
                <a:endParaRPr lang="en-AU" sz="1100" b="1"/>
              </a:p>
            </c:rich>
          </c:tx>
          <c:layout>
            <c:manualLayout>
              <c:xMode val="edge"/>
              <c:yMode val="edge"/>
              <c:x val="0.28784415077218195"/>
              <c:y val="0.92519903869836939"/>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784351"/>
        <c:crosses val="autoZero"/>
        <c:auto val="1"/>
        <c:lblAlgn val="ctr"/>
        <c:lblOffset val="100"/>
        <c:tickLblSkip val="2"/>
        <c:tickMarkSkip val="2"/>
        <c:noMultiLvlLbl val="0"/>
      </c:catAx>
      <c:valAx>
        <c:axId val="1214784351"/>
        <c:scaling>
          <c:orientation val="minMax"/>
        </c:scaling>
        <c:delete val="0"/>
        <c:axPos val="r"/>
        <c:majorGridlines>
          <c:spPr>
            <a:ln w="9525" cap="flat" cmpd="sng" algn="ctr">
              <a:solidFill>
                <a:srgbClr val="6DBCD1"/>
              </a:solidFill>
              <a:round/>
            </a:ln>
            <a:effectLst/>
          </c:spPr>
        </c:majorGridlines>
        <c:title>
          <c:tx>
            <c:rich>
              <a:bodyPr rot="5400000" spcFirstLastPara="1" vertOverflow="ellipsis" wrap="square" anchor="ctr" anchorCtr="1"/>
              <a:lstStyle/>
              <a:p>
                <a:pPr algn="r">
                  <a:defRPr sz="1100" b="1" i="0" u="none" strike="noStrike" kern="1200" baseline="0">
                    <a:solidFill>
                      <a:schemeClr val="tx1">
                        <a:lumMod val="65000"/>
                        <a:lumOff val="35000"/>
                      </a:schemeClr>
                    </a:solidFill>
                    <a:latin typeface="+mn-lt"/>
                    <a:ea typeface="+mn-ea"/>
                    <a:cs typeface="+mn-cs"/>
                  </a:defRPr>
                </a:pPr>
                <a:r>
                  <a:rPr lang="en-AU" sz="1100" b="1"/>
                  <a:t>Gbps</a:t>
                </a:r>
              </a:p>
              <a:p>
                <a:pPr algn="r">
                  <a:defRPr sz="1100" b="1"/>
                </a:pPr>
                <a:endParaRPr lang="en-AU" sz="1100" b="1"/>
              </a:p>
            </c:rich>
          </c:tx>
          <c:layout>
            <c:manualLayout>
              <c:xMode val="edge"/>
              <c:yMode val="edge"/>
              <c:x val="0.91288110867979566"/>
              <c:y val="0.38633689554269468"/>
            </c:manualLayout>
          </c:layout>
          <c:overlay val="0"/>
          <c:spPr>
            <a:noFill/>
            <a:ln>
              <a:noFill/>
            </a:ln>
            <a:effectLst/>
          </c:spPr>
          <c:txPr>
            <a:bodyPr rot="5400000" spcFirstLastPara="1" vertOverflow="ellipsis" wrap="square" anchor="ctr" anchorCtr="1"/>
            <a:lstStyle/>
            <a:p>
              <a:pPr algn="r">
                <a:defRPr sz="1100" b="1"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969279"/>
        <c:crosses val="max"/>
        <c:crossBetween val="midCat"/>
      </c:valAx>
      <c:spPr>
        <a:solidFill>
          <a:schemeClr val="tx2">
            <a:lumMod val="20000"/>
            <a:lumOff val="80000"/>
          </a:schemeClr>
        </a:solidFill>
        <a:ln>
          <a:noFill/>
        </a:ln>
        <a:effectLst/>
      </c:spPr>
    </c:plotArea>
    <c:legend>
      <c:legendPos val="t"/>
      <c:layout>
        <c:manualLayout>
          <c:xMode val="edge"/>
          <c:yMode val="edge"/>
          <c:x val="2.7303754266211604E-2"/>
          <c:y val="1.8165293875835781E-2"/>
          <c:w val="0.8999998851347083"/>
          <c:h val="6.13082959323759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7371893933819018E-2"/>
          <c:y val="7.9271626068426804E-2"/>
          <c:w val="0.79686007486769073"/>
          <c:h val="0.76169221837924461"/>
        </c:manualLayout>
      </c:layout>
      <c:lineChart>
        <c:grouping val="standard"/>
        <c:varyColors val="0"/>
        <c:ser>
          <c:idx val="2"/>
          <c:order val="0"/>
          <c:tx>
            <c:v>Usable</c:v>
          </c:tx>
          <c:spPr>
            <a:ln w="25400" cap="rnd">
              <a:solidFill>
                <a:schemeClr val="tx1"/>
              </a:solidFill>
              <a:prstDash val="solid"/>
              <a:round/>
            </a:ln>
            <a:effectLst/>
          </c:spPr>
          <c:marker>
            <c:symbol val="none"/>
          </c:marker>
          <c:val>
            <c:numRef>
              <c:f>'Transmission Efficiency'!$J$12:$J$31</c:f>
              <c:numCache>
                <c:formatCode>#,##0.0</c:formatCode>
                <c:ptCount val="20"/>
                <c:pt idx="0">
                  <c:v>8</c:v>
                </c:pt>
                <c:pt idx="1">
                  <c:v>8.4210526315789469</c:v>
                </c:pt>
                <c:pt idx="2">
                  <c:v>8.8888888888888893</c:v>
                </c:pt>
                <c:pt idx="3">
                  <c:v>9.4117647058823533</c:v>
                </c:pt>
                <c:pt idx="4">
                  <c:v>10</c:v>
                </c:pt>
                <c:pt idx="5">
                  <c:v>10.666666666666666</c:v>
                </c:pt>
                <c:pt idx="6">
                  <c:v>11.428571428571429</c:v>
                </c:pt>
                <c:pt idx="7">
                  <c:v>12.307692307692307</c:v>
                </c:pt>
                <c:pt idx="8">
                  <c:v>13.333333333333332</c:v>
                </c:pt>
                <c:pt idx="9">
                  <c:v>14.545454545454545</c:v>
                </c:pt>
                <c:pt idx="10">
                  <c:v>16</c:v>
                </c:pt>
                <c:pt idx="11">
                  <c:v>17.777777777777775</c:v>
                </c:pt>
                <c:pt idx="12">
                  <c:v>20</c:v>
                </c:pt>
                <c:pt idx="13">
                  <c:v>22.857142857142858</c:v>
                </c:pt>
                <c:pt idx="14">
                  <c:v>26.666666666666671</c:v>
                </c:pt>
                <c:pt idx="15">
                  <c:v>32.000000000000014</c:v>
                </c:pt>
                <c:pt idx="16">
                  <c:v>40.000000000000028</c:v>
                </c:pt>
                <c:pt idx="17">
                  <c:v>53.333333333333407</c:v>
                </c:pt>
                <c:pt idx="18">
                  <c:v>80.000000000000199</c:v>
                </c:pt>
                <c:pt idx="19">
                  <c:v>160.00000000000091</c:v>
                </c:pt>
              </c:numCache>
            </c:numRef>
          </c:val>
          <c:smooth val="0"/>
          <c:extLst>
            <c:ext xmlns:c16="http://schemas.microsoft.com/office/drawing/2014/chart" uri="{C3380CC4-5D6E-409C-BE32-E72D297353CC}">
              <c16:uniqueId val="{00000000-D7BE-4594-B863-CD04723FB7F7}"/>
            </c:ext>
          </c:extLst>
        </c:ser>
        <c:ser>
          <c:idx val="0"/>
          <c:order val="1"/>
          <c:tx>
            <c:v>Physical</c:v>
          </c:tx>
          <c:spPr>
            <a:ln w="25400" cap="rnd">
              <a:solidFill>
                <a:schemeClr val="tx1"/>
              </a:solidFill>
              <a:prstDash val="sysDash"/>
              <a:round/>
            </a:ln>
            <a:effectLst/>
          </c:spPr>
          <c:marker>
            <c:symbol val="none"/>
          </c:marker>
          <c:cat>
            <c:numRef>
              <c:f>'Transmission Efficiency'!$B$12:$B$31</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'Transmission Efficiency'!$D$12:$D$31</c:f>
              <c:numCache>
                <c:formatCode>#,##0.0</c:formatCode>
                <c:ptCount val="20"/>
                <c:pt idx="0">
                  <c:v>10</c:v>
                </c:pt>
                <c:pt idx="1">
                  <c:v>10.526315789473685</c:v>
                </c:pt>
                <c:pt idx="2">
                  <c:v>11.111111111111111</c:v>
                </c:pt>
                <c:pt idx="3">
                  <c:v>11.764705882352942</c:v>
                </c:pt>
                <c:pt idx="4">
                  <c:v>12.5</c:v>
                </c:pt>
                <c:pt idx="5">
                  <c:v>13.333333333333334</c:v>
                </c:pt>
                <c:pt idx="6">
                  <c:v>14.285714285714286</c:v>
                </c:pt>
                <c:pt idx="7">
                  <c:v>15.384615384615383</c:v>
                </c:pt>
                <c:pt idx="8">
                  <c:v>16.666666666666664</c:v>
                </c:pt>
                <c:pt idx="9">
                  <c:v>18.18181818181818</c:v>
                </c:pt>
                <c:pt idx="10">
                  <c:v>20</c:v>
                </c:pt>
                <c:pt idx="11">
                  <c:v>22.222222222222218</c:v>
                </c:pt>
                <c:pt idx="12">
                  <c:v>25</c:v>
                </c:pt>
                <c:pt idx="13">
                  <c:v>28.571428571428573</c:v>
                </c:pt>
                <c:pt idx="14">
                  <c:v>33.333333333333343</c:v>
                </c:pt>
                <c:pt idx="15">
                  <c:v>40.000000000000014</c:v>
                </c:pt>
                <c:pt idx="16">
                  <c:v>50.000000000000036</c:v>
                </c:pt>
                <c:pt idx="17">
                  <c:v>66.666666666666757</c:v>
                </c:pt>
                <c:pt idx="18">
                  <c:v>100.00000000000024</c:v>
                </c:pt>
                <c:pt idx="19">
                  <c:v>200.00000000000117</c:v>
                </c:pt>
              </c:numCache>
            </c:numRef>
          </c:val>
          <c:smooth val="0"/>
          <c:extLst>
            <c:ext xmlns:c16="http://schemas.microsoft.com/office/drawing/2014/chart" uri="{C3380CC4-5D6E-409C-BE32-E72D297353CC}">
              <c16:uniqueId val="{00000001-D7BE-4594-B863-CD04723FB7F7}"/>
            </c:ext>
          </c:extLst>
        </c:ser>
        <c:ser>
          <c:idx val="1"/>
          <c:order val="2"/>
          <c:tx>
            <c:v>Throttle</c:v>
          </c:tx>
          <c:spPr>
            <a:ln w="25400" cap="rnd">
              <a:solidFill>
                <a:srgbClr val="0055FE"/>
              </a:solidFill>
              <a:round/>
            </a:ln>
            <a:effectLst/>
          </c:spPr>
          <c:marker>
            <c:symbol val="none"/>
          </c:marker>
          <c:cat>
            <c:numRef>
              <c:f>'Transmission Efficiency'!$B$12:$B$31</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'Transmission Efficiency'!$E$12:$E$31</c:f>
              <c:numCache>
                <c:formatCode>#,##0.0</c:formatCode>
                <c:ptCount val="20"/>
                <c:pt idx="0">
                  <c:v>5</c:v>
                </c:pt>
                <c:pt idx="1">
                  <c:v>5.2631578947368425</c:v>
                </c:pt>
                <c:pt idx="2">
                  <c:v>5.5555555555555554</c:v>
                </c:pt>
                <c:pt idx="3">
                  <c:v>5.882352941176471</c:v>
                </c:pt>
                <c:pt idx="4">
                  <c:v>6.25</c:v>
                </c:pt>
                <c:pt idx="5">
                  <c:v>6.666666666666667</c:v>
                </c:pt>
                <c:pt idx="6">
                  <c:v>7.1428571428571432</c:v>
                </c:pt>
                <c:pt idx="7">
                  <c:v>7.6923076923076916</c:v>
                </c:pt>
                <c:pt idx="8">
                  <c:v>8.3333333333333321</c:v>
                </c:pt>
                <c:pt idx="9">
                  <c:v>9.0909090909090899</c:v>
                </c:pt>
                <c:pt idx="10">
                  <c:v>10</c:v>
                </c:pt>
                <c:pt idx="11">
                  <c:v>11.111111111111109</c:v>
                </c:pt>
                <c:pt idx="12">
                  <c:v>12.5</c:v>
                </c:pt>
                <c:pt idx="13">
                  <c:v>14.285714285714286</c:v>
                </c:pt>
                <c:pt idx="14">
                  <c:v>16.666666666666671</c:v>
                </c:pt>
                <c:pt idx="15">
                  <c:v>20.000000000000007</c:v>
                </c:pt>
                <c:pt idx="16">
                  <c:v>25.000000000000018</c:v>
                </c:pt>
                <c:pt idx="17">
                  <c:v>33.333333333333378</c:v>
                </c:pt>
                <c:pt idx="18">
                  <c:v>50.000000000000121</c:v>
                </c:pt>
                <c:pt idx="19">
                  <c:v>100.00000000000058</c:v>
                </c:pt>
              </c:numCache>
            </c:numRef>
          </c:val>
          <c:smooth val="0"/>
          <c:extLst>
            <c:ext xmlns:c16="http://schemas.microsoft.com/office/drawing/2014/chart" uri="{C3380CC4-5D6E-409C-BE32-E72D297353CC}">
              <c16:uniqueId val="{00000002-D7BE-4594-B863-CD04723FB7F7}"/>
            </c:ext>
          </c:extLst>
        </c:ser>
        <c:ser>
          <c:idx val="3"/>
          <c:order val="3"/>
          <c:tx>
            <c:v>Throttle + Efficency</c:v>
          </c:tx>
          <c:spPr>
            <a:ln w="25400" cap="rnd">
              <a:solidFill>
                <a:srgbClr val="0055FE"/>
              </a:solidFill>
              <a:prstDash val="sysDot"/>
              <a:round/>
            </a:ln>
            <a:effectLst/>
          </c:spPr>
          <c:marker>
            <c:symbol val="none"/>
          </c:marker>
          <c:val>
            <c:numRef>
              <c:f>'Transmission Efficiency'!$K$12:$K$31</c:f>
              <c:numCache>
                <c:formatCode>#,##0.0</c:formatCode>
                <c:ptCount val="20"/>
                <c:pt idx="0">
                  <c:v>4</c:v>
                </c:pt>
                <c:pt idx="1">
                  <c:v>4.2105263157894735</c:v>
                </c:pt>
                <c:pt idx="2">
                  <c:v>4.4444444444444446</c:v>
                </c:pt>
                <c:pt idx="3">
                  <c:v>4.7058823529411766</c:v>
                </c:pt>
                <c:pt idx="4">
                  <c:v>5</c:v>
                </c:pt>
                <c:pt idx="5">
                  <c:v>5.333333333333333</c:v>
                </c:pt>
                <c:pt idx="6">
                  <c:v>5.7142857142857144</c:v>
                </c:pt>
                <c:pt idx="7">
                  <c:v>6.1538461538461533</c:v>
                </c:pt>
                <c:pt idx="8">
                  <c:v>6.6666666666666661</c:v>
                </c:pt>
                <c:pt idx="9">
                  <c:v>7.2727272727272725</c:v>
                </c:pt>
                <c:pt idx="10">
                  <c:v>8</c:v>
                </c:pt>
                <c:pt idx="11">
                  <c:v>8.8888888888888875</c:v>
                </c:pt>
                <c:pt idx="12">
                  <c:v>10</c:v>
                </c:pt>
                <c:pt idx="13">
                  <c:v>11.428571428571429</c:v>
                </c:pt>
                <c:pt idx="14">
                  <c:v>13.333333333333336</c:v>
                </c:pt>
                <c:pt idx="15">
                  <c:v>16.000000000000007</c:v>
                </c:pt>
                <c:pt idx="16">
                  <c:v>20.000000000000014</c:v>
                </c:pt>
                <c:pt idx="17">
                  <c:v>26.666666666666703</c:v>
                </c:pt>
                <c:pt idx="18">
                  <c:v>40.000000000000099</c:v>
                </c:pt>
                <c:pt idx="19">
                  <c:v>80.000000000000455</c:v>
                </c:pt>
              </c:numCache>
            </c:numRef>
          </c:val>
          <c:smooth val="0"/>
          <c:extLst>
            <c:ext xmlns:c16="http://schemas.microsoft.com/office/drawing/2014/chart" uri="{C3380CC4-5D6E-409C-BE32-E72D297353CC}">
              <c16:uniqueId val="{00000003-D7BE-4594-B863-CD04723FB7F7}"/>
            </c:ext>
          </c:extLst>
        </c:ser>
        <c:dLbls>
          <c:showLegendKey val="0"/>
          <c:showVal val="0"/>
          <c:showCatName val="0"/>
          <c:showSerName val="0"/>
          <c:showPercent val="0"/>
          <c:showBubbleSize val="0"/>
        </c:dLbls>
        <c:smooth val="0"/>
        <c:axId val="1214969279"/>
        <c:axId val="1214784351"/>
      </c:lineChart>
      <c:catAx>
        <c:axId val="1214969279"/>
        <c:scaling>
          <c:orientation val="minMax"/>
        </c:scaling>
        <c:delete val="0"/>
        <c:axPos val="b"/>
        <c:majorGridlines>
          <c:spPr>
            <a:ln w="9525" cap="flat" cmpd="sng" algn="ctr">
              <a:solidFill>
                <a:srgbClr val="6DBCD1"/>
              </a:solidFill>
              <a:round/>
            </a:ln>
            <a:effectLst/>
          </c:spPr>
        </c:majorGridlines>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AU" sz="1100" b="1"/>
                  <a:t>Depuplication</a:t>
                </a:r>
                <a:r>
                  <a:rPr lang="en-AU" sz="1100" b="1" baseline="0"/>
                  <a:t> Rate</a:t>
                </a:r>
                <a:endParaRPr lang="en-AU" sz="1100" b="1"/>
              </a:p>
            </c:rich>
          </c:tx>
          <c:layout>
            <c:manualLayout>
              <c:xMode val="edge"/>
              <c:yMode val="edge"/>
              <c:x val="0.28784415077218195"/>
              <c:y val="0.92519903869836939"/>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784351"/>
        <c:crosses val="autoZero"/>
        <c:auto val="1"/>
        <c:lblAlgn val="ctr"/>
        <c:lblOffset val="100"/>
        <c:tickLblSkip val="2"/>
        <c:tickMarkSkip val="2"/>
        <c:noMultiLvlLbl val="0"/>
      </c:catAx>
      <c:valAx>
        <c:axId val="1214784351"/>
        <c:scaling>
          <c:orientation val="minMax"/>
        </c:scaling>
        <c:delete val="0"/>
        <c:axPos val="r"/>
        <c:majorGridlines>
          <c:spPr>
            <a:ln w="9525" cap="flat" cmpd="sng" algn="ctr">
              <a:solidFill>
                <a:srgbClr val="6DBCD1"/>
              </a:solidFill>
              <a:round/>
            </a:ln>
            <a:effectLst/>
          </c:spPr>
        </c:majorGridlines>
        <c:title>
          <c:tx>
            <c:rich>
              <a:bodyPr rot="5400000" spcFirstLastPara="1" vertOverflow="ellipsis" wrap="square" anchor="ctr" anchorCtr="1"/>
              <a:lstStyle/>
              <a:p>
                <a:pPr>
                  <a:defRPr sz="1100" b="1" i="0" u="none" strike="noStrike" kern="1200" baseline="0">
                    <a:solidFill>
                      <a:schemeClr val="tx1">
                        <a:lumMod val="65000"/>
                        <a:lumOff val="35000"/>
                      </a:schemeClr>
                    </a:solidFill>
                    <a:latin typeface="+mn-lt"/>
                    <a:ea typeface="+mn-ea"/>
                    <a:cs typeface="+mn-cs"/>
                  </a:defRPr>
                </a:pPr>
                <a:r>
                  <a:rPr lang="en-AU" sz="1100" b="1"/>
                  <a:t>Gbps</a:t>
                </a:r>
              </a:p>
              <a:p>
                <a:pPr>
                  <a:defRPr sz="1100" b="1"/>
                </a:pPr>
                <a:endParaRPr lang="en-AU" sz="1100" b="1"/>
              </a:p>
            </c:rich>
          </c:tx>
          <c:layout>
            <c:manualLayout>
              <c:xMode val="edge"/>
              <c:yMode val="edge"/>
              <c:x val="0.92284174519168716"/>
              <c:y val="0.38633682788348805"/>
            </c:manualLayout>
          </c:layout>
          <c:overlay val="0"/>
          <c:spPr>
            <a:noFill/>
            <a:ln>
              <a:noFill/>
            </a:ln>
            <a:effectLst/>
          </c:spPr>
          <c:txPr>
            <a:bodyPr rot="5400000" spcFirstLastPara="1" vertOverflow="ellipsis"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969279"/>
        <c:crosses val="max"/>
        <c:crossBetween val="midCat"/>
      </c:valAx>
      <c:spPr>
        <a:solidFill>
          <a:schemeClr val="tx2">
            <a:lumMod val="20000"/>
            <a:lumOff val="80000"/>
          </a:schemeClr>
        </a:solidFill>
        <a:ln>
          <a:noFill/>
        </a:ln>
        <a:effectLst/>
      </c:spPr>
    </c:plotArea>
    <c:legend>
      <c:legendPos val="t"/>
      <c:layout>
        <c:manualLayout>
          <c:xMode val="edge"/>
          <c:yMode val="edge"/>
          <c:x val="1.7906580058236692E-2"/>
          <c:y val="0"/>
          <c:w val="0.8999998851347083"/>
          <c:h val="6.13082959323759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441330320170822E-2"/>
          <c:y val="8.8309049345371413E-2"/>
          <c:w val="0.79181189854619682"/>
          <c:h val="0.75477374712325185"/>
        </c:manualLayout>
      </c:layout>
      <c:lineChart>
        <c:grouping val="standard"/>
        <c:varyColors val="0"/>
        <c:ser>
          <c:idx val="0"/>
          <c:order val="0"/>
          <c:tx>
            <c:v>Usable</c:v>
          </c:tx>
          <c:spPr>
            <a:ln w="25400" cap="rnd">
              <a:solidFill>
                <a:schemeClr val="tx1"/>
              </a:solidFill>
              <a:round/>
            </a:ln>
            <a:effectLst/>
          </c:spPr>
          <c:marker>
            <c:symbol val="none"/>
          </c:marker>
          <c:cat>
            <c:numRef>
              <c:f>'Transmission Efficiency'!$B$12:$B$31</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'Transmission Efficiency'!$L$12:$L$31</c:f>
              <c:numCache>
                <c:formatCode>0.00</c:formatCode>
                <c:ptCount val="20"/>
                <c:pt idx="0">
                  <c:v>1.1377777777777778</c:v>
                </c:pt>
                <c:pt idx="1">
                  <c:v>1.080888888888889</c:v>
                </c:pt>
                <c:pt idx="2">
                  <c:v>1.0239999999999998</c:v>
                </c:pt>
                <c:pt idx="3">
                  <c:v>0.96711111111111103</c:v>
                </c:pt>
                <c:pt idx="4">
                  <c:v>0.91022222222222227</c:v>
                </c:pt>
                <c:pt idx="5">
                  <c:v>0.85333333333333339</c:v>
                </c:pt>
                <c:pt idx="6">
                  <c:v>0.7964444444444444</c:v>
                </c:pt>
                <c:pt idx="7">
                  <c:v>0.73955555555555563</c:v>
                </c:pt>
                <c:pt idx="8">
                  <c:v>0.68266666666666675</c:v>
                </c:pt>
                <c:pt idx="9">
                  <c:v>0.62577777777777788</c:v>
                </c:pt>
                <c:pt idx="10">
                  <c:v>0.56888888888888889</c:v>
                </c:pt>
                <c:pt idx="11">
                  <c:v>0.51200000000000012</c:v>
                </c:pt>
                <c:pt idx="12">
                  <c:v>0.45511111111111113</c:v>
                </c:pt>
                <c:pt idx="13">
                  <c:v>0.3982222222222222</c:v>
                </c:pt>
                <c:pt idx="14">
                  <c:v>0.34133333333333327</c:v>
                </c:pt>
                <c:pt idx="15">
                  <c:v>0.28444444444444433</c:v>
                </c:pt>
                <c:pt idx="16">
                  <c:v>0.22755555555555537</c:v>
                </c:pt>
                <c:pt idx="17">
                  <c:v>0.17066666666666644</c:v>
                </c:pt>
                <c:pt idx="18">
                  <c:v>0.11377777777777751</c:v>
                </c:pt>
                <c:pt idx="19">
                  <c:v>5.6888888888888565E-2</c:v>
                </c:pt>
              </c:numCache>
            </c:numRef>
          </c:val>
          <c:smooth val="0"/>
          <c:extLst>
            <c:ext xmlns:c16="http://schemas.microsoft.com/office/drawing/2014/chart" uri="{C3380CC4-5D6E-409C-BE32-E72D297353CC}">
              <c16:uniqueId val="{00000000-BA69-4EC9-B9CC-0F1F67ED013E}"/>
            </c:ext>
          </c:extLst>
        </c:ser>
        <c:ser>
          <c:idx val="1"/>
          <c:order val="1"/>
          <c:tx>
            <c:v>Physical</c:v>
          </c:tx>
          <c:spPr>
            <a:ln w="25400" cap="rnd">
              <a:solidFill>
                <a:schemeClr val="tx1"/>
              </a:solidFill>
              <a:prstDash val="sysDash"/>
              <a:round/>
            </a:ln>
            <a:effectLst/>
          </c:spPr>
          <c:marker>
            <c:symbol val="none"/>
          </c:marker>
          <c:cat>
            <c:numRef>
              <c:f>'Transmission Efficiency'!$B$12:$B$31</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'Transmission Efficiency'!$F$12:$F$31</c:f>
              <c:numCache>
                <c:formatCode>#,##0.0</c:formatCode>
                <c:ptCount val="20"/>
                <c:pt idx="0">
                  <c:v>0.91022222222222227</c:v>
                </c:pt>
                <c:pt idx="1">
                  <c:v>0.86471111111111099</c:v>
                </c:pt>
                <c:pt idx="2">
                  <c:v>0.81919999999999993</c:v>
                </c:pt>
                <c:pt idx="3">
                  <c:v>0.77368888888888887</c:v>
                </c:pt>
                <c:pt idx="4">
                  <c:v>0.72817777777777781</c:v>
                </c:pt>
                <c:pt idx="5">
                  <c:v>0.68266666666666664</c:v>
                </c:pt>
                <c:pt idx="6">
                  <c:v>0.63715555555555548</c:v>
                </c:pt>
                <c:pt idx="7">
                  <c:v>0.59164444444444442</c:v>
                </c:pt>
                <c:pt idx="8">
                  <c:v>0.54613333333333347</c:v>
                </c:pt>
                <c:pt idx="9">
                  <c:v>0.5006222222222223</c:v>
                </c:pt>
                <c:pt idx="10">
                  <c:v>0.45511111111111113</c:v>
                </c:pt>
                <c:pt idx="11">
                  <c:v>0.40960000000000013</c:v>
                </c:pt>
                <c:pt idx="12">
                  <c:v>0.36408888888888891</c:v>
                </c:pt>
                <c:pt idx="13">
                  <c:v>0.31857777777777774</c:v>
                </c:pt>
                <c:pt idx="14">
                  <c:v>0.27306666666666657</c:v>
                </c:pt>
                <c:pt idx="15">
                  <c:v>0.22755555555555548</c:v>
                </c:pt>
                <c:pt idx="16">
                  <c:v>0.18204444444444431</c:v>
                </c:pt>
                <c:pt idx="17">
                  <c:v>0.13653333333333315</c:v>
                </c:pt>
                <c:pt idx="18">
                  <c:v>9.1022222222222005E-2</c:v>
                </c:pt>
                <c:pt idx="19">
                  <c:v>4.5511111111110843E-2</c:v>
                </c:pt>
              </c:numCache>
            </c:numRef>
          </c:val>
          <c:smooth val="0"/>
          <c:extLst>
            <c:ext xmlns:c16="http://schemas.microsoft.com/office/drawing/2014/chart" uri="{C3380CC4-5D6E-409C-BE32-E72D297353CC}">
              <c16:uniqueId val="{00000001-BA69-4EC9-B9CC-0F1F67ED013E}"/>
            </c:ext>
          </c:extLst>
        </c:ser>
        <c:ser>
          <c:idx val="2"/>
          <c:order val="2"/>
          <c:tx>
            <c:v>Throttle</c:v>
          </c:tx>
          <c:spPr>
            <a:ln w="25400" cap="rnd">
              <a:solidFill>
                <a:schemeClr val="accent6">
                  <a:lumMod val="75000"/>
                </a:schemeClr>
              </a:solidFill>
              <a:round/>
            </a:ln>
            <a:effectLst/>
          </c:spPr>
          <c:marker>
            <c:symbol val="none"/>
          </c:marker>
          <c:cat>
            <c:numRef>
              <c:f>'Transmission Efficiency'!$B$12:$B$31</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'Transmission Efficiency'!$G$12:$G$31</c:f>
              <c:numCache>
                <c:formatCode>#,##0.0</c:formatCode>
                <c:ptCount val="20"/>
                <c:pt idx="0">
                  <c:v>1.8204444444444445</c:v>
                </c:pt>
                <c:pt idx="1">
                  <c:v>1.729422222222222</c:v>
                </c:pt>
                <c:pt idx="2">
                  <c:v>1.6383999999999999</c:v>
                </c:pt>
                <c:pt idx="3">
                  <c:v>1.5473777777777777</c:v>
                </c:pt>
                <c:pt idx="4">
                  <c:v>1.4563555555555556</c:v>
                </c:pt>
                <c:pt idx="5">
                  <c:v>1.3653333333333333</c:v>
                </c:pt>
                <c:pt idx="6">
                  <c:v>1.274311111111111</c:v>
                </c:pt>
                <c:pt idx="7">
                  <c:v>1.1832888888888888</c:v>
                </c:pt>
                <c:pt idx="8">
                  <c:v>1.0922666666666669</c:v>
                </c:pt>
                <c:pt idx="9">
                  <c:v>1.0012444444444446</c:v>
                </c:pt>
                <c:pt idx="10">
                  <c:v>0.91022222222222227</c:v>
                </c:pt>
                <c:pt idx="11">
                  <c:v>0.81920000000000026</c:v>
                </c:pt>
                <c:pt idx="12">
                  <c:v>0.72817777777777781</c:v>
                </c:pt>
                <c:pt idx="13">
                  <c:v>0.63715555555555548</c:v>
                </c:pt>
                <c:pt idx="14">
                  <c:v>0.54613333333333314</c:v>
                </c:pt>
                <c:pt idx="15">
                  <c:v>0.45511111111111097</c:v>
                </c:pt>
                <c:pt idx="16">
                  <c:v>0.36408888888888863</c:v>
                </c:pt>
                <c:pt idx="17">
                  <c:v>0.27306666666666629</c:v>
                </c:pt>
                <c:pt idx="18">
                  <c:v>0.18204444444444401</c:v>
                </c:pt>
                <c:pt idx="19">
                  <c:v>9.1022222222221685E-2</c:v>
                </c:pt>
              </c:numCache>
            </c:numRef>
          </c:val>
          <c:smooth val="0"/>
          <c:extLst>
            <c:ext xmlns:c16="http://schemas.microsoft.com/office/drawing/2014/chart" uri="{C3380CC4-5D6E-409C-BE32-E72D297353CC}">
              <c16:uniqueId val="{00000002-BA69-4EC9-B9CC-0F1F67ED013E}"/>
            </c:ext>
          </c:extLst>
        </c:ser>
        <c:ser>
          <c:idx val="3"/>
          <c:order val="3"/>
          <c:tx>
            <c:v>Throttle + Efficiency</c:v>
          </c:tx>
          <c:spPr>
            <a:ln w="25400" cap="rnd">
              <a:solidFill>
                <a:schemeClr val="accent6">
                  <a:lumMod val="75000"/>
                </a:schemeClr>
              </a:solidFill>
              <a:prstDash val="sysDot"/>
              <a:round/>
            </a:ln>
            <a:effectLst/>
          </c:spPr>
          <c:marker>
            <c:symbol val="none"/>
          </c:marker>
          <c:cat>
            <c:numRef>
              <c:f>'Transmission Efficiency'!$B$12:$B$31</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'Transmission Efficiency'!$M$12:$M$31</c:f>
              <c:numCache>
                <c:formatCode>0.00</c:formatCode>
                <c:ptCount val="20"/>
                <c:pt idx="0">
                  <c:v>2.2755555555555556</c:v>
                </c:pt>
                <c:pt idx="1">
                  <c:v>2.161777777777778</c:v>
                </c:pt>
                <c:pt idx="2">
                  <c:v>2.0479999999999996</c:v>
                </c:pt>
                <c:pt idx="3">
                  <c:v>1.9342222222222221</c:v>
                </c:pt>
                <c:pt idx="4">
                  <c:v>1.8204444444444445</c:v>
                </c:pt>
                <c:pt idx="5">
                  <c:v>1.7066666666666668</c:v>
                </c:pt>
                <c:pt idx="6">
                  <c:v>1.5928888888888888</c:v>
                </c:pt>
                <c:pt idx="7">
                  <c:v>1.4791111111111113</c:v>
                </c:pt>
                <c:pt idx="8">
                  <c:v>1.3653333333333335</c:v>
                </c:pt>
                <c:pt idx="9">
                  <c:v>1.2515555555555558</c:v>
                </c:pt>
                <c:pt idx="10">
                  <c:v>1.1377777777777778</c:v>
                </c:pt>
                <c:pt idx="11">
                  <c:v>1.0240000000000002</c:v>
                </c:pt>
                <c:pt idx="12">
                  <c:v>0.91022222222222227</c:v>
                </c:pt>
                <c:pt idx="13">
                  <c:v>0.7964444444444444</c:v>
                </c:pt>
                <c:pt idx="14">
                  <c:v>0.68266666666666653</c:v>
                </c:pt>
                <c:pt idx="15">
                  <c:v>0.56888888888888867</c:v>
                </c:pt>
                <c:pt idx="16">
                  <c:v>0.45511111111111074</c:v>
                </c:pt>
                <c:pt idx="17">
                  <c:v>0.34133333333333288</c:v>
                </c:pt>
                <c:pt idx="18">
                  <c:v>0.22755555555555501</c:v>
                </c:pt>
                <c:pt idx="19">
                  <c:v>0.11377777777777713</c:v>
                </c:pt>
              </c:numCache>
            </c:numRef>
          </c:val>
          <c:smooth val="0"/>
          <c:extLst>
            <c:ext xmlns:c16="http://schemas.microsoft.com/office/drawing/2014/chart" uri="{C3380CC4-5D6E-409C-BE32-E72D297353CC}">
              <c16:uniqueId val="{00000003-BA69-4EC9-B9CC-0F1F67ED013E}"/>
            </c:ext>
          </c:extLst>
        </c:ser>
        <c:dLbls>
          <c:showLegendKey val="0"/>
          <c:showVal val="0"/>
          <c:showCatName val="0"/>
          <c:showSerName val="0"/>
          <c:showPercent val="0"/>
          <c:showBubbleSize val="0"/>
        </c:dLbls>
        <c:smooth val="0"/>
        <c:axId val="1214969279"/>
        <c:axId val="1214784351"/>
      </c:lineChart>
      <c:catAx>
        <c:axId val="12149692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Deduplication Rate</a:t>
                </a:r>
              </a:p>
            </c:rich>
          </c:tx>
          <c:layout>
            <c:manualLayout>
              <c:xMode val="edge"/>
              <c:yMode val="edge"/>
              <c:x val="0.2939884731305063"/>
              <c:y val="0.91656806828765169"/>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784351"/>
        <c:crosses val="autoZero"/>
        <c:auto val="1"/>
        <c:lblAlgn val="ctr"/>
        <c:lblOffset val="100"/>
        <c:tickLblSkip val="2"/>
        <c:tickMarkSkip val="2"/>
        <c:noMultiLvlLbl val="0"/>
      </c:catAx>
      <c:valAx>
        <c:axId val="1214784351"/>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Hours</a:t>
                </a:r>
              </a:p>
            </c:rich>
          </c:tx>
          <c:layout>
            <c:manualLayout>
              <c:xMode val="edge"/>
              <c:yMode val="edge"/>
              <c:x val="0.92129005134897779"/>
              <c:y val="0.39995843628050892"/>
            </c:manualLayout>
          </c:layout>
          <c:overlay val="0"/>
          <c:spPr>
            <a:noFill/>
            <a:ln>
              <a:noFill/>
            </a:ln>
            <a:effectLst/>
          </c:spPr>
          <c:txPr>
            <a:bodyPr rot="5400000" spcFirstLastPara="1" vertOverflow="ellipsis"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out"/>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969279"/>
        <c:crosses val="max"/>
        <c:crossBetween val="midCat"/>
      </c:valAx>
      <c:spPr>
        <a:solidFill>
          <a:schemeClr val="accent6">
            <a:lumMod val="20000"/>
            <a:lumOff val="80000"/>
          </a:schemeClr>
        </a:solidFill>
        <a:ln>
          <a:noFill/>
        </a:ln>
        <a:effectLst/>
      </c:spPr>
    </c:plotArea>
    <c:legend>
      <c:legendPos val="t"/>
      <c:layout>
        <c:manualLayout>
          <c:xMode val="edge"/>
          <c:yMode val="edge"/>
          <c:x val="3.2417416842298596E-2"/>
          <c:y val="0"/>
          <c:w val="0.94684617042396702"/>
          <c:h val="6.13468711147948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noFill/>
      <a:round/>
    </a:ln>
    <a:effectLst/>
  </c:spPr>
  <c:txPr>
    <a:bodyPr/>
    <a:lstStyle/>
    <a:p>
      <a:pPr>
        <a:defRPr/>
      </a:pPr>
      <a:endParaRPr lang="en-US"/>
    </a:p>
  </c:txPr>
  <c:printSettings>
    <c:headerFooter/>
    <c:pageMargins b="0.75" l="0.7" r="0.7" t="0.75" header="0.3" footer="0.3"/>
    <c:pageSetup paperSize="8"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409223780398553E-2"/>
          <c:y val="0.11136872596807752"/>
          <c:w val="0.78703178497783111"/>
          <c:h val="0.73947491857635428"/>
        </c:manualLayout>
      </c:layout>
      <c:lineChart>
        <c:grouping val="standard"/>
        <c:varyColors val="0"/>
        <c:ser>
          <c:idx val="0"/>
          <c:order val="0"/>
          <c:tx>
            <c:v>Usable</c:v>
          </c:tx>
          <c:spPr>
            <a:ln w="25400" cap="rnd">
              <a:solidFill>
                <a:schemeClr val="tx1"/>
              </a:solidFill>
              <a:prstDash val="solid"/>
              <a:round/>
            </a:ln>
            <a:effectLst/>
          </c:spPr>
          <c:marker>
            <c:symbol val="none"/>
          </c:marker>
          <c:cat>
            <c:numRef>
              <c:f>'Transmission Efficiency'!$B$12:$B$31</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'Transmission Efficiency'!$N$12:$N$31</c:f>
              <c:numCache>
                <c:formatCode>0.00</c:formatCode>
                <c:ptCount val="20"/>
                <c:pt idx="0">
                  <c:v>7.03125</c:v>
                </c:pt>
                <c:pt idx="1">
                  <c:v>7.4013157894736841</c:v>
                </c:pt>
                <c:pt idx="2">
                  <c:v>7.8125</c:v>
                </c:pt>
                <c:pt idx="3">
                  <c:v>8.2720588235294112</c:v>
                </c:pt>
                <c:pt idx="4">
                  <c:v>8.7890625</c:v>
                </c:pt>
                <c:pt idx="5">
                  <c:v>9.375</c:v>
                </c:pt>
                <c:pt idx="6">
                  <c:v>10.044642857142858</c:v>
                </c:pt>
                <c:pt idx="7">
                  <c:v>10.817307692307693</c:v>
                </c:pt>
                <c:pt idx="8">
                  <c:v>11.71875</c:v>
                </c:pt>
                <c:pt idx="9">
                  <c:v>12.78409090909091</c:v>
                </c:pt>
                <c:pt idx="10">
                  <c:v>14.0625</c:v>
                </c:pt>
                <c:pt idx="11">
                  <c:v>15.624999999999998</c:v>
                </c:pt>
                <c:pt idx="12">
                  <c:v>17.578125</c:v>
                </c:pt>
                <c:pt idx="13">
                  <c:v>20.089285714285715</c:v>
                </c:pt>
                <c:pt idx="14">
                  <c:v>23.437500000000004</c:v>
                </c:pt>
                <c:pt idx="15">
                  <c:v>28.125000000000014</c:v>
                </c:pt>
                <c:pt idx="16">
                  <c:v>35.156250000000021</c:v>
                </c:pt>
                <c:pt idx="17">
                  <c:v>46.875000000000064</c:v>
                </c:pt>
                <c:pt idx="18">
                  <c:v>70.312500000000171</c:v>
                </c:pt>
                <c:pt idx="19">
                  <c:v>140.6250000000008</c:v>
                </c:pt>
              </c:numCache>
            </c:numRef>
          </c:val>
          <c:smooth val="0"/>
          <c:extLst>
            <c:ext xmlns:c16="http://schemas.microsoft.com/office/drawing/2014/chart" uri="{C3380CC4-5D6E-409C-BE32-E72D297353CC}">
              <c16:uniqueId val="{00000000-682D-42CD-A753-0D76CBAEB31D}"/>
            </c:ext>
          </c:extLst>
        </c:ser>
        <c:ser>
          <c:idx val="1"/>
          <c:order val="1"/>
          <c:tx>
            <c:v>Physical</c:v>
          </c:tx>
          <c:spPr>
            <a:ln w="25400" cap="rnd">
              <a:solidFill>
                <a:schemeClr val="tx1"/>
              </a:solidFill>
              <a:prstDash val="sysDot"/>
              <a:round/>
            </a:ln>
            <a:effectLst/>
          </c:spPr>
          <c:marker>
            <c:symbol val="none"/>
          </c:marker>
          <c:cat>
            <c:numRef>
              <c:f>'Transmission Efficiency'!$B$12:$B$31</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'Transmission Efficiency'!$H$12:$H$31</c:f>
              <c:numCache>
                <c:formatCode>#,##0.00</c:formatCode>
                <c:ptCount val="20"/>
                <c:pt idx="0">
                  <c:v>52.734375</c:v>
                </c:pt>
                <c:pt idx="1">
                  <c:v>55.509868421052637</c:v>
                </c:pt>
                <c:pt idx="2">
                  <c:v>58.59375</c:v>
                </c:pt>
                <c:pt idx="3">
                  <c:v>62.040441176470594</c:v>
                </c:pt>
                <c:pt idx="4">
                  <c:v>65.91796875</c:v>
                </c:pt>
                <c:pt idx="5">
                  <c:v>70.3125</c:v>
                </c:pt>
                <c:pt idx="6">
                  <c:v>75.334821428571445</c:v>
                </c:pt>
                <c:pt idx="7">
                  <c:v>81.129807692307693</c:v>
                </c:pt>
                <c:pt idx="8">
                  <c:v>87.890624999999986</c:v>
                </c:pt>
                <c:pt idx="9">
                  <c:v>95.880681818181813</c:v>
                </c:pt>
                <c:pt idx="10">
                  <c:v>105.46875</c:v>
                </c:pt>
                <c:pt idx="11">
                  <c:v>117.18749999999997</c:v>
                </c:pt>
                <c:pt idx="12">
                  <c:v>131.8359375</c:v>
                </c:pt>
                <c:pt idx="13">
                  <c:v>150.66964285714289</c:v>
                </c:pt>
                <c:pt idx="14">
                  <c:v>175.78125000000006</c:v>
                </c:pt>
                <c:pt idx="15">
                  <c:v>210.93750000000009</c:v>
                </c:pt>
                <c:pt idx="16">
                  <c:v>263.67187500000017</c:v>
                </c:pt>
                <c:pt idx="17">
                  <c:v>351.56250000000045</c:v>
                </c:pt>
                <c:pt idx="18">
                  <c:v>527.34375000000125</c:v>
                </c:pt>
                <c:pt idx="19">
                  <c:v>1054.6875000000061</c:v>
                </c:pt>
              </c:numCache>
            </c:numRef>
          </c:val>
          <c:smooth val="0"/>
          <c:extLst>
            <c:ext xmlns:c16="http://schemas.microsoft.com/office/drawing/2014/chart" uri="{C3380CC4-5D6E-409C-BE32-E72D297353CC}">
              <c16:uniqueId val="{00000001-682D-42CD-A753-0D76CBAEB31D}"/>
            </c:ext>
          </c:extLst>
        </c:ser>
        <c:ser>
          <c:idx val="2"/>
          <c:order val="2"/>
          <c:tx>
            <c:v>Throttle</c:v>
          </c:tx>
          <c:spPr>
            <a:ln w="25400" cap="rnd">
              <a:solidFill>
                <a:srgbClr val="00B050"/>
              </a:solidFill>
              <a:round/>
            </a:ln>
            <a:effectLst/>
          </c:spPr>
          <c:marker>
            <c:symbol val="none"/>
          </c:marker>
          <c:cat>
            <c:numRef>
              <c:f>'Transmission Efficiency'!$B$12:$B$31</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'Transmission Efficiency'!$I$12:$I$31</c:f>
              <c:numCache>
                <c:formatCode>#,##0.00</c:formatCode>
                <c:ptCount val="20"/>
                <c:pt idx="0">
                  <c:v>26.3671875</c:v>
                </c:pt>
                <c:pt idx="1">
                  <c:v>27.754934210526319</c:v>
                </c:pt>
                <c:pt idx="2">
                  <c:v>29.296875</c:v>
                </c:pt>
                <c:pt idx="3">
                  <c:v>31.020220588235297</c:v>
                </c:pt>
                <c:pt idx="4">
                  <c:v>32.958984375</c:v>
                </c:pt>
                <c:pt idx="5">
                  <c:v>35.15625</c:v>
                </c:pt>
                <c:pt idx="6">
                  <c:v>37.667410714285722</c:v>
                </c:pt>
                <c:pt idx="7">
                  <c:v>40.564903846153847</c:v>
                </c:pt>
                <c:pt idx="8">
                  <c:v>43.945312499999993</c:v>
                </c:pt>
                <c:pt idx="9">
                  <c:v>47.940340909090907</c:v>
                </c:pt>
                <c:pt idx="10">
                  <c:v>52.734375</c:v>
                </c:pt>
                <c:pt idx="11">
                  <c:v>58.593749999999986</c:v>
                </c:pt>
                <c:pt idx="12">
                  <c:v>65.91796875</c:v>
                </c:pt>
                <c:pt idx="13">
                  <c:v>75.334821428571445</c:v>
                </c:pt>
                <c:pt idx="14">
                  <c:v>87.890625000000028</c:v>
                </c:pt>
                <c:pt idx="15">
                  <c:v>105.46875000000004</c:v>
                </c:pt>
                <c:pt idx="16">
                  <c:v>131.83593750000009</c:v>
                </c:pt>
                <c:pt idx="17">
                  <c:v>175.78125000000023</c:v>
                </c:pt>
                <c:pt idx="18">
                  <c:v>263.67187500000063</c:v>
                </c:pt>
                <c:pt idx="19">
                  <c:v>527.34375000000307</c:v>
                </c:pt>
              </c:numCache>
            </c:numRef>
          </c:val>
          <c:smooth val="0"/>
          <c:extLst>
            <c:ext xmlns:c16="http://schemas.microsoft.com/office/drawing/2014/chart" uri="{C3380CC4-5D6E-409C-BE32-E72D297353CC}">
              <c16:uniqueId val="{00000002-682D-42CD-A753-0D76CBAEB31D}"/>
            </c:ext>
          </c:extLst>
        </c:ser>
        <c:ser>
          <c:idx val="3"/>
          <c:order val="3"/>
          <c:tx>
            <c:v>Throttle + Efficiency</c:v>
          </c:tx>
          <c:spPr>
            <a:ln w="25400" cap="rnd">
              <a:solidFill>
                <a:srgbClr val="00B050"/>
              </a:solidFill>
              <a:prstDash val="sysDot"/>
              <a:round/>
            </a:ln>
            <a:effectLst/>
          </c:spPr>
          <c:marker>
            <c:symbol val="none"/>
          </c:marker>
          <c:cat>
            <c:numRef>
              <c:f>'Transmission Efficiency'!$B$12:$B$31</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'Transmission Efficiency'!$O$12:$O$31</c:f>
              <c:numCache>
                <c:formatCode>0.00</c:formatCode>
                <c:ptCount val="20"/>
                <c:pt idx="0">
                  <c:v>3.515625</c:v>
                </c:pt>
                <c:pt idx="1">
                  <c:v>3.700657894736842</c:v>
                </c:pt>
                <c:pt idx="2">
                  <c:v>3.90625</c:v>
                </c:pt>
                <c:pt idx="3">
                  <c:v>4.1360294117647056</c:v>
                </c:pt>
                <c:pt idx="4">
                  <c:v>4.39453125</c:v>
                </c:pt>
                <c:pt idx="5">
                  <c:v>4.6875</c:v>
                </c:pt>
                <c:pt idx="6">
                  <c:v>5.0223214285714288</c:v>
                </c:pt>
                <c:pt idx="7">
                  <c:v>5.4086538461538467</c:v>
                </c:pt>
                <c:pt idx="8">
                  <c:v>5.859375</c:v>
                </c:pt>
                <c:pt idx="9">
                  <c:v>6.392045454545455</c:v>
                </c:pt>
                <c:pt idx="10">
                  <c:v>7.03125</c:v>
                </c:pt>
                <c:pt idx="11">
                  <c:v>7.8124999999999991</c:v>
                </c:pt>
                <c:pt idx="12">
                  <c:v>8.7890625</c:v>
                </c:pt>
                <c:pt idx="13">
                  <c:v>10.044642857142858</c:v>
                </c:pt>
                <c:pt idx="14">
                  <c:v>11.718750000000002</c:v>
                </c:pt>
                <c:pt idx="15">
                  <c:v>14.062500000000007</c:v>
                </c:pt>
                <c:pt idx="16">
                  <c:v>17.578125000000011</c:v>
                </c:pt>
                <c:pt idx="17">
                  <c:v>23.437500000000032</c:v>
                </c:pt>
                <c:pt idx="18">
                  <c:v>35.156250000000085</c:v>
                </c:pt>
                <c:pt idx="19">
                  <c:v>70.312500000000398</c:v>
                </c:pt>
              </c:numCache>
            </c:numRef>
          </c:val>
          <c:smooth val="0"/>
          <c:extLst>
            <c:ext xmlns:c16="http://schemas.microsoft.com/office/drawing/2014/chart" uri="{C3380CC4-5D6E-409C-BE32-E72D297353CC}">
              <c16:uniqueId val="{00000003-682D-42CD-A753-0D76CBAEB31D}"/>
            </c:ext>
          </c:extLst>
        </c:ser>
        <c:dLbls>
          <c:showLegendKey val="0"/>
          <c:showVal val="0"/>
          <c:showCatName val="0"/>
          <c:showSerName val="0"/>
          <c:showPercent val="0"/>
          <c:showBubbleSize val="0"/>
        </c:dLbls>
        <c:smooth val="0"/>
        <c:axId val="1214969279"/>
        <c:axId val="1214784351"/>
      </c:lineChart>
      <c:catAx>
        <c:axId val="12149692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Deduplication Rate</a:t>
                </a:r>
              </a:p>
            </c:rich>
          </c:tx>
          <c:layout>
            <c:manualLayout>
              <c:xMode val="edge"/>
              <c:yMode val="edge"/>
              <c:x val="0.30049705822453293"/>
              <c:y val="0.92018621973929238"/>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784351"/>
        <c:crosses val="autoZero"/>
        <c:auto val="1"/>
        <c:lblAlgn val="ctr"/>
        <c:lblOffset val="100"/>
        <c:tickLblSkip val="2"/>
        <c:tickMarkSkip val="2"/>
        <c:noMultiLvlLbl val="0"/>
      </c:catAx>
      <c:valAx>
        <c:axId val="1214784351"/>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TiB</a:t>
                </a:r>
              </a:p>
            </c:rich>
          </c:tx>
          <c:layout>
            <c:manualLayout>
              <c:xMode val="edge"/>
              <c:yMode val="edge"/>
              <c:x val="0.91371273106418804"/>
              <c:y val="0.47365217432334872"/>
            </c:manualLayout>
          </c:layout>
          <c:overlay val="0"/>
          <c:spPr>
            <a:noFill/>
            <a:ln>
              <a:noFill/>
            </a:ln>
            <a:effectLst/>
          </c:spPr>
          <c:txPr>
            <a:bodyPr rot="0" spcFirstLastPara="1" vertOverflow="ellipsis"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969279"/>
        <c:crosses val="max"/>
        <c:crossBetween val="midCat"/>
      </c:valAx>
      <c:spPr>
        <a:solidFill>
          <a:srgbClr val="CEFED3"/>
        </a:solidFill>
        <a:ln>
          <a:noFill/>
        </a:ln>
        <a:effectLst/>
      </c:spPr>
    </c:plotArea>
    <c:legend>
      <c:legendPos val="t"/>
      <c:layout>
        <c:manualLayout>
          <c:xMode val="edge"/>
          <c:yMode val="edge"/>
          <c:x val="2.7085489549011965E-2"/>
          <c:y val="3.2171581769436998E-2"/>
          <c:w val="0.899999932339277"/>
          <c:h val="6.032213801693019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260419265466988"/>
          <c:y val="0.11893567023130373"/>
          <c:w val="0.74064851956398525"/>
          <c:h val="0.7034532053356346"/>
        </c:manualLayout>
      </c:layout>
      <c:barChart>
        <c:barDir val="col"/>
        <c:grouping val="clustered"/>
        <c:varyColors val="0"/>
        <c:ser>
          <c:idx val="1"/>
          <c:order val="0"/>
          <c:tx>
            <c:v>Physical Storage</c:v>
          </c:tx>
          <c:spPr>
            <a:solidFill>
              <a:srgbClr val="FF0000">
                <a:alpha val="58000"/>
              </a:srgbClr>
            </a:solidFill>
            <a:ln>
              <a:noFill/>
            </a:ln>
            <a:effectLst/>
          </c:spPr>
          <c:invertIfNegative val="0"/>
          <c:val>
            <c:numRef>
              <c:f>'Storage Efficiency'!$G$8:$G$27</c:f>
              <c:numCache>
                <c:formatCode>#,##0.00</c:formatCode>
                <c:ptCount val="20"/>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numCache>
            </c:numRef>
          </c:val>
          <c:extLst>
            <c:ext xmlns:c16="http://schemas.microsoft.com/office/drawing/2014/chart" uri="{C3380CC4-5D6E-409C-BE32-E72D297353CC}">
              <c16:uniqueId val="{00000000-3A49-4DC5-90DD-EAFA2C9186C1}"/>
            </c:ext>
          </c:extLst>
        </c:ser>
        <c:dLbls>
          <c:showLegendKey val="0"/>
          <c:showVal val="0"/>
          <c:showCatName val="0"/>
          <c:showSerName val="0"/>
          <c:showPercent val="0"/>
          <c:showBubbleSize val="0"/>
        </c:dLbls>
        <c:gapWidth val="0"/>
        <c:axId val="1214969279"/>
        <c:axId val="1214784351"/>
      </c:barChart>
      <c:lineChart>
        <c:grouping val="standard"/>
        <c:varyColors val="0"/>
        <c:ser>
          <c:idx val="0"/>
          <c:order val="1"/>
          <c:tx>
            <c:v>Logical Storage</c:v>
          </c:tx>
          <c:spPr>
            <a:ln w="25400" cap="rnd">
              <a:solidFill>
                <a:schemeClr val="accent1"/>
              </a:solidFill>
              <a:round/>
            </a:ln>
            <a:effectLst/>
          </c:spPr>
          <c:marker>
            <c:symbol val="none"/>
          </c:marker>
          <c:cat>
            <c:numRef>
              <c:f>'Storage Efficiency'!$B$8:$B$27</c:f>
              <c:numCache>
                <c:formatCode>0%</c:formatCode>
                <c:ptCount val="20"/>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numCache>
            </c:numRef>
          </c:cat>
          <c:val>
            <c:numRef>
              <c:f>'Storage Efficiency'!$D$8:$D$27</c:f>
              <c:numCache>
                <c:formatCode>#,##0.00</c:formatCode>
                <c:ptCount val="20"/>
                <c:pt idx="0">
                  <c:v>70</c:v>
                </c:pt>
                <c:pt idx="1">
                  <c:v>73.684210526315795</c:v>
                </c:pt>
                <c:pt idx="2">
                  <c:v>77.777777777777771</c:v>
                </c:pt>
                <c:pt idx="3">
                  <c:v>82.352941176470594</c:v>
                </c:pt>
                <c:pt idx="4">
                  <c:v>87.5</c:v>
                </c:pt>
                <c:pt idx="5">
                  <c:v>93.333333333333329</c:v>
                </c:pt>
                <c:pt idx="6">
                  <c:v>100</c:v>
                </c:pt>
                <c:pt idx="7">
                  <c:v>107.69230769230769</c:v>
                </c:pt>
                <c:pt idx="8">
                  <c:v>116.66666666666664</c:v>
                </c:pt>
                <c:pt idx="9">
                  <c:v>127.27272727272727</c:v>
                </c:pt>
                <c:pt idx="10">
                  <c:v>140</c:v>
                </c:pt>
                <c:pt idx="11">
                  <c:v>155.55555555555554</c:v>
                </c:pt>
                <c:pt idx="12">
                  <c:v>175</c:v>
                </c:pt>
                <c:pt idx="13">
                  <c:v>200</c:v>
                </c:pt>
                <c:pt idx="14">
                  <c:v>233.33333333333337</c:v>
                </c:pt>
                <c:pt idx="15">
                  <c:v>280.00000000000011</c:v>
                </c:pt>
                <c:pt idx="16">
                  <c:v>350.00000000000028</c:v>
                </c:pt>
                <c:pt idx="17">
                  <c:v>466.66666666666731</c:v>
                </c:pt>
                <c:pt idx="18">
                  <c:v>700.00000000000171</c:v>
                </c:pt>
                <c:pt idx="19">
                  <c:v>1400.0000000000082</c:v>
                </c:pt>
              </c:numCache>
            </c:numRef>
          </c:val>
          <c:smooth val="0"/>
          <c:extLst>
            <c:ext xmlns:c16="http://schemas.microsoft.com/office/drawing/2014/chart" uri="{C3380CC4-5D6E-409C-BE32-E72D297353CC}">
              <c16:uniqueId val="{00000001-3A49-4DC5-90DD-EAFA2C9186C1}"/>
            </c:ext>
          </c:extLst>
        </c:ser>
        <c:dLbls>
          <c:showLegendKey val="0"/>
          <c:showVal val="0"/>
          <c:showCatName val="0"/>
          <c:showSerName val="0"/>
          <c:showPercent val="0"/>
          <c:showBubbleSize val="0"/>
        </c:dLbls>
        <c:marker val="1"/>
        <c:smooth val="0"/>
        <c:axId val="1214969279"/>
        <c:axId val="1214784351"/>
      </c:lineChart>
      <c:catAx>
        <c:axId val="1214969279"/>
        <c:scaling>
          <c:orientation val="minMax"/>
        </c:scaling>
        <c:delete val="0"/>
        <c:axPos val="b"/>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AU" sz="1050" b="1" baseline="0">
                    <a:effectLst/>
                  </a:rPr>
                  <a:t> Deduplication Rate/Savings (%)</a:t>
                </a:r>
                <a:endParaRPr lang="en-AU" sz="1050" b="1">
                  <a:effectLst/>
                </a:endParaRPr>
              </a:p>
            </c:rich>
          </c:tx>
          <c:layout>
            <c:manualLayout>
              <c:xMode val="edge"/>
              <c:yMode val="edge"/>
              <c:x val="0.27994739220058124"/>
              <c:y val="0.8925196131305505"/>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784351"/>
        <c:crosses val="autoZero"/>
        <c:auto val="1"/>
        <c:lblAlgn val="ctr"/>
        <c:lblOffset val="100"/>
        <c:tickLblSkip val="2"/>
        <c:tickMarkSkip val="2"/>
        <c:noMultiLvlLbl val="0"/>
      </c:catAx>
      <c:valAx>
        <c:axId val="1214784351"/>
        <c:scaling>
          <c:orientation val="minMax"/>
        </c:scaling>
        <c:delete val="0"/>
        <c:axPos val="r"/>
        <c:majorGridlines>
          <c:spPr>
            <a:ln w="9525" cap="flat" cmpd="sng" algn="ctr">
              <a:solidFill>
                <a:schemeClr val="bg1">
                  <a:lumMod val="50000"/>
                </a:schemeClr>
              </a:solidFill>
              <a:round/>
            </a:ln>
            <a:effectLst/>
          </c:spPr>
        </c:majorGridlines>
        <c:title>
          <c:tx>
            <c:rich>
              <a:bodyPr rot="5400000" spcFirstLastPara="1" vertOverflow="ellipsis" wrap="square" anchor="ctr" anchorCtr="1"/>
              <a:lstStyle/>
              <a:p>
                <a:pPr>
                  <a:defRPr sz="1050" b="0" i="0" u="none" strike="noStrike" kern="1200" baseline="0">
                    <a:solidFill>
                      <a:schemeClr val="tx1">
                        <a:lumMod val="65000"/>
                        <a:lumOff val="35000"/>
                      </a:schemeClr>
                    </a:solidFill>
                    <a:latin typeface="+mn-lt"/>
                    <a:ea typeface="+mn-ea"/>
                    <a:cs typeface="+mn-cs"/>
                  </a:defRPr>
                </a:pPr>
                <a:r>
                  <a:rPr lang="en-AU" sz="1050" b="1" i="0">
                    <a:effectLst/>
                  </a:rPr>
                  <a:t>Maximum</a:t>
                </a:r>
                <a:r>
                  <a:rPr lang="en-AU" sz="1050" b="1" i="0" baseline="0">
                    <a:effectLst/>
                  </a:rPr>
                  <a:t>  Logical Storage (TiB)</a:t>
                </a:r>
                <a:endParaRPr lang="en-AU" sz="1050">
                  <a:effectLst/>
                </a:endParaRPr>
              </a:p>
            </c:rich>
          </c:tx>
          <c:layout>
            <c:manualLayout>
              <c:xMode val="edge"/>
              <c:yMode val="edge"/>
              <c:x val="0.95224047538036272"/>
              <c:y val="0.28147646833402018"/>
            </c:manualLayout>
          </c:layout>
          <c:overlay val="0"/>
          <c:spPr>
            <a:noFill/>
            <a:ln>
              <a:noFill/>
            </a:ln>
            <a:effectLst/>
          </c:spPr>
          <c:txPr>
            <a:bodyPr rot="5400000" spcFirstLastPara="1" vertOverflow="ellipsis"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969279"/>
        <c:crosses val="max"/>
        <c:crossBetween val="midCat"/>
      </c:valAx>
      <c:spPr>
        <a:solidFill>
          <a:srgbClr val="C5F0FF"/>
        </a:solidFill>
        <a:ln>
          <a:noFill/>
        </a:ln>
        <a:effectLst/>
      </c:spPr>
    </c:plotArea>
    <c:legend>
      <c:legendPos val="t"/>
      <c:legendEntry>
        <c:idx val="0"/>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19589842422671555"/>
          <c:y val="1.8779342723004695E-2"/>
          <c:w val="0.61393769020396116"/>
          <c:h val="7.0203689327566446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ustomXml" Target="../ink/ink1.xml"/><Relationship Id="rId1" Type="http://schemas.openxmlformats.org/officeDocument/2006/relationships/chart" Target="../charts/chart1.xml"/><Relationship Id="rId6" Type="http://schemas.openxmlformats.org/officeDocument/2006/relationships/chart" Target="../charts/chart2.xml"/><Relationship Id="rId5" Type="http://schemas.openxmlformats.org/officeDocument/2006/relationships/customXml" Target="../ink/ink3.xml"/><Relationship Id="rId4" Type="http://schemas.openxmlformats.org/officeDocument/2006/relationships/customXml" Target="../ink/ink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180973</xdr:colOff>
      <xdr:row>9</xdr:row>
      <xdr:rowOff>66675</xdr:rowOff>
    </xdr:from>
    <xdr:to>
      <xdr:col>15</xdr:col>
      <xdr:colOff>38100</xdr:colOff>
      <xdr:row>27</xdr:row>
      <xdr:rowOff>76200</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914040</xdr:colOff>
      <xdr:row>34</xdr:row>
      <xdr:rowOff>18900</xdr:rowOff>
    </xdr:from>
    <xdr:to>
      <xdr:col>1</xdr:col>
      <xdr:colOff>0</xdr:colOff>
      <xdr:row>34</xdr:row>
      <xdr:rowOff>19260</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2" name="Ink 1">
              <a:extLst>
                <a:ext uri="{FF2B5EF4-FFF2-40B4-BE49-F238E27FC236}">
                  <a16:creationId xmlns:a16="http://schemas.microsoft.com/office/drawing/2014/main" id="{00000000-0008-0000-0100-000002000000}"/>
                </a:ext>
              </a:extLst>
            </xdr14:cNvPr>
            <xdr14:cNvContentPartPr/>
          </xdr14:nvContentPartPr>
          <xdr14:nvPr macro=""/>
          <xdr14:xfrm>
            <a:off x="914040" y="6991200"/>
            <a:ext cx="360" cy="360"/>
          </xdr14:xfrm>
        </xdr:contentPart>
      </mc:Choice>
      <mc:Fallback xmlns="">
        <xdr:pic>
          <xdr:nvPicPr>
            <xdr:cNvPr id="2" name="Ink 1">
              <a:extLst>
                <a:ext uri="{FF2B5EF4-FFF2-40B4-BE49-F238E27FC236}">
                  <a16:creationId xmlns:a16="http://schemas.microsoft.com/office/drawing/2014/main" id="{9C708F0F-BFC1-4E6C-A9C4-F105FECD8EBB}"/>
                </a:ext>
              </a:extLst>
            </xdr:cNvPr>
            <xdr:cNvPicPr/>
          </xdr:nvPicPr>
          <xdr:blipFill>
            <a:blip xmlns:r="http://schemas.openxmlformats.org/officeDocument/2006/relationships" r:embed="rId3"/>
            <a:stretch>
              <a:fillRect/>
            </a:stretch>
          </xdr:blipFill>
          <xdr:spPr>
            <a:xfrm>
              <a:off x="905400" y="6982200"/>
              <a:ext cx="18000" cy="18000"/>
            </a:xfrm>
            <a:prstGeom prst="rect">
              <a:avLst/>
            </a:prstGeom>
          </xdr:spPr>
        </xdr:pic>
      </mc:Fallback>
    </mc:AlternateContent>
    <xdr:clientData/>
  </xdr:twoCellAnchor>
  <xdr:twoCellAnchor editAs="oneCell">
    <xdr:from>
      <xdr:col>0</xdr:col>
      <xdr:colOff>657000</xdr:colOff>
      <xdr:row>22</xdr:row>
      <xdr:rowOff>161595</xdr:rowOff>
    </xdr:from>
    <xdr:to>
      <xdr:col>1</xdr:col>
      <xdr:colOff>3735</xdr:colOff>
      <xdr:row>22</xdr:row>
      <xdr:rowOff>161955</xdr:rowOff>
    </xdr:to>
    <mc:AlternateContent xmlns:mc="http://schemas.openxmlformats.org/markup-compatibility/2006" xmlns:xdr14="http://schemas.microsoft.com/office/excel/2010/spreadsheetDrawing">
      <mc:Choice Requires="xdr14">
        <xdr:contentPart xmlns:r="http://schemas.openxmlformats.org/officeDocument/2006/relationships" r:id="rId4">
          <xdr14:nvContentPartPr>
            <xdr14:cNvPr id="3" name="Ink 2">
              <a:extLst>
                <a:ext uri="{FF2B5EF4-FFF2-40B4-BE49-F238E27FC236}">
                  <a16:creationId xmlns:a16="http://schemas.microsoft.com/office/drawing/2014/main" id="{00000000-0008-0000-0100-000003000000}"/>
                </a:ext>
              </a:extLst>
            </xdr14:cNvPr>
            <xdr14:cNvContentPartPr/>
          </xdr14:nvContentPartPr>
          <xdr14:nvPr macro=""/>
          <xdr14:xfrm>
            <a:off x="657000" y="4590720"/>
            <a:ext cx="3960" cy="360"/>
          </xdr14:xfrm>
        </xdr:contentPart>
      </mc:Choice>
      <mc:Fallback xmlns="">
        <xdr:pic>
          <xdr:nvPicPr>
            <xdr:cNvPr id="3" name="Ink 2">
              <a:extLst>
                <a:ext uri="{FF2B5EF4-FFF2-40B4-BE49-F238E27FC236}">
                  <a16:creationId xmlns:a16="http://schemas.microsoft.com/office/drawing/2014/main" id="{0E773945-5D78-4A78-AD96-A5C838517270}"/>
                </a:ext>
              </a:extLst>
            </xdr:cNvPr>
            <xdr:cNvPicPr/>
          </xdr:nvPicPr>
          <xdr:blipFill>
            <a:blip xmlns:r="http://schemas.openxmlformats.org/officeDocument/2006/relationships" r:embed="rId3"/>
            <a:stretch>
              <a:fillRect/>
            </a:stretch>
          </xdr:blipFill>
          <xdr:spPr>
            <a:xfrm>
              <a:off x="648360" y="4581720"/>
              <a:ext cx="21600" cy="18000"/>
            </a:xfrm>
            <a:prstGeom prst="rect">
              <a:avLst/>
            </a:prstGeom>
          </xdr:spPr>
        </xdr:pic>
      </mc:Fallback>
    </mc:AlternateContent>
    <xdr:clientData/>
  </xdr:twoCellAnchor>
  <xdr:twoCellAnchor editAs="oneCell">
    <xdr:from>
      <xdr:col>3</xdr:col>
      <xdr:colOff>123510</xdr:colOff>
      <xdr:row>7</xdr:row>
      <xdr:rowOff>151995</xdr:rowOff>
    </xdr:from>
    <xdr:to>
      <xdr:col>3</xdr:col>
      <xdr:colOff>123870</xdr:colOff>
      <xdr:row>7</xdr:row>
      <xdr:rowOff>152355</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 name="Ink 3">
              <a:extLst>
                <a:ext uri="{FF2B5EF4-FFF2-40B4-BE49-F238E27FC236}">
                  <a16:creationId xmlns:a16="http://schemas.microsoft.com/office/drawing/2014/main" id="{00000000-0008-0000-0100-000004000000}"/>
                </a:ext>
              </a:extLst>
            </xdr14:cNvPr>
            <xdr14:cNvContentPartPr/>
          </xdr14:nvContentPartPr>
          <xdr14:nvPr macro=""/>
          <xdr14:xfrm>
            <a:off x="2428560" y="1685520"/>
            <a:ext cx="360" cy="360"/>
          </xdr14:xfrm>
        </xdr:contentPart>
      </mc:Choice>
      <mc:Fallback xmlns="">
        <xdr:pic>
          <xdr:nvPicPr>
            <xdr:cNvPr id="4" name="Ink 3">
              <a:extLst>
                <a:ext uri="{FF2B5EF4-FFF2-40B4-BE49-F238E27FC236}">
                  <a16:creationId xmlns:a16="http://schemas.microsoft.com/office/drawing/2014/main" id="{772214B2-DD9F-49F3-8685-456E7C0AD86D}"/>
                </a:ext>
              </a:extLst>
            </xdr:cNvPr>
            <xdr:cNvPicPr/>
          </xdr:nvPicPr>
          <xdr:blipFill>
            <a:blip xmlns:r="http://schemas.openxmlformats.org/officeDocument/2006/relationships" r:embed="rId3"/>
            <a:stretch>
              <a:fillRect/>
            </a:stretch>
          </xdr:blipFill>
          <xdr:spPr>
            <a:xfrm>
              <a:off x="2419920" y="1676520"/>
              <a:ext cx="18000" cy="18000"/>
            </a:xfrm>
            <a:prstGeom prst="rect">
              <a:avLst/>
            </a:prstGeom>
          </xdr:spPr>
        </xdr:pic>
      </mc:Fallback>
    </mc:AlternateContent>
    <xdr:clientData/>
  </xdr:twoCellAnchor>
  <xdr:twoCellAnchor>
    <xdr:from>
      <xdr:col>15</xdr:col>
      <xdr:colOff>209550</xdr:colOff>
      <xdr:row>9</xdr:row>
      <xdr:rowOff>19051</xdr:rowOff>
    </xdr:from>
    <xdr:to>
      <xdr:col>22</xdr:col>
      <xdr:colOff>447676</xdr:colOff>
      <xdr:row>27</xdr:row>
      <xdr:rowOff>28577</xdr:rowOff>
    </xdr:to>
    <xdr:graphicFrame macro="">
      <xdr:nvGraphicFramePr>
        <xdr:cNvPr id="8" name="Chart 7">
          <a:extLst>
            <a:ext uri="{FF2B5EF4-FFF2-40B4-BE49-F238E27FC236}">
              <a16:creationId xmlns:a16="http://schemas.microsoft.com/office/drawing/2014/main" id="{1F333534-6084-4829-A316-5B8E506169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66675</xdr:colOff>
      <xdr:row>19</xdr:row>
      <xdr:rowOff>161925</xdr:rowOff>
    </xdr:from>
    <xdr:to>
      <xdr:col>23</xdr:col>
      <xdr:colOff>114301</xdr:colOff>
      <xdr:row>36</xdr:row>
      <xdr:rowOff>152400</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38101</xdr:colOff>
      <xdr:row>3</xdr:row>
      <xdr:rowOff>142875</xdr:rowOff>
    </xdr:from>
    <xdr:to>
      <xdr:col>30</xdr:col>
      <xdr:colOff>171450</xdr:colOff>
      <xdr:row>17</xdr:row>
      <xdr:rowOff>161926</xdr:rowOff>
    </xdr:to>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38100</xdr:colOff>
      <xdr:row>2</xdr:row>
      <xdr:rowOff>152398</xdr:rowOff>
    </xdr:from>
    <xdr:to>
      <xdr:col>22</xdr:col>
      <xdr:colOff>47625</xdr:colOff>
      <xdr:row>17</xdr:row>
      <xdr:rowOff>104774</xdr:rowOff>
    </xdr:to>
    <xdr:graphicFrame macro="">
      <xdr:nvGraphicFramePr>
        <xdr:cNvPr id="14" name="Chart 13">
          <a:extLst>
            <a:ext uri="{FF2B5EF4-FFF2-40B4-BE49-F238E27FC236}">
              <a16:creationId xmlns:a16="http://schemas.microsoft.com/office/drawing/2014/main"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28575</xdr:colOff>
      <xdr:row>3</xdr:row>
      <xdr:rowOff>133350</xdr:rowOff>
    </xdr:from>
    <xdr:to>
      <xdr:col>12</xdr:col>
      <xdr:colOff>9525</xdr:colOff>
      <xdr:row>20</xdr:row>
      <xdr:rowOff>171450</xdr:rowOff>
    </xdr:to>
    <xdr:graphicFrame macro="">
      <xdr:nvGraphicFramePr>
        <xdr:cNvPr id="2" name="Chart 1">
          <a:extLst>
            <a:ext uri="{FF2B5EF4-FFF2-40B4-BE49-F238E27FC236}">
              <a16:creationId xmlns:a16="http://schemas.microsoft.com/office/drawing/2014/main" id="{13DE0413-E52E-4DA5-9743-8768033104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419100</xdr:colOff>
      <xdr:row>3</xdr:row>
      <xdr:rowOff>85724</xdr:rowOff>
    </xdr:from>
    <xdr:to>
      <xdr:col>19</xdr:col>
      <xdr:colOff>485774</xdr:colOff>
      <xdr:row>20</xdr:row>
      <xdr:rowOff>161925</xdr:rowOff>
    </xdr:to>
    <xdr:graphicFrame macro="">
      <xdr:nvGraphicFramePr>
        <xdr:cNvPr id="3" name="Chart 2">
          <a:extLst>
            <a:ext uri="{FF2B5EF4-FFF2-40B4-BE49-F238E27FC236}">
              <a16:creationId xmlns:a16="http://schemas.microsoft.com/office/drawing/2014/main" id="{B3314E45-B5B4-45FA-9C76-1BCD387B4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390525</xdr:colOff>
      <xdr:row>3</xdr:row>
      <xdr:rowOff>19050</xdr:rowOff>
    </xdr:from>
    <xdr:to>
      <xdr:col>27</xdr:col>
      <xdr:colOff>557212</xdr:colOff>
      <xdr:row>20</xdr:row>
      <xdr:rowOff>180975</xdr:rowOff>
    </xdr:to>
    <xdr:graphicFrame macro="">
      <xdr:nvGraphicFramePr>
        <xdr:cNvPr id="4" name="Chart 3">
          <a:extLst>
            <a:ext uri="{FF2B5EF4-FFF2-40B4-BE49-F238E27FC236}">
              <a16:creationId xmlns:a16="http://schemas.microsoft.com/office/drawing/2014/main" id="{9F1FEB1D-DA10-4DE5-A507-677A101208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304800</xdr:colOff>
      <xdr:row>23</xdr:row>
      <xdr:rowOff>104775</xdr:rowOff>
    </xdr:from>
    <xdr:to>
      <xdr:col>13</xdr:col>
      <xdr:colOff>581025</xdr:colOff>
      <xdr:row>41</xdr:row>
      <xdr:rowOff>57150</xdr:rowOff>
    </xdr:to>
    <xdr:graphicFrame macro="">
      <xdr:nvGraphicFramePr>
        <xdr:cNvPr id="5" name="Chart 4">
          <a:extLst>
            <a:ext uri="{FF2B5EF4-FFF2-40B4-BE49-F238E27FC236}">
              <a16:creationId xmlns:a16="http://schemas.microsoft.com/office/drawing/2014/main" id="{D9DE0131-32C1-4CD0-A00F-5D38F2AC6A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323850</xdr:colOff>
      <xdr:row>23</xdr:row>
      <xdr:rowOff>9525</xdr:rowOff>
    </xdr:from>
    <xdr:to>
      <xdr:col>23</xdr:col>
      <xdr:colOff>19051</xdr:colOff>
      <xdr:row>41</xdr:row>
      <xdr:rowOff>57151</xdr:rowOff>
    </xdr:to>
    <xdr:graphicFrame macro="">
      <xdr:nvGraphicFramePr>
        <xdr:cNvPr id="8" name="Chart 7">
          <a:extLst>
            <a:ext uri="{FF2B5EF4-FFF2-40B4-BE49-F238E27FC236}">
              <a16:creationId xmlns:a16="http://schemas.microsoft.com/office/drawing/2014/main" id="{B27F9481-FDD1-41F1-AC29-ECD4C44C2B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219075</xdr:colOff>
      <xdr:row>21</xdr:row>
      <xdr:rowOff>180975</xdr:rowOff>
    </xdr:from>
    <xdr:to>
      <xdr:col>27</xdr:col>
      <xdr:colOff>371475</xdr:colOff>
      <xdr:row>21</xdr:row>
      <xdr:rowOff>200025</xdr:rowOff>
    </xdr:to>
    <xdr:cxnSp macro="">
      <xdr:nvCxnSpPr>
        <xdr:cNvPr id="23" name="Straight Connector 22">
          <a:extLst>
            <a:ext uri="{FF2B5EF4-FFF2-40B4-BE49-F238E27FC236}">
              <a16:creationId xmlns:a16="http://schemas.microsoft.com/office/drawing/2014/main" id="{B6FD0D86-F199-4B89-8DE4-1D97EACAB94A}"/>
            </a:ext>
          </a:extLst>
        </xdr:cNvPr>
        <xdr:cNvCxnSpPr/>
      </xdr:nvCxnSpPr>
      <xdr:spPr>
        <a:xfrm>
          <a:off x="219075" y="3990975"/>
          <a:ext cx="17011650" cy="19050"/>
        </a:xfrm>
        <a:prstGeom prst="line">
          <a:avLst/>
        </a:prstGeom>
        <a:ln w="381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9-09-03T21:35:13.496"/>
    </inkml:context>
    <inkml:brush xml:id="br0">
      <inkml:brushProperty name="width" value="0.05" units="cm"/>
      <inkml:brushProperty name="height" value="0.05" units="cm"/>
      <inkml:brushProperty name="ignorePressure" value="1"/>
    </inkml:brush>
  </inkml:definitions>
  <inkml:trace contextRef="#ctx0" brushRef="#br0">1 0,'0'0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9-09-03T21:35:15.104"/>
    </inkml:context>
    <inkml:brush xml:id="br0">
      <inkml:brushProperty name="width" value="0.05" units="cm"/>
      <inkml:brushProperty name="height" value="0.05" units="cm"/>
      <inkml:brushProperty name="ignorePressure" value="1"/>
    </inkml:brush>
  </inkml:definitions>
  <inkml:trace contextRef="#ctx0" brushRef="#br0">1 0,'4'0,"2"0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9-09-03T21:35:16.672"/>
    </inkml:context>
    <inkml:brush xml:id="br0">
      <inkml:brushProperty name="width" value="0.05" units="cm"/>
      <inkml:brushProperty name="height" value="0.05" units="cm"/>
      <inkml:brushProperty name="ignorePressure" value="1"/>
    </inkml:brush>
  </inkml:definitions>
  <inkml:trace contextRef="#ctx0" brushRef="#br0">1 0,'0'0</inkml:trace>
</inkm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5893C-4AF1-4F98-902B-ADD3398C51CE}">
  <sheetPr codeName="Sheet2"/>
  <dimension ref="A1:AJ45"/>
  <sheetViews>
    <sheetView showGridLines="0" showRowColHeaders="0" tabSelected="1" zoomScaleNormal="100" workbookViewId="0">
      <selection activeCell="D5" sqref="D5"/>
    </sheetView>
  </sheetViews>
  <sheetFormatPr defaultRowHeight="15"/>
  <cols>
    <col min="1" max="1" width="4.7109375" style="49" customWidth="1"/>
    <col min="2" max="2" width="16.28515625" customWidth="1"/>
    <col min="3" max="3" width="13.42578125" style="34" customWidth="1"/>
    <col min="4" max="4" width="15.85546875" customWidth="1"/>
    <col min="5" max="5" width="12.42578125" style="34" customWidth="1"/>
    <col min="6" max="6" width="4.7109375" style="34" customWidth="1"/>
    <col min="7" max="7" width="7.140625" style="34" customWidth="1"/>
    <col min="8" max="8" width="5.85546875" customWidth="1"/>
    <col min="14" max="14" width="7.7109375" customWidth="1"/>
  </cols>
  <sheetData>
    <row r="1" spans="1:36" s="3" customFormat="1" ht="24" customHeight="1">
      <c r="A1" s="170" t="s">
        <v>25</v>
      </c>
      <c r="B1" s="170"/>
      <c r="C1" s="170"/>
      <c r="D1" s="170"/>
      <c r="E1" s="170"/>
      <c r="F1" s="170"/>
      <c r="G1" s="170"/>
      <c r="H1" s="170"/>
      <c r="I1" s="170"/>
      <c r="J1" s="170"/>
      <c r="K1" s="170"/>
      <c r="L1" s="170"/>
      <c r="M1" s="170"/>
      <c r="N1" s="170"/>
      <c r="O1" s="170"/>
      <c r="P1" s="170"/>
      <c r="Q1" s="170"/>
      <c r="R1" s="1"/>
      <c r="S1" s="1"/>
      <c r="T1" s="1"/>
      <c r="U1" s="1"/>
      <c r="V1" s="1"/>
      <c r="W1" s="1"/>
      <c r="X1" s="1"/>
      <c r="Y1" s="1"/>
      <c r="Z1" s="1"/>
      <c r="AA1" s="1"/>
      <c r="AB1" s="1"/>
      <c r="AC1" s="1"/>
      <c r="AD1" s="1"/>
      <c r="AE1" s="1"/>
      <c r="AF1" s="1"/>
      <c r="AG1" s="1"/>
      <c r="AH1" s="1"/>
      <c r="AI1" s="1"/>
      <c r="AJ1" s="1"/>
    </row>
    <row r="2" spans="1:36" s="3" customFormat="1" ht="17.25" customHeight="1">
      <c r="A2" s="46"/>
      <c r="B2" s="5"/>
      <c r="C2" s="4"/>
      <c r="D2" s="4"/>
      <c r="E2" s="4"/>
      <c r="F2" s="4"/>
      <c r="G2" s="4"/>
      <c r="H2" s="4"/>
      <c r="I2" s="4"/>
      <c r="J2" s="4"/>
      <c r="K2" s="1"/>
      <c r="L2" s="1"/>
      <c r="M2" s="1"/>
      <c r="N2" s="1"/>
      <c r="O2" s="1"/>
      <c r="P2" s="1"/>
      <c r="Q2" s="1"/>
      <c r="R2" s="1"/>
      <c r="S2" s="1"/>
      <c r="T2" s="1"/>
      <c r="U2" s="1"/>
      <c r="V2" s="1"/>
      <c r="W2" s="1"/>
      <c r="X2" s="1"/>
      <c r="Y2" s="1"/>
      <c r="Z2" s="1"/>
      <c r="AA2" s="1"/>
      <c r="AB2" s="1"/>
      <c r="AC2" s="1"/>
      <c r="AD2" s="1"/>
      <c r="AE2" s="1"/>
      <c r="AF2" s="1"/>
      <c r="AG2" s="1"/>
      <c r="AH2" s="1"/>
      <c r="AI2" s="1"/>
      <c r="AJ2" s="1"/>
    </row>
    <row r="3" spans="1:36" s="3" customFormat="1" ht="18.75" customHeight="1" thickBot="1">
      <c r="A3" s="29"/>
      <c r="B3" s="6"/>
      <c r="C3" s="7"/>
      <c r="D3" s="8" t="s">
        <v>15</v>
      </c>
      <c r="E3" s="9"/>
      <c r="F3" s="9"/>
      <c r="G3" s="172"/>
      <c r="H3" s="172"/>
      <c r="I3" s="1"/>
      <c r="J3" s="1"/>
      <c r="K3" s="1"/>
      <c r="L3" s="1"/>
      <c r="M3" s="1"/>
      <c r="N3" s="1"/>
      <c r="O3" s="1"/>
      <c r="P3" s="1"/>
      <c r="Q3" s="1"/>
      <c r="R3" s="1"/>
      <c r="S3" s="1"/>
      <c r="T3" s="1"/>
      <c r="U3" s="1"/>
      <c r="V3" s="1"/>
      <c r="W3" s="1"/>
      <c r="X3" s="1"/>
      <c r="Y3" s="1"/>
      <c r="Z3" s="1"/>
      <c r="AA3" s="1"/>
      <c r="AB3" s="1"/>
      <c r="AC3" s="1"/>
      <c r="AD3" s="1"/>
      <c r="AE3" s="1"/>
      <c r="AF3" s="1"/>
      <c r="AG3" s="1"/>
      <c r="AH3" s="1"/>
      <c r="AI3" s="1"/>
      <c r="AJ3" s="1"/>
    </row>
    <row r="4" spans="1:36" s="3" customFormat="1" ht="16.5" customHeight="1" thickTop="1" thickBot="1">
      <c r="A4" s="29"/>
      <c r="B4" s="177" t="s">
        <v>13</v>
      </c>
      <c r="C4" s="177"/>
      <c r="D4" s="158">
        <v>70</v>
      </c>
      <c r="E4" s="10"/>
      <c r="F4" s="10"/>
      <c r="G4" s="178" t="s">
        <v>3</v>
      </c>
      <c r="H4" s="178"/>
      <c r="I4" s="1"/>
      <c r="J4" s="1"/>
      <c r="K4" s="1"/>
      <c r="L4" s="1"/>
      <c r="M4" s="1"/>
      <c r="N4" s="1"/>
      <c r="O4" s="1"/>
      <c r="P4" s="1"/>
      <c r="Q4" s="1"/>
      <c r="R4" s="1"/>
      <c r="S4" s="1"/>
      <c r="T4" s="11"/>
      <c r="U4" s="1"/>
      <c r="V4" s="1"/>
      <c r="W4" s="1"/>
      <c r="X4" s="1"/>
      <c r="Y4" s="1"/>
      <c r="Z4" s="1"/>
      <c r="AA4" s="1"/>
      <c r="AB4" s="1"/>
      <c r="AC4" s="1"/>
      <c r="AD4" s="1"/>
      <c r="AE4" s="1"/>
      <c r="AF4" s="1"/>
      <c r="AG4" s="1"/>
      <c r="AH4" s="1"/>
      <c r="AI4" s="1"/>
      <c r="AJ4" s="1"/>
    </row>
    <row r="5" spans="1:36" s="3" customFormat="1" ht="14.25" customHeight="1" thickTop="1">
      <c r="A5" s="29"/>
      <c r="B5" s="176" t="s">
        <v>14</v>
      </c>
      <c r="C5" s="176"/>
      <c r="D5" s="159">
        <v>50</v>
      </c>
      <c r="E5" s="26" t="str">
        <f>IF(D5&gt;D4, "Source data exceeds physcal storage capacity when not deduplicated ","")</f>
        <v/>
      </c>
      <c r="F5" s="26"/>
      <c r="G5" s="43"/>
      <c r="H5" s="43"/>
      <c r="I5" s="44"/>
      <c r="J5" s="44"/>
      <c r="K5" s="44"/>
      <c r="L5" s="44"/>
      <c r="M5" s="44"/>
      <c r="N5" s="44"/>
      <c r="O5" s="44"/>
      <c r="P5" s="1"/>
      <c r="Q5" s="1"/>
      <c r="R5" s="1"/>
      <c r="S5" s="1"/>
      <c r="T5" s="11"/>
      <c r="U5" s="1"/>
      <c r="V5" s="1"/>
      <c r="W5" s="1"/>
      <c r="X5" s="1"/>
      <c r="Y5" s="1"/>
      <c r="Z5" s="1"/>
      <c r="AA5" s="1"/>
      <c r="AB5" s="1"/>
      <c r="AC5" s="1"/>
      <c r="AD5" s="1"/>
      <c r="AE5" s="1"/>
      <c r="AF5" s="1"/>
      <c r="AG5" s="1"/>
      <c r="AH5" s="1"/>
      <c r="AI5" s="1"/>
      <c r="AJ5" s="1"/>
    </row>
    <row r="6" spans="1:36" s="3" customFormat="1" ht="13.5" customHeight="1">
      <c r="A6" s="29"/>
      <c r="B6" s="12"/>
      <c r="C6" s="10"/>
      <c r="D6" s="13"/>
      <c r="E6" s="10"/>
      <c r="F6" s="10"/>
      <c r="G6" s="10"/>
      <c r="H6" s="1"/>
      <c r="I6" s="1"/>
      <c r="J6" s="1"/>
      <c r="K6" s="14"/>
      <c r="L6" s="14"/>
      <c r="M6" s="14"/>
      <c r="N6" s="14"/>
      <c r="O6" s="14"/>
      <c r="P6" s="14"/>
      <c r="Q6" s="14"/>
      <c r="R6" s="1"/>
      <c r="S6" s="1"/>
      <c r="T6" s="1"/>
      <c r="U6" s="1"/>
      <c r="V6" s="1"/>
      <c r="W6" s="1"/>
      <c r="X6" s="175"/>
      <c r="Y6" s="175"/>
      <c r="Z6" s="175"/>
      <c r="AA6" s="1"/>
      <c r="AB6" s="1"/>
      <c r="AC6" s="1"/>
      <c r="AD6" s="1"/>
      <c r="AE6" s="1"/>
      <c r="AF6" s="1"/>
      <c r="AG6" s="1"/>
      <c r="AH6" s="1"/>
      <c r="AI6" s="1"/>
      <c r="AJ6" s="1"/>
    </row>
    <row r="7" spans="1:36" s="19" customFormat="1" ht="45" customHeight="1" thickBot="1">
      <c r="A7" s="47"/>
      <c r="B7" s="116" t="s">
        <v>1</v>
      </c>
      <c r="C7" s="15" t="s">
        <v>0</v>
      </c>
      <c r="D7" s="15" t="s">
        <v>8</v>
      </c>
      <c r="E7" s="15" t="s">
        <v>9</v>
      </c>
      <c r="F7" s="54"/>
      <c r="G7" s="16"/>
      <c r="H7" s="14"/>
      <c r="I7" s="14"/>
      <c r="J7" s="1"/>
      <c r="K7" s="17"/>
      <c r="L7" s="17"/>
      <c r="M7" s="17"/>
      <c r="N7" s="17"/>
      <c r="O7" s="18"/>
      <c r="P7" s="14"/>
      <c r="Q7" s="14"/>
      <c r="R7" s="14"/>
      <c r="S7" s="14"/>
      <c r="T7" s="14"/>
      <c r="U7" s="14"/>
      <c r="V7" s="14"/>
      <c r="W7" s="14"/>
      <c r="X7" s="14"/>
      <c r="Y7" s="14"/>
      <c r="Z7" s="14"/>
      <c r="AA7" s="14"/>
      <c r="AB7" s="14"/>
      <c r="AC7" s="14"/>
      <c r="AD7" s="14"/>
      <c r="AE7" s="14"/>
      <c r="AF7" s="14"/>
      <c r="AG7" s="14"/>
      <c r="AH7" s="14"/>
      <c r="AI7" s="14"/>
      <c r="AJ7" s="14"/>
    </row>
    <row r="8" spans="1:36" s="19" customFormat="1" ht="18" customHeight="1" thickTop="1" thickBot="1">
      <c r="A8" s="51" t="s">
        <v>4</v>
      </c>
      <c r="B8" s="144">
        <v>0</v>
      </c>
      <c r="C8" s="145">
        <f>D8/D4</f>
        <v>1</v>
      </c>
      <c r="D8" s="160">
        <f>D4/(1-B8)</f>
        <v>70</v>
      </c>
      <c r="E8" s="146">
        <f>D5-(D5*B8)</f>
        <v>50</v>
      </c>
      <c r="F8" s="121" t="str">
        <f>IF((D5-(D5*B8))&gt;D4, "***","")</f>
        <v/>
      </c>
      <c r="G8" s="20">
        <f>D4</f>
        <v>70</v>
      </c>
      <c r="H8" s="21"/>
      <c r="I8" s="14"/>
      <c r="J8" s="17"/>
      <c r="K8" s="17"/>
      <c r="L8" s="17"/>
      <c r="M8" s="18"/>
      <c r="N8" s="1"/>
      <c r="O8" s="1"/>
      <c r="P8" s="1"/>
      <c r="Q8" s="1"/>
      <c r="R8" s="14"/>
      <c r="S8" s="14"/>
      <c r="T8" s="14"/>
      <c r="U8" s="14"/>
      <c r="V8" s="14"/>
      <c r="W8" s="14"/>
      <c r="X8" s="14"/>
      <c r="Y8" s="14"/>
      <c r="Z8" s="14"/>
      <c r="AA8" s="14"/>
      <c r="AB8" s="14"/>
      <c r="AC8" s="14"/>
      <c r="AD8" s="14"/>
      <c r="AE8" s="14"/>
      <c r="AF8" s="14"/>
      <c r="AG8" s="14"/>
      <c r="AH8" s="14"/>
      <c r="AI8" s="14"/>
      <c r="AJ8" s="14"/>
    </row>
    <row r="9" spans="1:36" s="3" customFormat="1" ht="15" customHeight="1" thickTop="1">
      <c r="A9" s="29"/>
      <c r="B9" s="124">
        <f>B8+0.05</f>
        <v>0.05</v>
      </c>
      <c r="C9" s="142">
        <f>D9/D4</f>
        <v>1.0526315789473686</v>
      </c>
      <c r="D9" s="161">
        <f>D4/(1-B9)</f>
        <v>73.684210526315795</v>
      </c>
      <c r="E9" s="143">
        <f>D5-(D5*B9)</f>
        <v>47.5</v>
      </c>
      <c r="F9" s="121" t="str">
        <f>IF((D5-(D5*B9))&gt;D4, "***","")</f>
        <v/>
      </c>
      <c r="G9" s="20">
        <f>D4</f>
        <v>70</v>
      </c>
      <c r="H9" s="42"/>
      <c r="I9" s="179" t="str">
        <f>"Logical Storage Capacity for a " &amp; D4 &amp; " TiB Physical Volume"</f>
        <v>Logical Storage Capacity for a 70 TiB Physical Volume</v>
      </c>
      <c r="J9" s="179"/>
      <c r="K9" s="179"/>
      <c r="L9" s="179"/>
      <c r="M9" s="179"/>
      <c r="N9" s="179"/>
      <c r="O9" s="1"/>
      <c r="P9" s="168" t="str">
        <f>"Physical Storage Used for " &amp; 'Storage Efficiency'!D5 &amp; " TiB Data in a " &amp; 'Storage Efficiency'!D4 &amp; " TiB volume"</f>
        <v>Physical Storage Used for 50 TiB Data in a 70 TiB volume</v>
      </c>
      <c r="Q9" s="168"/>
      <c r="R9" s="168"/>
      <c r="S9" s="168"/>
      <c r="T9" s="168"/>
      <c r="U9" s="168"/>
      <c r="V9" s="168"/>
      <c r="W9" s="168"/>
      <c r="X9" s="1"/>
      <c r="Y9" s="1"/>
      <c r="Z9" s="1"/>
      <c r="AA9" s="1"/>
      <c r="AB9" s="1"/>
      <c r="AC9" s="1"/>
      <c r="AD9" s="1"/>
      <c r="AE9" s="1"/>
      <c r="AF9" s="1"/>
      <c r="AG9" s="1"/>
      <c r="AH9" s="1"/>
      <c r="AI9" s="1"/>
      <c r="AJ9" s="1"/>
    </row>
    <row r="10" spans="1:36" s="3" customFormat="1" ht="15.75" customHeight="1">
      <c r="A10" s="29"/>
      <c r="B10" s="22">
        <f t="shared" ref="B10:B27" si="0">B9+0.05</f>
        <v>0.1</v>
      </c>
      <c r="C10" s="23">
        <f>D10/D4</f>
        <v>1.1111111111111109</v>
      </c>
      <c r="D10" s="162">
        <f>D4/(1-B10)</f>
        <v>77.777777777777771</v>
      </c>
      <c r="E10" s="45">
        <f>D5-(D5*B10)</f>
        <v>45</v>
      </c>
      <c r="F10" s="121" t="str">
        <f>IF((D5-(D5*B10))&gt;D4, "***","")</f>
        <v/>
      </c>
      <c r="G10" s="20">
        <f>D4</f>
        <v>70</v>
      </c>
      <c r="H10" s="42"/>
      <c r="I10" s="42"/>
      <c r="J10" s="42"/>
      <c r="K10" s="42"/>
      <c r="L10" s="42"/>
      <c r="M10" s="42"/>
      <c r="N10" s="42"/>
      <c r="O10" s="1"/>
      <c r="P10" s="1"/>
      <c r="Q10" s="1"/>
      <c r="R10" s="1"/>
      <c r="S10" s="1"/>
      <c r="T10" s="1"/>
      <c r="U10" s="1"/>
      <c r="V10" s="1"/>
      <c r="W10" s="1"/>
      <c r="X10" s="1"/>
      <c r="Y10" s="1"/>
      <c r="Z10" s="1"/>
      <c r="AA10" s="1"/>
      <c r="AB10" s="1"/>
      <c r="AC10" s="1"/>
      <c r="AD10" s="1"/>
      <c r="AE10" s="1"/>
      <c r="AF10" s="1"/>
      <c r="AG10" s="1"/>
      <c r="AH10" s="1"/>
      <c r="AI10" s="1"/>
      <c r="AJ10" s="1"/>
    </row>
    <row r="11" spans="1:36" s="3" customFormat="1">
      <c r="A11" s="29"/>
      <c r="B11" s="22">
        <f t="shared" si="0"/>
        <v>0.15000000000000002</v>
      </c>
      <c r="C11" s="23">
        <f>D11/D4</f>
        <v>1.1764705882352942</v>
      </c>
      <c r="D11" s="162">
        <f>D4/(1-B11)</f>
        <v>82.352941176470594</v>
      </c>
      <c r="E11" s="45">
        <f>D5-(D5*B11)</f>
        <v>42.5</v>
      </c>
      <c r="F11" s="121" t="str">
        <f>IF((D5-(D5*B11))&gt;D4, "***","")</f>
        <v/>
      </c>
      <c r="G11" s="20">
        <f>D4</f>
        <v>70</v>
      </c>
      <c r="H11" s="42"/>
      <c r="I11" s="42"/>
      <c r="J11" s="42"/>
      <c r="K11" s="42"/>
      <c r="L11" s="42"/>
      <c r="M11" s="42"/>
      <c r="N11" s="42"/>
      <c r="O11" s="1"/>
      <c r="P11" s="1"/>
      <c r="Q11" s="1"/>
      <c r="R11" s="1"/>
      <c r="S11" s="1"/>
      <c r="T11" s="1"/>
      <c r="U11" s="1"/>
      <c r="V11" s="1"/>
      <c r="W11" s="1"/>
      <c r="X11" s="1"/>
      <c r="Y11" s="1"/>
      <c r="Z11" s="1"/>
      <c r="AA11" s="1"/>
      <c r="AB11" s="1"/>
      <c r="AC11" s="1"/>
      <c r="AD11" s="1"/>
      <c r="AE11" s="1"/>
      <c r="AF11" s="1"/>
      <c r="AG11" s="1"/>
      <c r="AH11" s="1"/>
      <c r="AI11" s="1"/>
      <c r="AJ11" s="1"/>
    </row>
    <row r="12" spans="1:36" s="3" customFormat="1">
      <c r="A12" s="29"/>
      <c r="B12" s="22">
        <f t="shared" si="0"/>
        <v>0.2</v>
      </c>
      <c r="C12" s="23">
        <f>D12/D4</f>
        <v>1.25</v>
      </c>
      <c r="D12" s="162">
        <f>D4/(1-B12)</f>
        <v>87.5</v>
      </c>
      <c r="E12" s="45">
        <f>D5-(D5*B12)</f>
        <v>40</v>
      </c>
      <c r="F12" s="121" t="str">
        <f>IF((D5-(D5*B12))&gt;D4, "***","")</f>
        <v/>
      </c>
      <c r="G12" s="20">
        <f>D4</f>
        <v>70</v>
      </c>
      <c r="H12" s="1"/>
      <c r="I12" s="1"/>
      <c r="J12" s="24"/>
      <c r="K12" s="1"/>
      <c r="L12" s="1"/>
      <c r="M12" s="1"/>
      <c r="N12" s="1"/>
      <c r="O12" s="1"/>
      <c r="P12" s="1"/>
      <c r="Q12" s="1"/>
      <c r="R12" s="1"/>
      <c r="S12" s="1"/>
      <c r="T12" s="1"/>
      <c r="U12" s="1"/>
      <c r="V12" s="1"/>
      <c r="W12" s="1"/>
      <c r="X12" s="1"/>
      <c r="Y12" s="1"/>
      <c r="Z12" s="1"/>
      <c r="AA12" s="1"/>
      <c r="AB12" s="1"/>
      <c r="AC12" s="1"/>
      <c r="AD12" s="1"/>
      <c r="AE12" s="1"/>
      <c r="AF12" s="1"/>
      <c r="AG12" s="1"/>
      <c r="AH12" s="1"/>
      <c r="AI12" s="1"/>
      <c r="AJ12" s="1"/>
    </row>
    <row r="13" spans="1:36" s="3" customFormat="1">
      <c r="A13" s="29"/>
      <c r="B13" s="22">
        <f t="shared" si="0"/>
        <v>0.25</v>
      </c>
      <c r="C13" s="23">
        <f>D13/D4</f>
        <v>1.3333333333333333</v>
      </c>
      <c r="D13" s="162">
        <f>D4/(1-B13)</f>
        <v>93.333333333333329</v>
      </c>
      <c r="E13" s="45">
        <f>D5-(D5*B13)</f>
        <v>37.5</v>
      </c>
      <c r="F13" s="121" t="str">
        <f>IF((D5-(D5*B13))&gt;D4, "***","")</f>
        <v/>
      </c>
      <c r="G13" s="20">
        <f>D4</f>
        <v>70</v>
      </c>
      <c r="H13" s="1"/>
      <c r="I13" s="1"/>
      <c r="J13" s="24"/>
      <c r="K13" s="1"/>
      <c r="L13" s="1"/>
      <c r="M13" s="1"/>
      <c r="N13" s="1"/>
      <c r="O13" s="1"/>
      <c r="P13" s="1"/>
      <c r="Q13" s="1"/>
      <c r="R13" s="1"/>
      <c r="S13" s="1"/>
      <c r="T13" s="1"/>
      <c r="U13" s="1"/>
      <c r="V13" s="1"/>
      <c r="W13" s="1"/>
      <c r="X13" s="1"/>
      <c r="Y13" s="1"/>
      <c r="Z13" s="1"/>
      <c r="AA13" s="1"/>
      <c r="AB13" s="1"/>
      <c r="AC13" s="1"/>
      <c r="AD13" s="1"/>
      <c r="AE13" s="1"/>
      <c r="AF13" s="1"/>
      <c r="AG13" s="1"/>
      <c r="AH13" s="1"/>
      <c r="AI13" s="1"/>
      <c r="AJ13" s="1"/>
    </row>
    <row r="14" spans="1:36" s="3" customFormat="1">
      <c r="A14" s="29"/>
      <c r="B14" s="22">
        <f t="shared" si="0"/>
        <v>0.3</v>
      </c>
      <c r="C14" s="23">
        <f>D14/D4</f>
        <v>1.4285714285714286</v>
      </c>
      <c r="D14" s="162">
        <f>D4/(1-B14)</f>
        <v>100</v>
      </c>
      <c r="E14" s="45">
        <f>D5-(D5*B14)</f>
        <v>35</v>
      </c>
      <c r="F14" s="121" t="str">
        <f>IF((D5-(D5*B14))&gt;D4, "***","")</f>
        <v/>
      </c>
      <c r="G14" s="20">
        <f>D4</f>
        <v>70</v>
      </c>
      <c r="H14" s="1"/>
      <c r="I14" s="1"/>
      <c r="J14" s="24"/>
      <c r="K14" s="1"/>
      <c r="L14" s="1"/>
      <c r="M14" s="1"/>
      <c r="N14" s="1"/>
      <c r="O14" s="1"/>
      <c r="P14" s="1"/>
      <c r="Q14" s="1"/>
      <c r="R14" s="1"/>
      <c r="S14" s="1"/>
      <c r="T14" s="1"/>
      <c r="U14" s="1"/>
      <c r="V14" s="1"/>
      <c r="W14" s="1"/>
      <c r="X14" s="1"/>
      <c r="Y14" s="1"/>
      <c r="Z14" s="1"/>
      <c r="AA14" s="1"/>
      <c r="AB14" s="1"/>
      <c r="AC14" s="1"/>
      <c r="AD14" s="1"/>
      <c r="AE14" s="1"/>
      <c r="AF14" s="1"/>
      <c r="AG14" s="1"/>
      <c r="AH14" s="1"/>
      <c r="AI14" s="1"/>
      <c r="AJ14" s="1"/>
    </row>
    <row r="15" spans="1:36" s="3" customFormat="1">
      <c r="A15" s="29"/>
      <c r="B15" s="22">
        <f t="shared" si="0"/>
        <v>0.35</v>
      </c>
      <c r="C15" s="23">
        <f>D15/D4</f>
        <v>1.5384615384615385</v>
      </c>
      <c r="D15" s="162">
        <f>D4/(1-B15)</f>
        <v>107.69230769230769</v>
      </c>
      <c r="E15" s="45">
        <f>D5-(D5*B15)</f>
        <v>32.5</v>
      </c>
      <c r="F15" s="121" t="str">
        <f>IF((D5-(D5*B15))&gt;D4, "***","")</f>
        <v/>
      </c>
      <c r="G15" s="20">
        <f>D4</f>
        <v>70</v>
      </c>
      <c r="H15" s="1"/>
      <c r="I15" s="1"/>
      <c r="J15" s="24"/>
      <c r="K15" s="1"/>
      <c r="L15" s="1"/>
      <c r="M15" s="1"/>
      <c r="N15" s="1"/>
      <c r="O15" s="1"/>
      <c r="P15" s="1"/>
      <c r="Q15" s="1"/>
      <c r="R15" s="1"/>
      <c r="S15" s="1"/>
      <c r="T15" s="1"/>
      <c r="U15" s="1"/>
      <c r="V15" s="1"/>
      <c r="W15" s="1"/>
      <c r="X15" s="1"/>
      <c r="Y15" s="1"/>
      <c r="Z15" s="1"/>
      <c r="AA15" s="1"/>
      <c r="AB15" s="1"/>
      <c r="AC15" s="1"/>
      <c r="AD15" s="1"/>
      <c r="AE15" s="1"/>
      <c r="AF15" s="1"/>
      <c r="AG15" s="1"/>
      <c r="AH15" s="1"/>
      <c r="AI15" s="1"/>
      <c r="AJ15" s="1"/>
    </row>
    <row r="16" spans="1:36" s="3" customFormat="1">
      <c r="A16" s="29"/>
      <c r="B16" s="22">
        <f t="shared" si="0"/>
        <v>0.39999999999999997</v>
      </c>
      <c r="C16" s="23">
        <f>D16/D4</f>
        <v>1.6666666666666663</v>
      </c>
      <c r="D16" s="162">
        <f>D4/(1-B16)</f>
        <v>116.66666666666664</v>
      </c>
      <c r="E16" s="45">
        <f>D5-(D5*B16)</f>
        <v>30</v>
      </c>
      <c r="F16" s="121" t="str">
        <f>IF((D5-(D5*B16))&gt;D4, "***","")</f>
        <v/>
      </c>
      <c r="G16" s="20">
        <f>D4</f>
        <v>70</v>
      </c>
      <c r="H16" s="25"/>
      <c r="I16" s="25"/>
      <c r="J16" s="25"/>
      <c r="K16" s="1"/>
      <c r="L16" s="1"/>
      <c r="M16" s="1"/>
      <c r="N16" s="1"/>
      <c r="O16" s="1"/>
      <c r="P16" s="1"/>
      <c r="Q16" s="1"/>
      <c r="R16" s="1"/>
      <c r="S16" s="1"/>
      <c r="T16" s="1"/>
      <c r="U16" s="1"/>
      <c r="V16" s="1"/>
      <c r="W16" s="1"/>
      <c r="X16" s="1"/>
      <c r="Y16" s="1"/>
      <c r="Z16" s="1"/>
      <c r="AA16" s="1"/>
      <c r="AB16" s="1"/>
      <c r="AC16" s="1"/>
      <c r="AD16" s="1"/>
      <c r="AE16" s="1"/>
      <c r="AF16" s="1"/>
      <c r="AG16" s="1"/>
      <c r="AH16" s="1"/>
      <c r="AI16" s="1"/>
      <c r="AJ16" s="1"/>
    </row>
    <row r="17" spans="1:36" s="3" customFormat="1" ht="15.75">
      <c r="A17" s="29"/>
      <c r="B17" s="22">
        <f t="shared" si="0"/>
        <v>0.44999999999999996</v>
      </c>
      <c r="C17" s="23">
        <f>D17/D4</f>
        <v>1.8181818181818181</v>
      </c>
      <c r="D17" s="162">
        <f>D4/(1-B17)</f>
        <v>127.27272727272727</v>
      </c>
      <c r="E17" s="45">
        <f>D5-(D5*B17)</f>
        <v>27.500000000000004</v>
      </c>
      <c r="F17" s="121" t="str">
        <f>IF((D5-(D5*B17))&gt;D4, "***","")</f>
        <v/>
      </c>
      <c r="G17" s="20">
        <f>D4</f>
        <v>70</v>
      </c>
      <c r="H17" s="1"/>
      <c r="I17" s="26"/>
      <c r="J17" s="26"/>
      <c r="K17" s="1"/>
      <c r="L17" s="1"/>
      <c r="M17" s="1"/>
      <c r="N17" s="1"/>
      <c r="O17" s="1"/>
      <c r="P17" s="1"/>
      <c r="Q17" s="1"/>
      <c r="R17" s="1"/>
      <c r="S17" s="1"/>
      <c r="T17" s="1"/>
      <c r="U17" s="1"/>
      <c r="V17" s="1"/>
      <c r="W17" s="1"/>
      <c r="X17" s="1"/>
      <c r="Y17" s="1"/>
      <c r="Z17" s="1"/>
      <c r="AA17" s="1"/>
      <c r="AB17" s="1"/>
      <c r="AC17" s="1"/>
      <c r="AD17" s="1"/>
      <c r="AE17" s="1"/>
      <c r="AF17" s="1"/>
      <c r="AG17" s="1"/>
      <c r="AH17" s="1"/>
      <c r="AI17" s="1"/>
      <c r="AJ17" s="1"/>
    </row>
    <row r="18" spans="1:36" s="3" customFormat="1" ht="15.75">
      <c r="A18" s="29"/>
      <c r="B18" s="22">
        <f t="shared" si="0"/>
        <v>0.49999999999999994</v>
      </c>
      <c r="C18" s="23">
        <f>D18/D4</f>
        <v>2</v>
      </c>
      <c r="D18" s="162">
        <f>D4/(1-B18)</f>
        <v>140</v>
      </c>
      <c r="E18" s="45">
        <f>D5-(D5*B18)</f>
        <v>25.000000000000004</v>
      </c>
      <c r="F18" s="121" t="str">
        <f>IF((D5-(D5*B18))&gt;D4, "***","")</f>
        <v/>
      </c>
      <c r="G18" s="20">
        <f>D4</f>
        <v>70</v>
      </c>
      <c r="H18" s="1"/>
      <c r="I18" s="1"/>
      <c r="J18" s="24"/>
      <c r="K18" s="168"/>
      <c r="L18" s="168"/>
      <c r="M18" s="168"/>
      <c r="N18" s="168"/>
      <c r="O18" s="168"/>
      <c r="P18" s="1"/>
      <c r="Q18" s="1"/>
      <c r="R18" s="1"/>
      <c r="S18" s="1"/>
      <c r="T18" s="1"/>
      <c r="U18" s="1"/>
      <c r="V18" s="1"/>
      <c r="W18" s="1"/>
      <c r="X18" s="1"/>
      <c r="Y18" s="1"/>
      <c r="Z18" s="1"/>
      <c r="AA18" s="1"/>
      <c r="AB18" s="1"/>
      <c r="AC18" s="1"/>
      <c r="AD18" s="1"/>
      <c r="AE18" s="1"/>
      <c r="AF18" s="1"/>
      <c r="AG18" s="1"/>
      <c r="AH18" s="1"/>
      <c r="AI18" s="1"/>
      <c r="AJ18" s="1"/>
    </row>
    <row r="19" spans="1:36" s="3" customFormat="1" ht="15.75">
      <c r="A19" s="29"/>
      <c r="B19" s="22">
        <f t="shared" si="0"/>
        <v>0.54999999999999993</v>
      </c>
      <c r="C19" s="23">
        <f>D19/D4</f>
        <v>2.2222222222222219</v>
      </c>
      <c r="D19" s="162">
        <f>D4/(1-B19)</f>
        <v>155.55555555555554</v>
      </c>
      <c r="E19" s="45">
        <f>D5-(D5*B19)</f>
        <v>22.500000000000004</v>
      </c>
      <c r="F19" s="121" t="str">
        <f>IF((D5-(D5*B19))&gt;D4, "***","")</f>
        <v/>
      </c>
      <c r="G19" s="20">
        <f>D4</f>
        <v>70</v>
      </c>
      <c r="H19" s="1"/>
      <c r="I19" s="1"/>
      <c r="J19" s="24"/>
      <c r="K19" s="168"/>
      <c r="L19" s="168"/>
      <c r="M19" s="168"/>
      <c r="N19" s="168"/>
      <c r="O19" s="168"/>
      <c r="P19" s="1"/>
      <c r="Q19" s="1"/>
      <c r="R19" s="1"/>
      <c r="S19" s="1"/>
      <c r="T19" s="1"/>
      <c r="U19" s="1"/>
      <c r="V19" s="1"/>
      <c r="W19" s="1"/>
      <c r="X19" s="1"/>
      <c r="Y19" s="1"/>
      <c r="Z19" s="1"/>
      <c r="AA19" s="1"/>
      <c r="AB19" s="1"/>
      <c r="AC19" s="1"/>
      <c r="AD19" s="1"/>
      <c r="AE19" s="1"/>
      <c r="AF19" s="1"/>
      <c r="AG19" s="1"/>
      <c r="AH19" s="1"/>
      <c r="AI19" s="1"/>
      <c r="AJ19" s="1"/>
    </row>
    <row r="20" spans="1:36" s="3" customFormat="1">
      <c r="A20" s="29"/>
      <c r="B20" s="22">
        <f t="shared" si="0"/>
        <v>0.6</v>
      </c>
      <c r="C20" s="23">
        <f>D20/D4</f>
        <v>2.5</v>
      </c>
      <c r="D20" s="162">
        <f>D4/(1-B20)</f>
        <v>175</v>
      </c>
      <c r="E20" s="45">
        <f>D5-(D5*B20)</f>
        <v>20</v>
      </c>
      <c r="F20" s="121" t="str">
        <f>IF((D5-(D5*B20))&gt;D4, "***","")</f>
        <v/>
      </c>
      <c r="G20" s="20">
        <f>D4</f>
        <v>70</v>
      </c>
      <c r="H20" s="1"/>
      <c r="I20" s="1"/>
      <c r="J20" s="24"/>
      <c r="K20" s="1"/>
      <c r="L20" s="1"/>
      <c r="M20" s="1"/>
      <c r="N20" s="1"/>
      <c r="O20" s="1"/>
      <c r="P20" s="1"/>
      <c r="Q20" s="1"/>
      <c r="R20" s="1"/>
      <c r="S20" s="1"/>
      <c r="T20" s="1"/>
      <c r="U20" s="1"/>
      <c r="V20" s="1"/>
      <c r="W20" s="1"/>
      <c r="X20" s="1"/>
      <c r="Y20" s="1"/>
      <c r="Z20" s="1"/>
      <c r="AA20" s="1"/>
      <c r="AB20" s="1"/>
      <c r="AC20" s="1"/>
      <c r="AD20" s="1"/>
      <c r="AE20" s="1"/>
      <c r="AF20" s="1"/>
      <c r="AG20" s="1"/>
      <c r="AH20" s="1"/>
      <c r="AI20" s="1"/>
      <c r="AJ20" s="1"/>
    </row>
    <row r="21" spans="1:36" s="3" customFormat="1">
      <c r="A21" s="29"/>
      <c r="B21" s="22">
        <f t="shared" si="0"/>
        <v>0.65</v>
      </c>
      <c r="C21" s="23">
        <f>D21/D4</f>
        <v>2.8571428571428572</v>
      </c>
      <c r="D21" s="162">
        <f>D4/(1-B21)</f>
        <v>200</v>
      </c>
      <c r="E21" s="45">
        <f>D5-(D5*B21)</f>
        <v>17.5</v>
      </c>
      <c r="F21" s="121" t="str">
        <f>IF((D5-(D5*B21))&gt;D4, "***","")</f>
        <v/>
      </c>
      <c r="G21" s="20">
        <f>D4</f>
        <v>70</v>
      </c>
      <c r="H21" s="1"/>
      <c r="I21" s="1"/>
      <c r="J21" s="24"/>
      <c r="K21" s="1"/>
      <c r="L21" s="1"/>
      <c r="M21" s="1"/>
      <c r="N21" s="1"/>
      <c r="O21" s="1"/>
      <c r="P21" s="1"/>
      <c r="Q21" s="1"/>
      <c r="R21" s="1"/>
      <c r="S21" s="1"/>
      <c r="T21" s="1"/>
      <c r="U21" s="1"/>
      <c r="V21" s="1"/>
      <c r="W21" s="1"/>
      <c r="X21" s="1"/>
      <c r="Y21" s="1"/>
      <c r="Z21" s="1"/>
      <c r="AA21" s="1"/>
      <c r="AB21" s="1"/>
      <c r="AC21" s="1"/>
      <c r="AD21" s="1"/>
      <c r="AE21" s="1"/>
      <c r="AF21" s="1"/>
      <c r="AG21" s="1"/>
      <c r="AH21" s="1"/>
      <c r="AI21" s="1"/>
      <c r="AJ21" s="1"/>
    </row>
    <row r="22" spans="1:36" s="3" customFormat="1">
      <c r="A22" s="29"/>
      <c r="B22" s="22">
        <f t="shared" si="0"/>
        <v>0.70000000000000007</v>
      </c>
      <c r="C22" s="23">
        <f>D22/D4</f>
        <v>3.3333333333333339</v>
      </c>
      <c r="D22" s="162">
        <f>D4/(1-B22)</f>
        <v>233.33333333333337</v>
      </c>
      <c r="E22" s="45">
        <f>D5-(D5*B22)</f>
        <v>15</v>
      </c>
      <c r="F22" s="121" t="str">
        <f>IF((D5-(D5*B22))&gt;D4, "***","")</f>
        <v/>
      </c>
      <c r="G22" s="20">
        <f>D4</f>
        <v>70</v>
      </c>
      <c r="H22" s="1"/>
      <c r="I22" s="1"/>
      <c r="J22" s="24"/>
      <c r="K22" s="27"/>
      <c r="L22" s="1"/>
      <c r="M22" s="1"/>
      <c r="N22" s="1"/>
      <c r="O22" s="1"/>
      <c r="P22" s="1"/>
      <c r="Q22" s="1"/>
      <c r="R22" s="1"/>
      <c r="S22" s="1"/>
      <c r="T22" s="1"/>
      <c r="U22" s="1"/>
      <c r="V22" s="1"/>
      <c r="W22" s="1"/>
      <c r="X22" s="1"/>
      <c r="Y22" s="1"/>
      <c r="Z22" s="1"/>
      <c r="AA22" s="1"/>
      <c r="AB22" s="1"/>
      <c r="AC22" s="1"/>
      <c r="AD22" s="1"/>
      <c r="AE22" s="1"/>
      <c r="AF22" s="1"/>
      <c r="AG22" s="1"/>
      <c r="AH22" s="1"/>
      <c r="AI22" s="1"/>
      <c r="AJ22" s="1"/>
    </row>
    <row r="23" spans="1:36" s="3" customFormat="1">
      <c r="A23" s="29"/>
      <c r="B23" s="22">
        <f t="shared" si="0"/>
        <v>0.75000000000000011</v>
      </c>
      <c r="C23" s="23">
        <f>D23/D4</f>
        <v>4.0000000000000018</v>
      </c>
      <c r="D23" s="162">
        <f>D4/(1-B23)</f>
        <v>280.00000000000011</v>
      </c>
      <c r="E23" s="45">
        <f>D5-(D5*B23)</f>
        <v>12.499999999999993</v>
      </c>
      <c r="F23" s="121" t="str">
        <f>IF((D5-(D5*B23))&gt;D4, "***","")</f>
        <v/>
      </c>
      <c r="G23" s="20">
        <f>D4</f>
        <v>70</v>
      </c>
      <c r="H23" s="1"/>
      <c r="I23" s="1"/>
      <c r="J23" s="24"/>
      <c r="K23" s="1"/>
      <c r="L23" s="1"/>
      <c r="M23" s="1"/>
      <c r="N23" s="1"/>
      <c r="O23" s="1"/>
      <c r="P23" s="1"/>
      <c r="Q23" s="1"/>
      <c r="R23" s="1"/>
      <c r="S23" s="1"/>
      <c r="T23" s="1"/>
      <c r="U23" s="1"/>
      <c r="V23" s="1"/>
      <c r="W23" s="1"/>
      <c r="X23" s="1"/>
      <c r="Y23" s="1"/>
      <c r="Z23" s="1"/>
      <c r="AA23" s="1"/>
      <c r="AB23" s="1"/>
      <c r="AC23" s="1"/>
      <c r="AD23" s="1"/>
      <c r="AE23" s="1"/>
      <c r="AF23" s="1"/>
      <c r="AG23" s="1"/>
      <c r="AH23" s="1"/>
      <c r="AI23" s="1"/>
      <c r="AJ23" s="1"/>
    </row>
    <row r="24" spans="1:36" s="3" customFormat="1">
      <c r="A24" s="29"/>
      <c r="B24" s="22">
        <f t="shared" si="0"/>
        <v>0.80000000000000016</v>
      </c>
      <c r="C24" s="23">
        <f>D24/D4</f>
        <v>5.0000000000000044</v>
      </c>
      <c r="D24" s="162">
        <f>D4/(1-B24)</f>
        <v>350.00000000000028</v>
      </c>
      <c r="E24" s="45">
        <f>D5-(D5*B24)</f>
        <v>9.9999999999999929</v>
      </c>
      <c r="F24" s="121" t="str">
        <f>IF((D5-(D5*B24))&gt;D4, "***","")</f>
        <v/>
      </c>
      <c r="G24" s="20">
        <f>D4</f>
        <v>70</v>
      </c>
      <c r="H24" s="1"/>
      <c r="I24" s="1"/>
      <c r="J24" s="24"/>
      <c r="K24" s="1"/>
      <c r="L24" s="1"/>
      <c r="M24" s="1"/>
      <c r="N24" s="1"/>
      <c r="O24" s="1"/>
      <c r="P24" s="1"/>
      <c r="Q24" s="1"/>
      <c r="R24" s="1"/>
      <c r="S24" s="1"/>
      <c r="T24" s="1"/>
      <c r="U24" s="1"/>
      <c r="V24" s="1"/>
      <c r="W24" s="1"/>
      <c r="X24" s="1"/>
      <c r="Y24" s="1"/>
      <c r="Z24" s="1"/>
      <c r="AA24" s="1"/>
      <c r="AB24" s="1"/>
      <c r="AC24" s="1"/>
      <c r="AD24" s="1"/>
      <c r="AE24" s="1"/>
      <c r="AF24" s="1"/>
      <c r="AG24" s="1"/>
      <c r="AH24" s="1"/>
      <c r="AI24" s="1"/>
      <c r="AJ24" s="1"/>
    </row>
    <row r="25" spans="1:36" s="3" customFormat="1">
      <c r="A25" s="29"/>
      <c r="B25" s="22">
        <f t="shared" si="0"/>
        <v>0.8500000000000002</v>
      </c>
      <c r="C25" s="23">
        <f>D25/D4</f>
        <v>6.6666666666666758</v>
      </c>
      <c r="D25" s="162">
        <f>D4/(1-B25)</f>
        <v>466.66666666666731</v>
      </c>
      <c r="E25" s="45">
        <f>D5-(D5*B25)</f>
        <v>7.4999999999999929</v>
      </c>
      <c r="F25" s="121" t="str">
        <f>IF((D5-(D5*B25))&gt;D4, "***","")</f>
        <v/>
      </c>
      <c r="G25" s="20">
        <f>D4</f>
        <v>70</v>
      </c>
      <c r="H25" s="1"/>
      <c r="I25" s="1"/>
      <c r="J25" s="24"/>
      <c r="K25" s="1"/>
      <c r="L25" s="1"/>
      <c r="M25" s="1"/>
      <c r="N25" s="1"/>
      <c r="O25" s="1"/>
      <c r="P25" s="1"/>
      <c r="Q25" s="1"/>
      <c r="R25" s="1"/>
      <c r="S25" s="1"/>
      <c r="T25" s="1"/>
      <c r="U25" s="1"/>
      <c r="V25" s="1"/>
      <c r="W25" s="1"/>
      <c r="X25" s="1"/>
      <c r="Y25" s="1"/>
      <c r="Z25" s="1"/>
      <c r="AA25" s="1"/>
      <c r="AB25" s="1"/>
      <c r="AC25" s="1"/>
      <c r="AD25" s="1"/>
      <c r="AE25" s="1"/>
      <c r="AF25" s="1"/>
      <c r="AG25" s="1"/>
      <c r="AH25" s="1"/>
      <c r="AI25" s="1"/>
      <c r="AJ25" s="1"/>
    </row>
    <row r="26" spans="1:36" s="3" customFormat="1">
      <c r="A26" s="29"/>
      <c r="B26" s="22">
        <f t="shared" si="0"/>
        <v>0.90000000000000024</v>
      </c>
      <c r="C26" s="23">
        <f>D26/D4</f>
        <v>10.000000000000025</v>
      </c>
      <c r="D26" s="162">
        <f>D4/(1-B26)</f>
        <v>700.00000000000171</v>
      </c>
      <c r="E26" s="45">
        <f>D5-(D5*B26)</f>
        <v>4.9999999999999858</v>
      </c>
      <c r="F26" s="121" t="str">
        <f>IF((D5-(D5*B26))&gt;D4, "***","")</f>
        <v/>
      </c>
      <c r="G26" s="20">
        <f>D4</f>
        <v>70</v>
      </c>
      <c r="H26" s="169"/>
      <c r="I26" s="169"/>
      <c r="J26" s="24"/>
      <c r="K26" s="11"/>
      <c r="L26" s="11"/>
      <c r="M26" s="11"/>
      <c r="N26" s="1"/>
      <c r="O26" s="1"/>
      <c r="P26" s="1"/>
      <c r="Q26" s="1"/>
      <c r="R26" s="1"/>
      <c r="S26" s="1"/>
      <c r="T26" s="1"/>
      <c r="U26" s="1"/>
      <c r="V26" s="1"/>
      <c r="W26" s="1"/>
      <c r="X26" s="1"/>
      <c r="Y26" s="1"/>
      <c r="Z26" s="1"/>
      <c r="AA26" s="1"/>
      <c r="AB26" s="1"/>
      <c r="AC26" s="1"/>
      <c r="AD26" s="1"/>
      <c r="AE26" s="1"/>
      <c r="AF26" s="1"/>
      <c r="AG26" s="1"/>
      <c r="AH26" s="1"/>
      <c r="AI26" s="1"/>
      <c r="AJ26" s="1"/>
    </row>
    <row r="27" spans="1:36" s="3" customFormat="1">
      <c r="A27" s="29"/>
      <c r="B27" s="22">
        <f t="shared" si="0"/>
        <v>0.95000000000000029</v>
      </c>
      <c r="C27" s="23">
        <f>D27/D4</f>
        <v>20.000000000000117</v>
      </c>
      <c r="D27" s="162">
        <f>D4/(1-B27)</f>
        <v>1400.0000000000082</v>
      </c>
      <c r="E27" s="45">
        <f>D5-(D5*B27)</f>
        <v>2.4999999999999858</v>
      </c>
      <c r="F27" s="121" t="str">
        <f>IF((D5-(D5*B27))&gt;D4, "***","")</f>
        <v/>
      </c>
      <c r="G27" s="20">
        <f>D4</f>
        <v>70</v>
      </c>
      <c r="H27" s="1"/>
      <c r="I27" s="1"/>
      <c r="J27" s="28"/>
      <c r="K27" s="1"/>
      <c r="L27" s="29"/>
      <c r="M27" s="1"/>
      <c r="N27" s="1"/>
      <c r="O27" s="1"/>
      <c r="P27" s="1"/>
      <c r="Q27" s="1"/>
      <c r="R27" s="1"/>
      <c r="S27" s="1"/>
      <c r="T27" s="1"/>
      <c r="U27" s="1"/>
      <c r="V27" s="1"/>
      <c r="W27" s="1"/>
      <c r="X27" s="1"/>
      <c r="Y27" s="1"/>
      <c r="Z27" s="1"/>
      <c r="AA27" s="1"/>
      <c r="AB27" s="1"/>
      <c r="AC27" s="1"/>
      <c r="AD27" s="1"/>
      <c r="AE27" s="1"/>
      <c r="AF27" s="1"/>
      <c r="AG27" s="1"/>
      <c r="AH27" s="1"/>
      <c r="AI27" s="1"/>
      <c r="AJ27" s="1"/>
    </row>
    <row r="28" spans="1:36" s="3" customFormat="1" ht="15" customHeight="1">
      <c r="A28" s="50" t="s">
        <v>4</v>
      </c>
      <c r="B28" s="163">
        <v>0.97499999999999998</v>
      </c>
      <c r="C28" s="164">
        <f>D28/D4</f>
        <v>39.999999999999964</v>
      </c>
      <c r="D28" s="164">
        <f>D4/(1-B28)</f>
        <v>2799.9999999999977</v>
      </c>
      <c r="E28" s="164">
        <f>IF((D5-(D5*B28))&gt;D4, ("&gt; " &amp; D4 ),D5-(D5*B28))</f>
        <v>1.25</v>
      </c>
      <c r="F28" s="121" t="str">
        <f>IF((D5-(D5*B28))&gt;D4, "***","")</f>
        <v/>
      </c>
      <c r="G28" s="30"/>
      <c r="H28" s="30"/>
      <c r="I28" s="30"/>
      <c r="J28" s="24"/>
      <c r="K28" s="1"/>
      <c r="L28" s="1"/>
      <c r="M28" s="29"/>
      <c r="N28" s="1"/>
      <c r="O28" s="1"/>
      <c r="P28" s="1"/>
      <c r="Q28" s="1"/>
      <c r="R28" s="1"/>
      <c r="S28" s="1"/>
      <c r="T28" s="1"/>
      <c r="U28" s="1"/>
      <c r="V28" s="1"/>
      <c r="W28" s="1"/>
      <c r="X28" s="1"/>
      <c r="Y28" s="1"/>
      <c r="Z28" s="1"/>
      <c r="AA28" s="1"/>
      <c r="AB28" s="1"/>
      <c r="AC28" s="1"/>
      <c r="AD28" s="1"/>
      <c r="AE28" s="1"/>
      <c r="AF28" s="1"/>
      <c r="AG28" s="1"/>
      <c r="AH28" s="1"/>
      <c r="AI28" s="1"/>
      <c r="AJ28" s="1"/>
    </row>
    <row r="29" spans="1:36" s="3" customFormat="1" ht="15.75" customHeight="1">
      <c r="A29" s="29"/>
      <c r="B29" s="115" t="s">
        <v>2</v>
      </c>
      <c r="C29" s="173"/>
      <c r="D29" s="173"/>
      <c r="E29" s="173"/>
      <c r="F29" s="122" t="str">
        <f>IF(D5&gt;D4, "***","")</f>
        <v/>
      </c>
      <c r="G29" s="174" t="str">
        <f>IF(D5&gt;D4, "Required storage exceeds target dedup volume","")</f>
        <v/>
      </c>
      <c r="H29" s="174"/>
      <c r="I29" s="174"/>
      <c r="J29" s="174"/>
      <c r="K29" s="174"/>
      <c r="L29" s="174"/>
      <c r="M29" s="174"/>
      <c r="N29" s="174"/>
      <c r="O29" s="1"/>
      <c r="P29" s="1"/>
      <c r="Q29" s="1"/>
      <c r="R29" s="1"/>
      <c r="S29" s="1"/>
      <c r="T29" s="1"/>
      <c r="U29" s="1"/>
      <c r="V29" s="1"/>
      <c r="W29" s="1"/>
      <c r="X29" s="1"/>
      <c r="Y29" s="1"/>
      <c r="Z29" s="1"/>
      <c r="AA29" s="1"/>
      <c r="AB29" s="1"/>
      <c r="AC29" s="1"/>
      <c r="AD29" s="1"/>
      <c r="AE29" s="1"/>
      <c r="AF29" s="1"/>
      <c r="AG29" s="1"/>
      <c r="AH29" s="1"/>
      <c r="AI29" s="1"/>
      <c r="AJ29" s="1"/>
    </row>
    <row r="30" spans="1:36" s="3" customFormat="1" ht="15.95" customHeight="1">
      <c r="A30" s="52" t="s">
        <v>4</v>
      </c>
      <c r="B30" s="1" t="s">
        <v>6</v>
      </c>
      <c r="C30" s="31"/>
      <c r="D30" s="32"/>
      <c r="E30" s="31"/>
      <c r="F30" s="31"/>
      <c r="G30" s="1"/>
      <c r="H30" s="30"/>
      <c r="I30" s="29"/>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row>
    <row r="31" spans="1:36" s="3" customFormat="1" ht="15.95" customHeight="1">
      <c r="A31" s="53" t="s">
        <v>4</v>
      </c>
      <c r="B31" s="171" t="s">
        <v>7</v>
      </c>
      <c r="C31" s="171"/>
      <c r="D31" s="171"/>
      <c r="E31" s="10"/>
      <c r="F31" s="10"/>
      <c r="G31" s="10"/>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row>
    <row r="32" spans="1:36" s="3" customFormat="1">
      <c r="A32" s="29"/>
      <c r="B32" s="1"/>
      <c r="C32" s="10"/>
      <c r="D32" s="1"/>
      <c r="E32" s="10"/>
      <c r="F32" s="10"/>
      <c r="G32" s="10"/>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row>
    <row r="33" spans="1:36" s="3" customFormat="1">
      <c r="A33" s="167" t="s">
        <v>24</v>
      </c>
      <c r="B33" s="167"/>
      <c r="C33" s="167"/>
      <c r="D33" s="167"/>
      <c r="E33" s="167"/>
      <c r="F33" s="167"/>
      <c r="G33" s="167"/>
      <c r="H33" s="167"/>
      <c r="I33" s="167"/>
      <c r="J33" s="167"/>
      <c r="K33" s="167"/>
      <c r="L33" s="1"/>
      <c r="M33" s="1"/>
      <c r="N33" s="1"/>
      <c r="O33" s="1"/>
      <c r="P33" s="1"/>
      <c r="Q33" s="1"/>
      <c r="R33" s="1"/>
      <c r="S33" s="1"/>
      <c r="T33" s="1"/>
      <c r="U33" s="1"/>
      <c r="V33" s="1"/>
      <c r="W33" s="1"/>
      <c r="X33" s="1"/>
      <c r="Y33" s="1"/>
      <c r="Z33" s="1"/>
      <c r="AA33" s="1"/>
      <c r="AB33" s="1"/>
      <c r="AC33" s="1"/>
      <c r="AD33" s="1"/>
      <c r="AE33" s="1"/>
      <c r="AF33" s="1"/>
      <c r="AG33" s="1"/>
      <c r="AH33" s="1"/>
      <c r="AI33" s="1"/>
      <c r="AJ33" s="1"/>
    </row>
    <row r="34" spans="1:36" s="3" customFormat="1">
      <c r="A34" s="29"/>
      <c r="B34" s="1"/>
      <c r="C34" s="10"/>
      <c r="D34" s="1"/>
      <c r="E34" s="10"/>
      <c r="F34" s="10"/>
      <c r="G34" s="10"/>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row>
    <row r="35" spans="1:36" s="3" customFormat="1">
      <c r="A35" s="29"/>
      <c r="B35" s="1"/>
      <c r="C35" s="10"/>
      <c r="D35" s="1"/>
      <c r="E35" s="10"/>
      <c r="F35" s="10"/>
      <c r="G35" s="10"/>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row>
    <row r="36" spans="1:36" s="3" customFormat="1">
      <c r="A36" s="29"/>
      <c r="B36" s="1"/>
      <c r="C36" s="10"/>
      <c r="D36" s="1"/>
      <c r="E36" s="10"/>
      <c r="F36" s="10"/>
      <c r="G36" s="10"/>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row>
    <row r="37" spans="1:36" s="3" customFormat="1">
      <c r="A37" s="29"/>
      <c r="B37" s="1"/>
      <c r="C37" s="10"/>
      <c r="D37" s="1"/>
      <c r="E37" s="10"/>
      <c r="F37" s="10"/>
      <c r="G37" s="10"/>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row>
    <row r="38" spans="1:36" s="3" customFormat="1">
      <c r="A38" s="29"/>
      <c r="B38" s="1"/>
      <c r="C38" s="10"/>
      <c r="D38" s="1"/>
      <c r="E38" s="10"/>
      <c r="F38" s="10"/>
      <c r="G38" s="10"/>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row>
    <row r="39" spans="1:36" s="3" customFormat="1">
      <c r="A39" s="29"/>
      <c r="B39" s="1"/>
      <c r="C39" s="10"/>
      <c r="D39" s="1"/>
      <c r="E39" s="10"/>
      <c r="F39" s="10"/>
      <c r="G39" s="10"/>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row>
    <row r="40" spans="1:36" s="3" customFormat="1">
      <c r="A40" s="29"/>
      <c r="B40" s="1"/>
      <c r="C40" s="10"/>
      <c r="D40" s="1"/>
      <c r="E40" s="10"/>
      <c r="F40" s="10"/>
      <c r="G40" s="10"/>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row>
    <row r="41" spans="1:36" s="3" customFormat="1">
      <c r="A41" s="29"/>
      <c r="B41" s="1"/>
      <c r="C41" s="10"/>
      <c r="D41" s="1"/>
      <c r="E41" s="10"/>
      <c r="F41" s="10"/>
      <c r="G41" s="10"/>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row>
    <row r="42" spans="1:36" s="3" customFormat="1">
      <c r="A42" s="29"/>
      <c r="B42" s="1"/>
      <c r="C42" s="10"/>
      <c r="D42" s="1"/>
      <c r="E42" s="10"/>
      <c r="F42" s="10"/>
      <c r="G42" s="10"/>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row>
    <row r="43" spans="1:36" s="3" customFormat="1">
      <c r="A43" s="48"/>
      <c r="C43" s="33"/>
      <c r="E43" s="33"/>
      <c r="F43" s="33"/>
      <c r="G43" s="33"/>
    </row>
    <row r="44" spans="1:36" s="3" customFormat="1">
      <c r="A44" s="48"/>
      <c r="C44" s="33"/>
      <c r="E44" s="33"/>
      <c r="F44" s="33"/>
      <c r="G44" s="33"/>
      <c r="K44"/>
      <c r="L44"/>
      <c r="M44"/>
      <c r="N44"/>
      <c r="O44"/>
      <c r="P44"/>
      <c r="Q44"/>
      <c r="R44"/>
      <c r="S44"/>
      <c r="T44"/>
      <c r="U44"/>
      <c r="V44"/>
    </row>
    <row r="45" spans="1:36">
      <c r="J45" s="3"/>
    </row>
  </sheetData>
  <sheetProtection algorithmName="SHA-512" hashValue="U0alCxm5xNbA/WMrtELNSlmiOjmvcBMs1uW7OaZo3oCgJ7RZbHFQWshi9gs5Se/1IqhFlh3qnvZ+sGmC3gWHtQ==" saltValue="Fg+gtOKamT+beHm68bAk/Q==" spinCount="100000" sheet="1" objects="1" scenarios="1" selectLockedCells="1"/>
  <mergeCells count="15">
    <mergeCell ref="X6:Z6"/>
    <mergeCell ref="B5:C5"/>
    <mergeCell ref="B4:C4"/>
    <mergeCell ref="K18:O18"/>
    <mergeCell ref="G4:H4"/>
    <mergeCell ref="I9:N9"/>
    <mergeCell ref="P9:W9"/>
    <mergeCell ref="A33:K33"/>
    <mergeCell ref="K19:O19"/>
    <mergeCell ref="H26:I26"/>
    <mergeCell ref="A1:Q1"/>
    <mergeCell ref="B31:D31"/>
    <mergeCell ref="G3:H3"/>
    <mergeCell ref="C29:E29"/>
    <mergeCell ref="G29:N29"/>
  </mergeCells>
  <dataValidations xWindow="141" yWindow="338" count="2">
    <dataValidation type="decimal" allowBlank="1" showErrorMessage="1" error="Require a decimal number between 0.1 and 50,000" sqref="D5" xr:uid="{D4D4F691-C2EB-41D0-AB46-41A57485EDDE}">
      <formula1>0.1</formula1>
      <formula2>50000</formula2>
    </dataValidation>
    <dataValidation type="decimal" showErrorMessage="1" errorTitle="Invalid Value" error="Require decimal number between 0.1 and 50,000" sqref="D4" xr:uid="{2361917D-7110-4FD0-B4A3-7B96F9EA3FD6}">
      <formula1>0.1</formula1>
      <formula2>50000</formula2>
    </dataValidation>
  </dataValidations>
  <pageMargins left="0.7" right="0.7" top="0.75" bottom="0.75" header="0.3" footer="0.3"/>
  <pageSetup paperSize="9" orientation="portrait" r:id="rId1"/>
  <ignoredErrors>
    <ignoredError sqref="D8:D28 G8 G9:G27 B9:B27 C8:C28" unlockedFormula="1"/>
  </ignoredError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C21DC-BE7B-4D36-A94C-A0E487BD1B08}">
  <sheetPr codeName="Sheet1"/>
  <dimension ref="A1:AG46"/>
  <sheetViews>
    <sheetView showGridLines="0" showRowColHeaders="0" zoomScaleNormal="100" workbookViewId="0">
      <selection activeCell="D4" sqref="D4"/>
    </sheetView>
  </sheetViews>
  <sheetFormatPr defaultRowHeight="15"/>
  <cols>
    <col min="1" max="1" width="3.28515625" style="3" customWidth="1"/>
    <col min="2" max="2" width="14" style="3" customWidth="1"/>
    <col min="3" max="3" width="14.5703125" style="3" customWidth="1"/>
    <col min="4" max="4" width="13.7109375" style="33" customWidth="1"/>
    <col min="5" max="5" width="12.42578125" style="33" customWidth="1"/>
    <col min="6" max="6" width="13.5703125" style="33" customWidth="1"/>
    <col min="7" max="7" width="13.140625" style="33" customWidth="1"/>
    <col min="8" max="8" width="13.85546875" style="3" customWidth="1"/>
    <col min="9" max="9" width="14.42578125" style="3" customWidth="1"/>
    <col min="10" max="11" width="1.7109375" style="112" customWidth="1"/>
    <col min="12" max="13" width="1.7109375" style="113" customWidth="1"/>
    <col min="14" max="15" width="1.7109375" style="112" customWidth="1"/>
    <col min="16" max="17" width="10.7109375" style="3" customWidth="1"/>
    <col min="18" max="21" width="9.140625" style="3"/>
    <col min="22" max="22" width="8.7109375" style="3" customWidth="1"/>
    <col min="23" max="23" width="3.5703125" style="3" customWidth="1"/>
    <col min="24" max="24" width="8.140625" style="3" customWidth="1"/>
    <col min="25" max="25" width="9.140625" style="3" customWidth="1"/>
    <col min="26" max="16384" width="9.140625" style="3"/>
  </cols>
  <sheetData>
    <row r="1" spans="1:33" ht="24" customHeight="1">
      <c r="A1" s="170" t="s">
        <v>26</v>
      </c>
      <c r="B1" s="170"/>
      <c r="C1" s="170"/>
      <c r="D1" s="170"/>
      <c r="E1" s="170"/>
      <c r="F1" s="170"/>
      <c r="G1" s="170"/>
      <c r="H1" s="170"/>
      <c r="I1" s="170"/>
      <c r="J1" s="170"/>
      <c r="K1" s="170"/>
      <c r="L1" s="170"/>
      <c r="M1" s="170"/>
      <c r="N1" s="170"/>
      <c r="O1" s="170"/>
      <c r="P1" s="170"/>
      <c r="Q1" s="170"/>
      <c r="R1" s="170"/>
      <c r="S1" s="170"/>
      <c r="T1" s="61"/>
      <c r="U1" s="61"/>
      <c r="V1" s="61"/>
      <c r="W1" s="61"/>
      <c r="X1" s="61"/>
      <c r="Y1" s="61"/>
      <c r="Z1" s="61"/>
      <c r="AA1" s="61"/>
      <c r="AB1" s="61"/>
      <c r="AC1" s="61"/>
      <c r="AD1" s="61"/>
      <c r="AE1" s="61"/>
      <c r="AF1" s="1"/>
      <c r="AG1" s="1"/>
    </row>
    <row r="2" spans="1:33" ht="12.75" customHeight="1">
      <c r="A2" s="61"/>
      <c r="B2" s="62"/>
      <c r="C2" s="62"/>
      <c r="D2" s="62"/>
      <c r="E2" s="62"/>
      <c r="F2" s="62"/>
      <c r="G2" s="62"/>
      <c r="H2" s="62"/>
      <c r="I2" s="62"/>
      <c r="J2" s="103"/>
      <c r="K2" s="103"/>
      <c r="L2" s="104"/>
      <c r="M2" s="104"/>
      <c r="N2" s="103"/>
      <c r="O2" s="103"/>
      <c r="P2" s="192" t="str">
        <f>"Logical Throughput (Gbps) on a " &amp; D4 &amp;" Gbps physical link"</f>
        <v>Logical Throughput (Gbps) on a 10 Gbps physical link</v>
      </c>
      <c r="Q2" s="192"/>
      <c r="R2" s="192"/>
      <c r="S2" s="192"/>
      <c r="T2" s="192"/>
      <c r="U2" s="192"/>
      <c r="V2" s="192"/>
      <c r="W2" s="120"/>
      <c r="X2" s="61"/>
      <c r="Y2" s="187" t="str">
        <f>"Time to  logically transfer " &amp; D7 &amp; " TiB  on a " &amp; D4 &amp; " Gps link"</f>
        <v>Time to  logically transfer 4 TiB  on a 10 Gps link</v>
      </c>
      <c r="Z2" s="187"/>
      <c r="AA2" s="187"/>
      <c r="AB2" s="187"/>
      <c r="AC2" s="187"/>
      <c r="AD2" s="187"/>
      <c r="AE2" s="187"/>
      <c r="AF2" s="1"/>
      <c r="AG2" s="1"/>
    </row>
    <row r="3" spans="1:33" ht="13.5" customHeight="1" thickBot="1">
      <c r="A3" s="62"/>
      <c r="B3" s="62"/>
      <c r="C3" s="62"/>
      <c r="D3" s="8" t="s">
        <v>15</v>
      </c>
      <c r="E3" s="8"/>
      <c r="F3" s="62"/>
      <c r="G3" s="62"/>
      <c r="H3" s="62"/>
      <c r="I3" s="62"/>
      <c r="J3" s="103"/>
      <c r="K3" s="103"/>
      <c r="L3" s="105"/>
      <c r="M3" s="105"/>
      <c r="N3" s="106"/>
      <c r="O3" s="106"/>
      <c r="P3" s="181" t="str">
        <f>IF(D6&gt;0,("At " &amp; D5 &amp;" % usable throughput, throttled to " &amp; D6 &amp; " Gbps"),("At " &amp; D5 &amp;" % usable throughput, not throttled"))</f>
        <v>At 80 % usable throughput, throttled to 5 Gbps</v>
      </c>
      <c r="Q3" s="181"/>
      <c r="R3" s="181"/>
      <c r="S3" s="181"/>
      <c r="T3" s="181"/>
      <c r="U3" s="181"/>
      <c r="V3" s="181"/>
      <c r="W3" s="63"/>
      <c r="X3" s="61"/>
      <c r="Y3" s="182" t="str">
        <f>"At " &amp; D5 &amp;" % usable throughput, throttled to " &amp; D6 &amp; " Gbps"</f>
        <v>At 80 % usable throughput, throttled to 5 Gbps</v>
      </c>
      <c r="Z3" s="182"/>
      <c r="AA3" s="182"/>
      <c r="AB3" s="182"/>
      <c r="AC3" s="182"/>
      <c r="AD3" s="182"/>
      <c r="AE3" s="61"/>
      <c r="AF3" s="1"/>
      <c r="AG3" s="1"/>
    </row>
    <row r="4" spans="1:33" ht="15.95" customHeight="1" thickTop="1" thickBot="1">
      <c r="A4" s="1"/>
      <c r="B4" s="199" t="s">
        <v>10</v>
      </c>
      <c r="C4" s="200"/>
      <c r="D4" s="37">
        <v>10</v>
      </c>
      <c r="E4" s="64" t="s">
        <v>29</v>
      </c>
      <c r="F4" s="35"/>
      <c r="G4" s="65"/>
      <c r="H4" s="156"/>
      <c r="I4" s="157" t="s">
        <v>3</v>
      </c>
      <c r="J4" s="107"/>
      <c r="K4" s="105"/>
      <c r="L4" s="105"/>
      <c r="M4" s="108"/>
      <c r="N4" s="108"/>
      <c r="O4" s="108"/>
      <c r="P4" s="120"/>
      <c r="Q4" s="196"/>
      <c r="R4" s="196"/>
      <c r="S4" s="196"/>
      <c r="T4" s="196"/>
      <c r="U4" s="196"/>
      <c r="V4" s="196"/>
      <c r="W4" s="196"/>
      <c r="X4" s="61"/>
      <c r="Y4" s="61"/>
      <c r="Z4" s="61"/>
      <c r="AA4" s="61"/>
      <c r="AB4" s="61"/>
      <c r="AC4" s="61"/>
      <c r="AD4" s="61"/>
      <c r="AE4" s="61"/>
      <c r="AF4" s="1"/>
      <c r="AG4" s="1"/>
    </row>
    <row r="5" spans="1:33" ht="15.95" customHeight="1" thickBot="1">
      <c r="A5" s="1"/>
      <c r="B5" s="201" t="s">
        <v>16</v>
      </c>
      <c r="C5" s="202"/>
      <c r="D5" s="36">
        <v>80</v>
      </c>
      <c r="E5" s="188" t="str">
        <f>IF(E31&lt;&gt;"-",IF(E31&gt;J31,(" Throttle throughput exceeds usable bandwidth of "&amp;(D4*(D5/100))&amp;" Gbps")," Maximum usable before throttling is "&amp;D4*(D5/100)&amp;" Gbps"),"")</f>
        <v xml:space="preserve"> Maximum usable before throttling is 8 Gbps</v>
      </c>
      <c r="F5" s="189"/>
      <c r="G5" s="189"/>
      <c r="H5" s="189"/>
      <c r="I5" s="189"/>
      <c r="J5" s="107"/>
      <c r="K5" s="107"/>
      <c r="L5" s="105"/>
      <c r="M5" s="105"/>
      <c r="N5" s="108"/>
      <c r="O5" s="108"/>
      <c r="P5" s="99"/>
      <c r="Q5" s="61"/>
      <c r="R5" s="61"/>
      <c r="S5" s="61"/>
      <c r="T5" s="61"/>
      <c r="U5" s="61"/>
      <c r="V5" s="61"/>
      <c r="W5" s="61"/>
      <c r="X5" s="61"/>
      <c r="Y5" s="61"/>
      <c r="Z5" s="61"/>
      <c r="AA5" s="61"/>
      <c r="AB5" s="61"/>
      <c r="AC5" s="61"/>
      <c r="AD5" s="61"/>
      <c r="AE5" s="61"/>
      <c r="AF5" s="1"/>
      <c r="AG5" s="1"/>
    </row>
    <row r="6" spans="1:33" ht="15.95" customHeight="1" thickBot="1">
      <c r="A6" s="1"/>
      <c r="B6" s="201" t="s">
        <v>28</v>
      </c>
      <c r="C6" s="202"/>
      <c r="D6" s="56">
        <v>5</v>
      </c>
      <c r="E6" s="165" t="str">
        <f>IF(D4&lt;D6," Link speed exceeded"," Appliication Throttling - set to 0 for no throttling")</f>
        <v xml:space="preserve"> Appliication Throttling - set to 0 for no throttling</v>
      </c>
      <c r="F6" s="166"/>
      <c r="G6" s="166"/>
      <c r="H6" s="166"/>
      <c r="I6" s="65"/>
      <c r="J6" s="65"/>
      <c r="K6" s="107"/>
      <c r="L6" s="105"/>
      <c r="M6" s="105"/>
      <c r="N6" s="108"/>
      <c r="O6" s="108"/>
      <c r="P6" s="99"/>
      <c r="Q6" s="61"/>
      <c r="R6" s="61"/>
      <c r="S6" s="61"/>
      <c r="T6" s="61"/>
      <c r="U6" s="61"/>
      <c r="V6" s="61"/>
      <c r="W6" s="61"/>
      <c r="X6" s="61"/>
      <c r="Y6" s="61"/>
      <c r="Z6" s="61"/>
      <c r="AA6" s="61"/>
      <c r="AB6" s="61"/>
      <c r="AC6" s="61"/>
      <c r="AD6" s="61"/>
      <c r="AE6" s="61"/>
      <c r="AF6" s="1"/>
      <c r="AG6" s="1"/>
    </row>
    <row r="7" spans="1:33" ht="14.25" customHeight="1">
      <c r="A7" s="66"/>
      <c r="B7" s="197" t="s">
        <v>11</v>
      </c>
      <c r="C7" s="198"/>
      <c r="D7" s="57">
        <v>4</v>
      </c>
      <c r="E7" s="185" t="s">
        <v>31</v>
      </c>
      <c r="F7" s="186"/>
      <c r="G7" s="186"/>
      <c r="H7" s="186"/>
      <c r="I7" s="186"/>
      <c r="J7" s="107"/>
      <c r="K7" s="107"/>
      <c r="L7" s="76"/>
      <c r="M7" s="76"/>
      <c r="N7" s="76"/>
      <c r="O7" s="76"/>
      <c r="P7" s="1"/>
      <c r="Q7" s="61"/>
      <c r="R7" s="61"/>
      <c r="S7" s="61"/>
      <c r="T7" s="61"/>
      <c r="U7" s="61"/>
      <c r="V7" s="61"/>
      <c r="W7" s="61"/>
      <c r="X7" s="61"/>
      <c r="Y7" s="61"/>
      <c r="Z7" s="61"/>
      <c r="AA7" s="61"/>
      <c r="AB7" s="61"/>
      <c r="AC7" s="61"/>
      <c r="AD7" s="61"/>
      <c r="AE7" s="61"/>
      <c r="AF7" s="1"/>
      <c r="AG7" s="1"/>
    </row>
    <row r="8" spans="1:33" ht="15.95" customHeight="1" thickBot="1">
      <c r="A8" s="67"/>
      <c r="B8" s="193" t="s">
        <v>12</v>
      </c>
      <c r="C8" s="194"/>
      <c r="D8" s="58">
        <v>12</v>
      </c>
      <c r="E8" s="185" t="s">
        <v>30</v>
      </c>
      <c r="F8" s="186"/>
      <c r="G8" s="186"/>
      <c r="H8" s="186"/>
      <c r="I8" s="68"/>
      <c r="J8" s="109"/>
      <c r="K8" s="74"/>
      <c r="L8" s="74"/>
      <c r="M8" s="76"/>
      <c r="N8" s="76"/>
      <c r="O8" s="76"/>
      <c r="P8" s="1"/>
      <c r="Q8" s="61"/>
      <c r="R8" s="61"/>
      <c r="S8" s="61"/>
      <c r="T8" s="61"/>
      <c r="U8" s="61"/>
      <c r="V8" s="61"/>
      <c r="W8" s="61"/>
      <c r="X8" s="61"/>
      <c r="Y8" s="61"/>
      <c r="Z8" s="61"/>
      <c r="AA8" s="61"/>
      <c r="AB8" s="61"/>
      <c r="AC8" s="61"/>
      <c r="AD8" s="61"/>
      <c r="AE8" s="61"/>
      <c r="AF8" s="1"/>
      <c r="AG8" s="1"/>
    </row>
    <row r="9" spans="1:33" ht="16.5" customHeight="1" thickTop="1">
      <c r="A9" s="69"/>
      <c r="B9" s="70"/>
      <c r="C9" s="70"/>
      <c r="D9" s="70"/>
      <c r="E9" s="71"/>
      <c r="F9" s="2"/>
      <c r="G9" s="2"/>
      <c r="H9" s="72"/>
      <c r="I9" s="72"/>
      <c r="J9" s="73"/>
      <c r="K9" s="73"/>
      <c r="L9" s="74"/>
      <c r="M9" s="75"/>
      <c r="N9" s="76"/>
      <c r="O9" s="76"/>
      <c r="P9" s="1"/>
      <c r="Q9" s="61"/>
      <c r="R9" s="61"/>
      <c r="S9" s="61"/>
      <c r="T9" s="61"/>
      <c r="U9" s="61"/>
      <c r="V9" s="61"/>
      <c r="W9" s="61"/>
      <c r="X9" s="61"/>
      <c r="Y9" s="61"/>
      <c r="Z9" s="61"/>
      <c r="AA9" s="61"/>
      <c r="AB9" s="61"/>
      <c r="AC9" s="61"/>
      <c r="AD9" s="61"/>
      <c r="AE9" s="61"/>
      <c r="AF9" s="1"/>
      <c r="AG9" s="1"/>
    </row>
    <row r="10" spans="1:33" ht="28.5" customHeight="1">
      <c r="A10" s="69"/>
      <c r="B10" s="70"/>
      <c r="C10" s="70"/>
      <c r="D10" s="195" t="s">
        <v>18</v>
      </c>
      <c r="E10" s="195"/>
      <c r="F10" s="38" t="str">
        <f>"Time to transfer " &amp; D7 &amp; "  TiB  (hrs)"</f>
        <v>Time to transfer 4  TiB  (hrs)</v>
      </c>
      <c r="G10" s="38"/>
      <c r="H10" s="190" t="str">
        <f xml:space="preserve"> "Data transferred in " &amp; D8 &amp;  " hrs  (TiB)"</f>
        <v>Data transferred in 12 hrs  (TiB)</v>
      </c>
      <c r="I10" s="191"/>
      <c r="J10" s="73"/>
      <c r="K10" s="73"/>
      <c r="L10" s="74"/>
      <c r="M10" s="75"/>
      <c r="N10" s="76"/>
      <c r="O10" s="76"/>
      <c r="P10" s="1"/>
      <c r="Q10" s="61"/>
      <c r="R10" s="61"/>
      <c r="S10" s="61"/>
      <c r="T10" s="61"/>
      <c r="U10" s="61"/>
      <c r="V10" s="61"/>
      <c r="W10" s="61"/>
      <c r="X10" s="61"/>
      <c r="Y10" s="61"/>
      <c r="Z10" s="61"/>
      <c r="AA10" s="61"/>
      <c r="AB10" s="61"/>
      <c r="AC10" s="61"/>
      <c r="AD10" s="61"/>
      <c r="AE10" s="61"/>
      <c r="AF10" s="1"/>
      <c r="AG10" s="1"/>
    </row>
    <row r="11" spans="1:33" ht="52.5" customHeight="1" thickBot="1">
      <c r="A11" s="77"/>
      <c r="B11" s="126" t="s">
        <v>1</v>
      </c>
      <c r="C11" s="127" t="s">
        <v>0</v>
      </c>
      <c r="D11" s="128" t="str">
        <f>D4 &amp; " Gbps Physical Link"</f>
        <v>10 Gbps Physical Link</v>
      </c>
      <c r="E11" s="129" t="str">
        <f>IF(D6&gt;0,("Throttled to   " &amp; D6 &amp; " Gbps"),("Not       throttled"))</f>
        <v>Throttled to   5 Gbps</v>
      </c>
      <c r="F11" s="130" t="str">
        <f>D4 &amp; " Gbps Physical Link"</f>
        <v>10 Gbps Physical Link</v>
      </c>
      <c r="G11" s="131" t="str">
        <f>IF(D6&gt;0,("Throttled to   " &amp; D6 &amp; " Gbps"),("Not         throttled"))</f>
        <v>Throttled to   5 Gbps</v>
      </c>
      <c r="H11" s="132" t="str">
        <f>D4 &amp; " Gbps Physical Link"</f>
        <v>10 Gbps Physical Link</v>
      </c>
      <c r="I11" s="133" t="str">
        <f>IF(D6&gt;0,("Throttled to         " &amp; D6 &amp; " Gbps"),("Not      throttled"))</f>
        <v>Throttled to         5 Gbps</v>
      </c>
      <c r="J11" s="78" t="s">
        <v>19</v>
      </c>
      <c r="K11" s="78" t="s">
        <v>17</v>
      </c>
      <c r="L11" s="79" t="s">
        <v>20</v>
      </c>
      <c r="M11" s="79" t="s">
        <v>21</v>
      </c>
      <c r="N11" s="80"/>
      <c r="O11" s="80"/>
      <c r="P11" s="100"/>
      <c r="Q11" s="61"/>
      <c r="R11" s="61"/>
      <c r="S11" s="61"/>
      <c r="T11" s="61"/>
      <c r="U11" s="61"/>
      <c r="V11" s="61"/>
      <c r="W11" s="61"/>
      <c r="X11" s="61"/>
      <c r="Y11" s="61"/>
      <c r="Z11" s="61"/>
      <c r="AA11" s="61"/>
      <c r="AB11" s="61"/>
      <c r="AC11" s="61"/>
      <c r="AD11" s="61"/>
      <c r="AE11" s="61"/>
      <c r="AF11" s="1"/>
      <c r="AG11" s="1"/>
    </row>
    <row r="12" spans="1:33" s="19" customFormat="1" ht="17.100000000000001" customHeight="1" thickTop="1" thickBot="1">
      <c r="A12" s="51" t="s">
        <v>4</v>
      </c>
      <c r="B12" s="147">
        <v>0</v>
      </c>
      <c r="C12" s="148">
        <f>D12/D4</f>
        <v>1</v>
      </c>
      <c r="D12" s="149">
        <f>D4/(1-B12)</f>
        <v>10</v>
      </c>
      <c r="E12" s="150">
        <f>IF(D6=0,"-",D6/(1-B12))</f>
        <v>5</v>
      </c>
      <c r="F12" s="151">
        <f>((D7*1024)/(D12/8))/3600</f>
        <v>0.91022222222222227</v>
      </c>
      <c r="G12" s="152">
        <f>IF(D6&lt;&gt;0,IF(D4&lt;D6,0,((D7*1024)/(E12/8))/3600),"-")</f>
        <v>1.8204444444444445</v>
      </c>
      <c r="H12" s="153">
        <f>((D12/8)*3600*($D$8))/1024</f>
        <v>52.734375</v>
      </c>
      <c r="I12" s="154">
        <f>IF($D$6=0,"-",((E12/8)*3600*$D$8)/1024)</f>
        <v>26.3671875</v>
      </c>
      <c r="J12" s="155">
        <f>(D4*(D5/100))/(1-B12)</f>
        <v>8</v>
      </c>
      <c r="K12" s="81">
        <f>IF(D4&lt;D6,0,(D6*(D5/100))/(1-B12))</f>
        <v>4</v>
      </c>
      <c r="L12" s="80">
        <f>IF(J12&gt;0,((D7*1024)/(J12/8))/3600,0)</f>
        <v>1.1377777777777778</v>
      </c>
      <c r="M12" s="80">
        <f>IF(D6&lt;&gt;0,IF(D4&lt;D6,0,((D7*1024)/((K12)/8))/3600),0)</f>
        <v>2.2755555555555556</v>
      </c>
      <c r="N12" s="80">
        <f>((J12/8)*36000*(D8/60))/1024</f>
        <v>7.03125</v>
      </c>
      <c r="O12" s="80">
        <f>IF(D4&lt;D6,0,((K12/8)*36000*(D8/60))/1024)</f>
        <v>3.515625</v>
      </c>
      <c r="P12" s="14"/>
      <c r="Q12" s="61"/>
      <c r="R12" s="61"/>
      <c r="S12" s="61"/>
      <c r="T12" s="61"/>
      <c r="U12" s="61"/>
      <c r="V12" s="61"/>
      <c r="W12" s="61"/>
      <c r="X12" s="61"/>
      <c r="Y12" s="61"/>
      <c r="Z12" s="61"/>
      <c r="AA12" s="61"/>
      <c r="AB12" s="61"/>
      <c r="AC12" s="61"/>
      <c r="AD12" s="61"/>
      <c r="AE12" s="61"/>
      <c r="AF12" s="14"/>
      <c r="AG12" s="14"/>
    </row>
    <row r="13" spans="1:33" s="19" customFormat="1" ht="17.100000000000001" customHeight="1" thickTop="1">
      <c r="A13" s="1"/>
      <c r="B13" s="124">
        <f>B12+0.05</f>
        <v>0.05</v>
      </c>
      <c r="C13" s="142">
        <f>D13/D4</f>
        <v>1.0526315789473686</v>
      </c>
      <c r="D13" s="125">
        <f>D4/(1-B13)</f>
        <v>10.526315789473685</v>
      </c>
      <c r="E13" s="83">
        <f>IF(D6=0,"-",D6/(1-B13))</f>
        <v>5.2631578947368425</v>
      </c>
      <c r="F13" s="84">
        <f>((D7*1024)/(D13/8))/3600</f>
        <v>0.86471111111111099</v>
      </c>
      <c r="G13" s="85">
        <f>IF(D6&lt;&gt;0,IF(D4&lt;D6,0,((D7*1024)/(E13/8))/3600),"-")</f>
        <v>1.729422222222222</v>
      </c>
      <c r="H13" s="114">
        <f t="shared" ref="H13:H31" si="0">((D13/8)*3600*($D$8))/1024</f>
        <v>55.509868421052637</v>
      </c>
      <c r="I13" s="123">
        <f t="shared" ref="I13:I31" si="1">IF($D$6=0,"-",((E13/8)*3600*$D$8)/1024)</f>
        <v>27.754934210526319</v>
      </c>
      <c r="J13" s="81">
        <f>(D4*(D5/100))/(1-B13)</f>
        <v>8.4210526315789469</v>
      </c>
      <c r="K13" s="81">
        <f>IF(D4&lt;D6,0,(D6*(D5/100))/(1-B13))</f>
        <v>4.2105263157894735</v>
      </c>
      <c r="L13" s="80">
        <f>IF(J12&gt;0,((D7*1024)/(J13/8))/3600,0)</f>
        <v>1.080888888888889</v>
      </c>
      <c r="M13" s="80">
        <f>IF(D6&lt;&gt;0,IF(D4&lt;D6,0,((D7*1024)/((K13)/8))/3600),0)</f>
        <v>2.161777777777778</v>
      </c>
      <c r="N13" s="80">
        <f>((J13/8)*36000*(D8/60))/1024</f>
        <v>7.4013157894736841</v>
      </c>
      <c r="O13" s="80">
        <f>IF(D4&lt;D6,0,((K13/8)*36000*(D8/60))/1024)</f>
        <v>3.700657894736842</v>
      </c>
      <c r="P13" s="1"/>
      <c r="Q13" s="61"/>
      <c r="R13" s="61"/>
      <c r="S13" s="61"/>
      <c r="T13" s="61"/>
      <c r="U13" s="61"/>
      <c r="V13" s="61"/>
      <c r="W13" s="61"/>
      <c r="X13" s="61"/>
      <c r="Y13" s="61"/>
      <c r="Z13" s="61"/>
      <c r="AA13" s="61"/>
      <c r="AB13" s="61"/>
      <c r="AC13" s="61"/>
      <c r="AD13" s="61"/>
      <c r="AE13" s="61"/>
      <c r="AF13" s="14"/>
      <c r="AG13" s="14"/>
    </row>
    <row r="14" spans="1:33" ht="17.100000000000001" customHeight="1">
      <c r="A14" s="1"/>
      <c r="B14" s="22">
        <f t="shared" ref="B14:B31" si="2">B13+0.05</f>
        <v>0.1</v>
      </c>
      <c r="C14" s="142">
        <f>D14/D4</f>
        <v>1.1111111111111112</v>
      </c>
      <c r="D14" s="82">
        <f>D4/(1-B14)</f>
        <v>11.111111111111111</v>
      </c>
      <c r="E14" s="83">
        <f>IF(D6=0,"-",D6/(1-B14))</f>
        <v>5.5555555555555554</v>
      </c>
      <c r="F14" s="84">
        <f>((D7*1024)/(D14/8))/3600</f>
        <v>0.81919999999999993</v>
      </c>
      <c r="G14" s="85">
        <f>IF(D6&lt;&gt;0,IF(D4&lt;D6,0,((D7*1024)/(E14/8))/3600),"-")</f>
        <v>1.6383999999999999</v>
      </c>
      <c r="H14" s="114">
        <f t="shared" si="0"/>
        <v>58.59375</v>
      </c>
      <c r="I14" s="123">
        <f t="shared" si="1"/>
        <v>29.296875</v>
      </c>
      <c r="J14" s="81">
        <f>(D4*(D5/100))/(1-B14)</f>
        <v>8.8888888888888893</v>
      </c>
      <c r="K14" s="81">
        <f>IF(D4&lt;D6,0,(D6*(D5/100))/(1-B14))</f>
        <v>4.4444444444444446</v>
      </c>
      <c r="L14" s="80">
        <f>IF(J12&gt;0,((D7*1024)/(J14/8))/3600,0)</f>
        <v>1.0239999999999998</v>
      </c>
      <c r="M14" s="80">
        <f>IF(D6&lt;&gt;0,IF(D4&lt;D6,0,((D7*1024)/((K14)/8))/3600),0)</f>
        <v>2.0479999999999996</v>
      </c>
      <c r="N14" s="80">
        <f>((J14/8)*36000*(D8/60))/1024</f>
        <v>7.8125</v>
      </c>
      <c r="O14" s="80">
        <f>IF(D4&lt;D6,0,((K14/8)*36000*(D8/60))/1024)</f>
        <v>3.90625</v>
      </c>
      <c r="P14" s="1"/>
      <c r="Q14" s="61"/>
      <c r="R14" s="61"/>
      <c r="S14" s="61"/>
      <c r="T14" s="61"/>
      <c r="U14" s="61"/>
      <c r="V14" s="61"/>
      <c r="W14" s="61"/>
      <c r="X14" s="61"/>
      <c r="Y14" s="61"/>
      <c r="Z14" s="61"/>
      <c r="AA14" s="61"/>
      <c r="AB14" s="61"/>
      <c r="AC14" s="61"/>
      <c r="AD14" s="61"/>
      <c r="AE14" s="61"/>
      <c r="AF14" s="1"/>
      <c r="AG14" s="1"/>
    </row>
    <row r="15" spans="1:33" ht="17.100000000000001" customHeight="1">
      <c r="A15" s="1"/>
      <c r="B15" s="22">
        <f t="shared" si="2"/>
        <v>0.15000000000000002</v>
      </c>
      <c r="C15" s="142">
        <f>D15/D4</f>
        <v>1.1764705882352942</v>
      </c>
      <c r="D15" s="82">
        <f>D4/(1-B15)</f>
        <v>11.764705882352942</v>
      </c>
      <c r="E15" s="83">
        <f>IF(D6=0,"-",D6/(1-B15))</f>
        <v>5.882352941176471</v>
      </c>
      <c r="F15" s="84">
        <f>((D7*1024)/(D15/8))/3600</f>
        <v>0.77368888888888887</v>
      </c>
      <c r="G15" s="85">
        <f>IF(D6&lt;&gt;0,IF(D4&lt;D6,0,((D7*1024)/(E15/8))/3600),"-")</f>
        <v>1.5473777777777777</v>
      </c>
      <c r="H15" s="114">
        <f t="shared" si="0"/>
        <v>62.040441176470594</v>
      </c>
      <c r="I15" s="123">
        <f t="shared" si="1"/>
        <v>31.020220588235297</v>
      </c>
      <c r="J15" s="81">
        <f>(D4*(D5/100))/(1-B15)</f>
        <v>9.4117647058823533</v>
      </c>
      <c r="K15" s="81">
        <f>IF(D4&lt;D6,0,(D6*(D5/100))/(1-B15))</f>
        <v>4.7058823529411766</v>
      </c>
      <c r="L15" s="80">
        <f>IF(J12&gt;0,((D7*1024)/(J15/8))/3600,0)</f>
        <v>0.96711111111111103</v>
      </c>
      <c r="M15" s="80">
        <f>IF(D6&lt;&gt;0,IF(D4&lt;D6,0,((D7*1024)/((K15)/8))/3600),0)</f>
        <v>1.9342222222222221</v>
      </c>
      <c r="N15" s="80">
        <f>((J15/8)*36000*(D8/60))/1024</f>
        <v>8.2720588235294112</v>
      </c>
      <c r="O15" s="80">
        <f>IF(D4&lt;D6,0,((K15/8)*36000*(D8/60))/1024)</f>
        <v>4.1360294117647056</v>
      </c>
      <c r="P15" s="1"/>
      <c r="Q15" s="61"/>
      <c r="R15" s="61"/>
      <c r="S15" s="61"/>
      <c r="T15" s="61"/>
      <c r="U15" s="61"/>
      <c r="V15" s="61"/>
      <c r="W15" s="61"/>
      <c r="X15" s="61"/>
      <c r="Y15" s="61"/>
      <c r="Z15" s="61"/>
      <c r="AA15" s="61"/>
      <c r="AB15" s="61"/>
      <c r="AC15" s="61"/>
      <c r="AD15" s="61"/>
      <c r="AE15" s="61"/>
      <c r="AF15" s="1"/>
      <c r="AG15" s="1"/>
    </row>
    <row r="16" spans="1:33" ht="17.100000000000001" customHeight="1">
      <c r="A16" s="1"/>
      <c r="B16" s="22">
        <f t="shared" si="2"/>
        <v>0.2</v>
      </c>
      <c r="C16" s="142">
        <f>D16/D4</f>
        <v>1.25</v>
      </c>
      <c r="D16" s="82">
        <f>D4/(1-B16)</f>
        <v>12.5</v>
      </c>
      <c r="E16" s="83">
        <f>IF(D6=0,"-",D6/(1-B16))</f>
        <v>6.25</v>
      </c>
      <c r="F16" s="84">
        <f>((D7*1024)/(D16/8))/3600</f>
        <v>0.72817777777777781</v>
      </c>
      <c r="G16" s="85">
        <f>IF(D6&lt;&gt;0,IF(D4&lt;D6,0,((D7*1024)/(E16/8))/3600),"-")</f>
        <v>1.4563555555555556</v>
      </c>
      <c r="H16" s="114">
        <f t="shared" si="0"/>
        <v>65.91796875</v>
      </c>
      <c r="I16" s="123">
        <f t="shared" si="1"/>
        <v>32.958984375</v>
      </c>
      <c r="J16" s="81">
        <f>(D4*(D5/100))/(1-B16)</f>
        <v>10</v>
      </c>
      <c r="K16" s="81">
        <f>IF(D4&lt;D6,0,(D6*(D5/100))/(1-B16))</f>
        <v>5</v>
      </c>
      <c r="L16" s="80">
        <f>IF(J12&gt;0,((D7*1024)/(J16/8))/3600,0)</f>
        <v>0.91022222222222227</v>
      </c>
      <c r="M16" s="80">
        <f>IF(D6&lt;&gt;0,IF(D4&lt;D6,0,((D7*1024)/((K16)/8))/3600),0)</f>
        <v>1.8204444444444445</v>
      </c>
      <c r="N16" s="80">
        <f>((J16/8)*36000*(D8/60))/1024</f>
        <v>8.7890625</v>
      </c>
      <c r="O16" s="80">
        <f>IF(D4&lt;D6,0,((K16/8)*36000*(D8/60))/1024)</f>
        <v>4.39453125</v>
      </c>
      <c r="P16" s="1"/>
      <c r="Q16" s="61"/>
      <c r="R16" s="61"/>
      <c r="S16" s="61"/>
      <c r="T16" s="61"/>
      <c r="U16" s="61"/>
      <c r="V16" s="61"/>
      <c r="W16" s="61"/>
      <c r="X16" s="61"/>
      <c r="Y16" s="61"/>
      <c r="Z16" s="61"/>
      <c r="AA16" s="61"/>
      <c r="AB16" s="61"/>
      <c r="AC16" s="61"/>
      <c r="AD16" s="61"/>
      <c r="AE16" s="61"/>
      <c r="AF16" s="1"/>
      <c r="AG16" s="1"/>
    </row>
    <row r="17" spans="1:33" ht="17.100000000000001" customHeight="1">
      <c r="A17" s="1"/>
      <c r="B17" s="22">
        <f t="shared" si="2"/>
        <v>0.25</v>
      </c>
      <c r="C17" s="142">
        <f>D17/D4</f>
        <v>1.3333333333333335</v>
      </c>
      <c r="D17" s="82">
        <f>D4/(1-B17)</f>
        <v>13.333333333333334</v>
      </c>
      <c r="E17" s="83">
        <f>IF(D6=0,"-",D6/(1-B17))</f>
        <v>6.666666666666667</v>
      </c>
      <c r="F17" s="84">
        <f>((D7*1024)/(D17/8))/3600</f>
        <v>0.68266666666666664</v>
      </c>
      <c r="G17" s="85">
        <f>IF(D6&lt;&gt;0,IF(D4&lt;D6,0,((D7*1024)/(E17/8))/3600),"-")</f>
        <v>1.3653333333333333</v>
      </c>
      <c r="H17" s="114">
        <f t="shared" si="0"/>
        <v>70.3125</v>
      </c>
      <c r="I17" s="123">
        <f t="shared" si="1"/>
        <v>35.15625</v>
      </c>
      <c r="J17" s="81">
        <f>(D4*(D5/100))/(1-B17)</f>
        <v>10.666666666666666</v>
      </c>
      <c r="K17" s="81">
        <f>IF(D4&lt;D6,0,(D6*(D5/100))/(1-B17))</f>
        <v>5.333333333333333</v>
      </c>
      <c r="L17" s="80">
        <f>IF(J12&gt;0,((D7*1024)/(J17/8))/3600,0)</f>
        <v>0.85333333333333339</v>
      </c>
      <c r="M17" s="80">
        <f>IF(D6&lt;&gt;0,IF(D4&lt;D6,0,((D7*1024)/((K17)/8))/3600),0)</f>
        <v>1.7066666666666668</v>
      </c>
      <c r="N17" s="80">
        <f>((J17/8)*36000*(D8/60))/1024</f>
        <v>9.375</v>
      </c>
      <c r="O17" s="80">
        <f>IF(D4&lt;D6,0,((K17/8)*36000*(D8/60))/1024)</f>
        <v>4.6875</v>
      </c>
      <c r="P17" s="101"/>
      <c r="Q17" s="61"/>
      <c r="R17" s="61"/>
      <c r="S17" s="61"/>
      <c r="T17" s="61"/>
      <c r="U17" s="61"/>
      <c r="V17" s="61"/>
      <c r="W17" s="61"/>
      <c r="X17" s="61"/>
      <c r="Y17" s="61"/>
      <c r="Z17" s="61"/>
      <c r="AA17" s="61"/>
      <c r="AB17" s="61"/>
      <c r="AC17" s="61"/>
      <c r="AD17" s="61"/>
      <c r="AE17" s="61"/>
      <c r="AF17" s="1"/>
      <c r="AG17" s="1"/>
    </row>
    <row r="18" spans="1:33" ht="17.100000000000001" customHeight="1">
      <c r="A18" s="1"/>
      <c r="B18" s="22">
        <f t="shared" si="2"/>
        <v>0.3</v>
      </c>
      <c r="C18" s="142">
        <f>D18/D4</f>
        <v>1.4285714285714286</v>
      </c>
      <c r="D18" s="82">
        <f>D4/(1-B18)</f>
        <v>14.285714285714286</v>
      </c>
      <c r="E18" s="83">
        <f>IF(D6=0,"-",D6/(1-B18))</f>
        <v>7.1428571428571432</v>
      </c>
      <c r="F18" s="84">
        <f>((D7*1024)/(D18/8))/3600</f>
        <v>0.63715555555555548</v>
      </c>
      <c r="G18" s="85">
        <f>IF(D6&lt;&gt;0,IF(D4&lt;D6,0,((D7*1024)/(E18/8))/3600),"-")</f>
        <v>1.274311111111111</v>
      </c>
      <c r="H18" s="114">
        <f t="shared" si="0"/>
        <v>75.334821428571445</v>
      </c>
      <c r="I18" s="123">
        <f t="shared" si="1"/>
        <v>37.667410714285722</v>
      </c>
      <c r="J18" s="81">
        <f>(D4*(D5/100))/(1-B18)</f>
        <v>11.428571428571429</v>
      </c>
      <c r="K18" s="81">
        <f>IF(D4&lt;D6,0,(D6*(D5/100))/(1-B18))</f>
        <v>5.7142857142857144</v>
      </c>
      <c r="L18" s="80">
        <f>IF(J12&gt;0,((D7*1024)/(J18/8))/3600,0)</f>
        <v>0.7964444444444444</v>
      </c>
      <c r="M18" s="80">
        <f>IF(D6&lt;&gt;0,IF(D4&lt;D6,0,((D7*1024)/((K18)/8))/3600),0)</f>
        <v>1.5928888888888888</v>
      </c>
      <c r="N18" s="80">
        <f>((J18/8)*36000*(D8/60))/1024</f>
        <v>10.044642857142858</v>
      </c>
      <c r="O18" s="80">
        <f>IF(D4&lt;D6,0,((K18/8)*36000*(D8/60))/1024)</f>
        <v>5.0223214285714288</v>
      </c>
      <c r="P18" s="1"/>
      <c r="Q18" s="61"/>
      <c r="R18" s="61"/>
      <c r="S18" s="61"/>
      <c r="T18" s="61"/>
      <c r="U18" s="61"/>
      <c r="V18" s="61"/>
      <c r="W18" s="61"/>
      <c r="X18" s="61"/>
      <c r="Y18" s="61"/>
      <c r="Z18" s="61"/>
      <c r="AA18" s="61"/>
      <c r="AB18" s="61"/>
      <c r="AC18" s="61"/>
      <c r="AD18" s="61"/>
      <c r="AE18" s="61"/>
      <c r="AF18" s="1"/>
      <c r="AG18" s="1"/>
    </row>
    <row r="19" spans="1:33" ht="17.100000000000001" customHeight="1">
      <c r="A19" s="1"/>
      <c r="B19" s="22">
        <f t="shared" si="2"/>
        <v>0.35</v>
      </c>
      <c r="C19" s="142">
        <f>D19/D4</f>
        <v>1.5384615384615383</v>
      </c>
      <c r="D19" s="82">
        <f>D4/(1-B19)</f>
        <v>15.384615384615383</v>
      </c>
      <c r="E19" s="83">
        <f>IF(D6=0,"-",D6/(1-B19))</f>
        <v>7.6923076923076916</v>
      </c>
      <c r="F19" s="84">
        <f>((D7*1024)/(D19/8))/3600</f>
        <v>0.59164444444444442</v>
      </c>
      <c r="G19" s="85">
        <f>IF(D6&lt;&gt;0,IF(D4&lt;D6,0,((D7*1024)/(E19/8))/3600),"-")</f>
        <v>1.1832888888888888</v>
      </c>
      <c r="H19" s="114">
        <f t="shared" si="0"/>
        <v>81.129807692307693</v>
      </c>
      <c r="I19" s="123">
        <f t="shared" si="1"/>
        <v>40.564903846153847</v>
      </c>
      <c r="J19" s="81">
        <f>(D4*(D5/100))/(1-B19)</f>
        <v>12.307692307692307</v>
      </c>
      <c r="K19" s="81">
        <f>IF(D4&lt;D6,0,(D6*(D5/100))/(1-B19))</f>
        <v>6.1538461538461533</v>
      </c>
      <c r="L19" s="80">
        <f>IF(J12&gt;0,((D7*1024)/(J19/8))/3600,0)</f>
        <v>0.73955555555555563</v>
      </c>
      <c r="M19" s="80">
        <f>IF(D6&lt;&gt;0,IF(D4&lt;D6,0,((D7*1024)/((K19)/8))/3600),0)</f>
        <v>1.4791111111111113</v>
      </c>
      <c r="N19" s="80">
        <f>((J19/8)*36000*(D8/60))/1024</f>
        <v>10.817307692307693</v>
      </c>
      <c r="O19" s="80">
        <f>IF(D4&lt;D6,0,((K19/8)*36000*(D8/60))/1024)</f>
        <v>5.4086538461538467</v>
      </c>
      <c r="P19" s="183" t="str">
        <f>"Logical Data Transferred in " &amp; D8 &amp; " hours on a " &amp; D4 &amp; " Gps link"</f>
        <v>Logical Data Transferred in 12 hours on a 10 Gps link</v>
      </c>
      <c r="Q19" s="183"/>
      <c r="R19" s="183"/>
      <c r="S19" s="183"/>
      <c r="T19" s="183"/>
      <c r="U19" s="183"/>
      <c r="V19" s="183"/>
      <c r="W19" s="61"/>
      <c r="X19" s="61"/>
      <c r="Y19" s="61"/>
      <c r="Z19" s="61"/>
      <c r="AA19" s="61"/>
      <c r="AB19" s="61"/>
      <c r="AC19" s="61"/>
      <c r="AD19" s="61"/>
      <c r="AE19" s="1"/>
      <c r="AF19" s="1"/>
      <c r="AG19" s="1"/>
    </row>
    <row r="20" spans="1:33" ht="17.100000000000001" customHeight="1">
      <c r="A20" s="1"/>
      <c r="B20" s="22">
        <f t="shared" si="2"/>
        <v>0.39999999999999997</v>
      </c>
      <c r="C20" s="142">
        <f>D20/D4</f>
        <v>1.6666666666666665</v>
      </c>
      <c r="D20" s="82">
        <f>D4/(1-B20)</f>
        <v>16.666666666666664</v>
      </c>
      <c r="E20" s="83">
        <f>IF(D6=0,"-",D6/(1-B20))</f>
        <v>8.3333333333333321</v>
      </c>
      <c r="F20" s="84">
        <f>((D7*1024)/(D20/8))/3600</f>
        <v>0.54613333333333347</v>
      </c>
      <c r="G20" s="85">
        <f>IF(D6&lt;&gt;0,IF(D4&lt;D6,0,((D7*1024)/(E20/8))/3600),"-")</f>
        <v>1.0922666666666669</v>
      </c>
      <c r="H20" s="114">
        <f t="shared" si="0"/>
        <v>87.890624999999986</v>
      </c>
      <c r="I20" s="123">
        <f t="shared" si="1"/>
        <v>43.945312499999993</v>
      </c>
      <c r="J20" s="81">
        <f>(D4*(D5/100))/(1-B20)</f>
        <v>13.333333333333332</v>
      </c>
      <c r="K20" s="81">
        <f>IF(D4&lt;D6,0,(D6*(D5/100))/(1-B20))</f>
        <v>6.6666666666666661</v>
      </c>
      <c r="L20" s="80">
        <f>IF(J12&gt;0,((D7*1024)/(J20/8))/3600,0)</f>
        <v>0.68266666666666675</v>
      </c>
      <c r="M20" s="80">
        <f>IF(D6&lt;&gt;0,IF(D4&lt;D6,0,((D7*1024)/((K20)/8))/3600),0)</f>
        <v>1.3653333333333335</v>
      </c>
      <c r="N20" s="80">
        <f>((J20/8)*36000*(D8/60))/1024</f>
        <v>11.71875</v>
      </c>
      <c r="O20" s="80">
        <f>IF(D4&lt;D6,0,((K20/8)*36000*(D8/60))/1024)</f>
        <v>5.859375</v>
      </c>
      <c r="P20" s="180" t="str">
        <f>IF(D6&gt;0,("At " &amp; D5 &amp;" % usable throughput, throttled at " &amp; D6 &amp; " Gbps"),("At " &amp; D5 &amp;" % usable throughput, not throttled"))</f>
        <v>At 80 % usable throughput, throttled at 5 Gbps</v>
      </c>
      <c r="Q20" s="180"/>
      <c r="R20" s="180"/>
      <c r="S20" s="180"/>
      <c r="T20" s="180"/>
      <c r="U20" s="180"/>
      <c r="V20" s="180"/>
      <c r="W20" s="61"/>
      <c r="X20" s="61"/>
      <c r="Y20" s="61"/>
      <c r="Z20" s="61"/>
      <c r="AA20" s="61"/>
      <c r="AB20" s="61"/>
      <c r="AC20" s="61"/>
      <c r="AD20" s="61"/>
      <c r="AE20" s="1"/>
      <c r="AF20" s="1"/>
      <c r="AG20" s="1"/>
    </row>
    <row r="21" spans="1:33" ht="17.100000000000001" customHeight="1">
      <c r="A21" s="1"/>
      <c r="B21" s="22">
        <f t="shared" si="2"/>
        <v>0.44999999999999996</v>
      </c>
      <c r="C21" s="142">
        <f>D21/D4</f>
        <v>1.8181818181818179</v>
      </c>
      <c r="D21" s="82">
        <f>D4/(1-B21)</f>
        <v>18.18181818181818</v>
      </c>
      <c r="E21" s="83">
        <f>IF(D6=0,"-",D6/(1-B21))</f>
        <v>9.0909090909090899</v>
      </c>
      <c r="F21" s="84">
        <f>((D7*1024)/(D21/8))/3600</f>
        <v>0.5006222222222223</v>
      </c>
      <c r="G21" s="85">
        <f>IF(D6&lt;&gt;0,IF(D4&lt;D6,0,((D7*1024)/(E21/8))/3600),"-")</f>
        <v>1.0012444444444446</v>
      </c>
      <c r="H21" s="114">
        <f t="shared" si="0"/>
        <v>95.880681818181813</v>
      </c>
      <c r="I21" s="123">
        <f t="shared" si="1"/>
        <v>47.940340909090907</v>
      </c>
      <c r="J21" s="81">
        <f>(D4*(D5/100))/(1-B21)</f>
        <v>14.545454545454545</v>
      </c>
      <c r="K21" s="81">
        <f>IF(D4&lt;D6,0,(D6*(D5/100))/(1-B21))</f>
        <v>7.2727272727272725</v>
      </c>
      <c r="L21" s="80">
        <f>IF(J12&gt;0,((D7*1024)/(J21/8))/3600,0)</f>
        <v>0.62577777777777788</v>
      </c>
      <c r="M21" s="80">
        <f>IF(D6&lt;&gt;0,IF(D4&lt;D6,0,((D7*1024)/((K21)/8))/3600),0)</f>
        <v>1.2515555555555558</v>
      </c>
      <c r="N21" s="80">
        <f>((J21/8)*36000*(D8/60))/1024</f>
        <v>12.78409090909091</v>
      </c>
      <c r="O21" s="80">
        <f>IF(D4&lt;D6,0,((K21/8)*36000*(D8/60))/1024)</f>
        <v>6.392045454545455</v>
      </c>
      <c r="P21" s="102"/>
      <c r="Q21" s="61"/>
      <c r="R21" s="61"/>
      <c r="S21" s="61"/>
      <c r="T21" s="61"/>
      <c r="U21" s="61"/>
      <c r="V21" s="61"/>
      <c r="W21" s="61"/>
      <c r="X21" s="61"/>
      <c r="Y21" s="61"/>
      <c r="Z21" s="61"/>
      <c r="AA21" s="61"/>
      <c r="AB21" s="61"/>
      <c r="AC21" s="61"/>
      <c r="AD21" s="61"/>
      <c r="AE21" s="61"/>
      <c r="AF21" s="1"/>
      <c r="AG21" s="1"/>
    </row>
    <row r="22" spans="1:33" ht="17.100000000000001" customHeight="1">
      <c r="A22" s="1"/>
      <c r="B22" s="22">
        <f t="shared" si="2"/>
        <v>0.49999999999999994</v>
      </c>
      <c r="C22" s="142">
        <f>D22/D4</f>
        <v>2</v>
      </c>
      <c r="D22" s="82">
        <f>D4/(1-B22)</f>
        <v>20</v>
      </c>
      <c r="E22" s="83">
        <f>IF(D6=0,"-",D6/(1-B22))</f>
        <v>10</v>
      </c>
      <c r="F22" s="84">
        <f>((D7*1024)/(D22/8))/3600</f>
        <v>0.45511111111111113</v>
      </c>
      <c r="G22" s="85">
        <f>IF(D6&lt;&gt;0,IF(D4&lt;D6,0,((D7*1024)/(E22/8))/3600),"-")</f>
        <v>0.91022222222222227</v>
      </c>
      <c r="H22" s="114">
        <f t="shared" si="0"/>
        <v>105.46875</v>
      </c>
      <c r="I22" s="123">
        <f t="shared" si="1"/>
        <v>52.734375</v>
      </c>
      <c r="J22" s="81">
        <f>(D4*(D5/100))/(1-B22)</f>
        <v>16</v>
      </c>
      <c r="K22" s="81">
        <f>IF(D4&lt;D6,0,(D6*(D5/100))/(1-B22))</f>
        <v>8</v>
      </c>
      <c r="L22" s="80">
        <f>IF(J12&gt;0,((D7*1024)/(J22/8))/3600,0)</f>
        <v>0.56888888888888889</v>
      </c>
      <c r="M22" s="80">
        <f>IF(D6&lt;&gt;0,IF(D4&lt;D6,0,((D7*1024)/((K22)/8))/3600),0)</f>
        <v>1.1377777777777778</v>
      </c>
      <c r="N22" s="80">
        <f>((J22/8)*36000*(D8/60))/1024</f>
        <v>14.0625</v>
      </c>
      <c r="O22" s="80">
        <f>IF(D4&lt;D6,0,((K22/8)*36000*(D8/60))/1024)</f>
        <v>7.03125</v>
      </c>
      <c r="P22" s="1"/>
      <c r="Q22" s="61"/>
      <c r="R22" s="61"/>
      <c r="S22" s="61"/>
      <c r="T22" s="61"/>
      <c r="U22" s="61"/>
      <c r="V22" s="61"/>
      <c r="W22" s="61"/>
      <c r="X22" s="61"/>
      <c r="Y22" s="61"/>
      <c r="Z22" s="61"/>
      <c r="AA22" s="61"/>
      <c r="AB22" s="61"/>
      <c r="AC22" s="61"/>
      <c r="AD22" s="61"/>
      <c r="AE22" s="61"/>
      <c r="AF22" s="1"/>
      <c r="AG22" s="1"/>
    </row>
    <row r="23" spans="1:33" ht="17.100000000000001" customHeight="1">
      <c r="A23" s="1"/>
      <c r="B23" s="22">
        <f t="shared" si="2"/>
        <v>0.54999999999999993</v>
      </c>
      <c r="C23" s="142">
        <f>D23/D4</f>
        <v>2.2222222222222219</v>
      </c>
      <c r="D23" s="82">
        <f>D4/(1-B23)</f>
        <v>22.222222222222218</v>
      </c>
      <c r="E23" s="83">
        <f>IF(D6=0,"-",D6/(1-B23))</f>
        <v>11.111111111111109</v>
      </c>
      <c r="F23" s="84">
        <f>((D7*1024)/(D23/8))/3600</f>
        <v>0.40960000000000013</v>
      </c>
      <c r="G23" s="85">
        <f>IF(D6&lt;&gt;0,IF(D4&lt;D6,0,((D7*1024)/(E23/8))/3600),"-")</f>
        <v>0.81920000000000026</v>
      </c>
      <c r="H23" s="114">
        <f t="shared" si="0"/>
        <v>117.18749999999997</v>
      </c>
      <c r="I23" s="123">
        <f t="shared" si="1"/>
        <v>58.593749999999986</v>
      </c>
      <c r="J23" s="81">
        <f>(D4*(D5/100))/(1-B23)</f>
        <v>17.777777777777775</v>
      </c>
      <c r="K23" s="81">
        <f>IF(D4&lt;D6,0,(D6*(D5/100))/(1-B23))</f>
        <v>8.8888888888888875</v>
      </c>
      <c r="L23" s="80">
        <f>IF(J12&gt;0,((D7*1024)/(J23/8))/3600,0)</f>
        <v>0.51200000000000012</v>
      </c>
      <c r="M23" s="80">
        <f>IF(D6&lt;&gt;0,IF(D4&lt;D6,0,((D7*1024)/((K23)/8))/3600),0)</f>
        <v>1.0240000000000002</v>
      </c>
      <c r="N23" s="80">
        <f>((J23/8)*36000*(D8/60))/1024</f>
        <v>15.624999999999998</v>
      </c>
      <c r="O23" s="80">
        <f>IF(D4&lt;D6,0,((K23/8)*36000*(D8/60))/1024)</f>
        <v>7.8124999999999991</v>
      </c>
      <c r="P23" s="1"/>
      <c r="Q23" s="61"/>
      <c r="R23" s="61"/>
      <c r="S23" s="61"/>
      <c r="T23" s="61"/>
      <c r="U23" s="61"/>
      <c r="V23" s="61"/>
      <c r="W23" s="61"/>
      <c r="X23" s="61"/>
      <c r="Y23" s="61"/>
      <c r="Z23" s="61"/>
      <c r="AA23" s="61"/>
      <c r="AB23" s="61"/>
      <c r="AC23" s="61"/>
      <c r="AD23" s="61"/>
      <c r="AE23" s="61"/>
      <c r="AF23" s="1"/>
      <c r="AG23" s="1"/>
    </row>
    <row r="24" spans="1:33" ht="17.100000000000001" customHeight="1">
      <c r="A24" s="1"/>
      <c r="B24" s="22">
        <f t="shared" si="2"/>
        <v>0.6</v>
      </c>
      <c r="C24" s="142">
        <f>D24/D4</f>
        <v>2.5</v>
      </c>
      <c r="D24" s="82">
        <f>D4/(1-B24)</f>
        <v>25</v>
      </c>
      <c r="E24" s="83">
        <f>IF(D6=0,"-",D6/(1-B24))</f>
        <v>12.5</v>
      </c>
      <c r="F24" s="84">
        <f>((D7*1024)/(D24/8))/3600</f>
        <v>0.36408888888888891</v>
      </c>
      <c r="G24" s="85">
        <f>IF(D6&lt;&gt;0,IF(D4&lt;D6,0,((D7*1024)/(E24/8))/3600),"-")</f>
        <v>0.72817777777777781</v>
      </c>
      <c r="H24" s="114">
        <f t="shared" si="0"/>
        <v>131.8359375</v>
      </c>
      <c r="I24" s="123">
        <f t="shared" si="1"/>
        <v>65.91796875</v>
      </c>
      <c r="J24" s="81">
        <f>(D4*(D5/100))/(1-B24)</f>
        <v>20</v>
      </c>
      <c r="K24" s="81">
        <f>IF(D4&lt;D6,0,(D6*(D5/100))/(1-B24))</f>
        <v>10</v>
      </c>
      <c r="L24" s="80">
        <f>IF(J12&gt;0,((D7*1024)/(J24/8))/3600,0)</f>
        <v>0.45511111111111113</v>
      </c>
      <c r="M24" s="80">
        <f>IF(D6&lt;&gt;0,IF(D4&lt;D6,0,((D7*1024)/((K24)/8))/3600),0)</f>
        <v>0.91022222222222227</v>
      </c>
      <c r="N24" s="80">
        <f>((J24/8)*36000*(D8/60))/1024</f>
        <v>17.578125</v>
      </c>
      <c r="O24" s="80">
        <f>IF(D4&lt;D6,0,((K24/8)*36000*(D8/60))/1024)</f>
        <v>8.7890625</v>
      </c>
      <c r="P24" s="1"/>
      <c r="Q24" s="61"/>
      <c r="R24" s="61"/>
      <c r="S24" s="61"/>
      <c r="T24" s="61"/>
      <c r="U24" s="61"/>
      <c r="V24" s="61"/>
      <c r="W24" s="61"/>
      <c r="X24" s="61"/>
      <c r="Y24" s="61"/>
      <c r="Z24" s="61"/>
      <c r="AA24" s="61"/>
      <c r="AB24" s="61"/>
      <c r="AC24" s="61"/>
      <c r="AD24" s="61"/>
      <c r="AE24" s="61"/>
      <c r="AF24" s="1"/>
      <c r="AG24" s="1"/>
    </row>
    <row r="25" spans="1:33" ht="17.100000000000001" customHeight="1">
      <c r="A25" s="1"/>
      <c r="B25" s="22">
        <f t="shared" si="2"/>
        <v>0.65</v>
      </c>
      <c r="C25" s="142">
        <f>D25/D4</f>
        <v>2.8571428571428572</v>
      </c>
      <c r="D25" s="82">
        <f>D4/(1-B25)</f>
        <v>28.571428571428573</v>
      </c>
      <c r="E25" s="83">
        <f>IF(D6=0,"-",D6/(1-B25))</f>
        <v>14.285714285714286</v>
      </c>
      <c r="F25" s="84">
        <f>((D7*1024)/(D25/8))/3600</f>
        <v>0.31857777777777774</v>
      </c>
      <c r="G25" s="85">
        <f>IF(D6&lt;&gt;0,IF(D4&lt;D6,0,((D7*1024)/(E25/8))/3600),"-")</f>
        <v>0.63715555555555548</v>
      </c>
      <c r="H25" s="114">
        <f t="shared" si="0"/>
        <v>150.66964285714289</v>
      </c>
      <c r="I25" s="123">
        <f t="shared" si="1"/>
        <v>75.334821428571445</v>
      </c>
      <c r="J25" s="81">
        <f>(D4*(D5/100))/(1-B25)</f>
        <v>22.857142857142858</v>
      </c>
      <c r="K25" s="81">
        <f>IF(D4&lt;D6,0,(D6*(D5/100))/(1-B25))</f>
        <v>11.428571428571429</v>
      </c>
      <c r="L25" s="80">
        <f>IF(J12&gt;0,((D7*1024)/(J25/8))/3600,0)</f>
        <v>0.3982222222222222</v>
      </c>
      <c r="M25" s="80">
        <f>IF(D6&lt;&gt;0,IF(D4&lt;D6,0,((D7*1024)/((K25)/8))/3600),0)</f>
        <v>0.7964444444444444</v>
      </c>
      <c r="N25" s="80">
        <f>((J25/8)*36000*(D8/60))/1024</f>
        <v>20.089285714285715</v>
      </c>
      <c r="O25" s="80">
        <f>IF(D4&lt;D6,0,((K25/8)*36000*(D8/60))/1024)</f>
        <v>10.044642857142858</v>
      </c>
      <c r="P25" s="1"/>
      <c r="Q25" s="61"/>
      <c r="R25" s="61"/>
      <c r="S25" s="61"/>
      <c r="T25" s="61"/>
      <c r="U25" s="61"/>
      <c r="V25" s="61"/>
      <c r="W25" s="61"/>
      <c r="X25" s="61"/>
      <c r="Y25" s="61"/>
      <c r="Z25" s="61"/>
      <c r="AA25" s="61"/>
      <c r="AB25" s="61"/>
      <c r="AC25" s="61"/>
      <c r="AD25" s="61"/>
      <c r="AE25" s="61"/>
      <c r="AF25" s="1"/>
      <c r="AG25" s="1"/>
    </row>
    <row r="26" spans="1:33" ht="17.100000000000001" customHeight="1">
      <c r="A26" s="1"/>
      <c r="B26" s="22">
        <f t="shared" si="2"/>
        <v>0.70000000000000007</v>
      </c>
      <c r="C26" s="142">
        <f>D26/D4</f>
        <v>3.3333333333333344</v>
      </c>
      <c r="D26" s="82">
        <f>D4/(1-B26)</f>
        <v>33.333333333333343</v>
      </c>
      <c r="E26" s="83">
        <f>IF(D6=0,"-",D6/(1-B26))</f>
        <v>16.666666666666671</v>
      </c>
      <c r="F26" s="84">
        <f>((D7*1024)/(D26/8))/3600</f>
        <v>0.27306666666666657</v>
      </c>
      <c r="G26" s="85">
        <f>IF(D6&lt;&gt;0,IF(D4&lt;D6,0,((D7*1024)/(E26/8))/3600),"-")</f>
        <v>0.54613333333333314</v>
      </c>
      <c r="H26" s="114">
        <f t="shared" si="0"/>
        <v>175.78125000000006</v>
      </c>
      <c r="I26" s="123">
        <f t="shared" si="1"/>
        <v>87.890625000000028</v>
      </c>
      <c r="J26" s="81">
        <f>(D4*(D5/100))/(1-B26)</f>
        <v>26.666666666666671</v>
      </c>
      <c r="K26" s="81">
        <f>IF(D4&lt;D6,0,(D6*(D5/100))/(1-B26))</f>
        <v>13.333333333333336</v>
      </c>
      <c r="L26" s="80">
        <f>IF(J12&gt;0,((D7*1024)/(J26/8))/3600,0)</f>
        <v>0.34133333333333327</v>
      </c>
      <c r="M26" s="80">
        <f>IF(D6&lt;&gt;0,IF(D4&lt;D6,0,((D7*1024)/((K26)/8))/3600),0)</f>
        <v>0.68266666666666653</v>
      </c>
      <c r="N26" s="80">
        <f>((J26/8)*36000*(D8/60))/1024</f>
        <v>23.437500000000004</v>
      </c>
      <c r="O26" s="80">
        <f>IF(D4&lt;D6,0,((K26/8)*36000*(D8/60))/1024)</f>
        <v>11.718750000000002</v>
      </c>
      <c r="P26" s="1"/>
      <c r="Q26" s="61"/>
      <c r="R26" s="61"/>
      <c r="S26" s="61"/>
      <c r="T26" s="61"/>
      <c r="U26" s="61"/>
      <c r="V26" s="61"/>
      <c r="W26" s="61"/>
      <c r="X26" s="61"/>
      <c r="Y26" s="61"/>
      <c r="Z26" s="61"/>
      <c r="AA26" s="61"/>
      <c r="AB26" s="61"/>
      <c r="AC26" s="61"/>
      <c r="AD26" s="61"/>
      <c r="AE26" s="61"/>
      <c r="AF26" s="1"/>
      <c r="AG26" s="1"/>
    </row>
    <row r="27" spans="1:33" ht="17.100000000000001" customHeight="1">
      <c r="A27" s="1"/>
      <c r="B27" s="22">
        <f t="shared" si="2"/>
        <v>0.75000000000000011</v>
      </c>
      <c r="C27" s="142">
        <f>D27/D4</f>
        <v>4.0000000000000018</v>
      </c>
      <c r="D27" s="82">
        <f>D4/(1-B27)</f>
        <v>40.000000000000014</v>
      </c>
      <c r="E27" s="83">
        <f>IF(D6=0,"-",D6/(1-B27))</f>
        <v>20.000000000000007</v>
      </c>
      <c r="F27" s="84">
        <f>((D7*1024)/(D27/8))/3600</f>
        <v>0.22755555555555548</v>
      </c>
      <c r="G27" s="85">
        <f>IF(D6&lt;&gt;0,IF(D4&lt;D6,0,((D7*1024)/(E27/8))/3600),"-")</f>
        <v>0.45511111111111097</v>
      </c>
      <c r="H27" s="114">
        <f t="shared" si="0"/>
        <v>210.93750000000009</v>
      </c>
      <c r="I27" s="123">
        <f t="shared" si="1"/>
        <v>105.46875000000004</v>
      </c>
      <c r="J27" s="81">
        <f>(D4*(D5/100))/(1-B27)</f>
        <v>32.000000000000014</v>
      </c>
      <c r="K27" s="81">
        <f>IF(D4&lt;D6,0,(D6*(D5/100))/(1-B27))</f>
        <v>16.000000000000007</v>
      </c>
      <c r="L27" s="80">
        <f>IF(J12&gt;0,((D7*1024)/(J27/8))/3600,0)</f>
        <v>0.28444444444444433</v>
      </c>
      <c r="M27" s="80">
        <f>IF(D6&lt;&gt;0,IF(D4&lt;D6,0,((D7*1024)/((K27)/8))/3600),0)</f>
        <v>0.56888888888888867</v>
      </c>
      <c r="N27" s="80">
        <f>((J27/8)*36000*(D8/60))/1024</f>
        <v>28.125000000000014</v>
      </c>
      <c r="O27" s="80">
        <f>IF(D4&lt;D6,0,((K27/8)*36000*(D8/60))/1024)</f>
        <v>14.062500000000007</v>
      </c>
      <c r="P27" s="1"/>
      <c r="Q27" s="61"/>
      <c r="R27" s="61"/>
      <c r="S27" s="61"/>
      <c r="T27" s="61"/>
      <c r="U27" s="61"/>
      <c r="V27" s="61"/>
      <c r="W27" s="61"/>
      <c r="X27" s="61"/>
      <c r="Y27" s="61"/>
      <c r="Z27" s="61"/>
      <c r="AA27" s="61"/>
      <c r="AB27" s="61"/>
      <c r="AC27" s="61"/>
      <c r="AD27" s="61"/>
      <c r="AE27" s="61"/>
      <c r="AF27" s="1"/>
      <c r="AG27" s="1"/>
    </row>
    <row r="28" spans="1:33" ht="17.100000000000001" customHeight="1">
      <c r="A28" s="1"/>
      <c r="B28" s="22">
        <f t="shared" si="2"/>
        <v>0.80000000000000016</v>
      </c>
      <c r="C28" s="142">
        <f>D28/D4</f>
        <v>5.0000000000000036</v>
      </c>
      <c r="D28" s="82">
        <f>D4/(1-B28)</f>
        <v>50.000000000000036</v>
      </c>
      <c r="E28" s="83">
        <f>IF(D6=0,"-",D6/(1-B28))</f>
        <v>25.000000000000018</v>
      </c>
      <c r="F28" s="84">
        <f>((D7*1024)/(D28/8))/3600</f>
        <v>0.18204444444444431</v>
      </c>
      <c r="G28" s="85">
        <f>IF(D6&lt;&gt;0,IF(D4&lt;D6,0,((D7*1024)/(E28/8))/3600),"-")</f>
        <v>0.36408888888888863</v>
      </c>
      <c r="H28" s="114">
        <f t="shared" si="0"/>
        <v>263.67187500000017</v>
      </c>
      <c r="I28" s="123">
        <f t="shared" si="1"/>
        <v>131.83593750000009</v>
      </c>
      <c r="J28" s="81">
        <f>(D4*(D5/100))/(1-B28)</f>
        <v>40.000000000000028</v>
      </c>
      <c r="K28" s="81">
        <f>IF(D4&lt;D6,0,(D6*(D5/100))/(1-B28))</f>
        <v>20.000000000000014</v>
      </c>
      <c r="L28" s="80">
        <f>IF(J12&gt;0,((D7*1024)/(J28/8))/3600,0)</f>
        <v>0.22755555555555537</v>
      </c>
      <c r="M28" s="80">
        <f>IF(D6&lt;&gt;0,IF(D4&lt;D6,0,((D7*1024)/((K28)/8))/3600),0)</f>
        <v>0.45511111111111074</v>
      </c>
      <c r="N28" s="80">
        <f>((J28/8)*36000*(D8/60))/1024</f>
        <v>35.156250000000021</v>
      </c>
      <c r="O28" s="80">
        <f>IF(D4&lt;D6,0,((K28/8)*36000*(D8/60))/1024)</f>
        <v>17.578125000000011</v>
      </c>
      <c r="P28" s="1"/>
      <c r="Q28" s="61"/>
      <c r="R28" s="61"/>
      <c r="S28" s="61"/>
      <c r="T28" s="61"/>
      <c r="U28" s="61"/>
      <c r="V28" s="61"/>
      <c r="W28" s="61"/>
      <c r="X28" s="61"/>
      <c r="Y28" s="61"/>
      <c r="Z28" s="61"/>
      <c r="AA28" s="61"/>
      <c r="AB28" s="61"/>
      <c r="AC28" s="61"/>
      <c r="AD28" s="61"/>
      <c r="AE28" s="61"/>
      <c r="AF28" s="1"/>
      <c r="AG28" s="1"/>
    </row>
    <row r="29" spans="1:33" ht="17.100000000000001" customHeight="1">
      <c r="A29" s="1"/>
      <c r="B29" s="22">
        <f t="shared" si="2"/>
        <v>0.8500000000000002</v>
      </c>
      <c r="C29" s="142">
        <f>D29/D4</f>
        <v>6.6666666666666758</v>
      </c>
      <c r="D29" s="82">
        <f>D4/(1-B29)</f>
        <v>66.666666666666757</v>
      </c>
      <c r="E29" s="83">
        <f>IF(D6=0,"-",D6/(1-B29))</f>
        <v>33.333333333333378</v>
      </c>
      <c r="F29" s="84">
        <f>((D7*1024)/(D29/8))/3600</f>
        <v>0.13653333333333315</v>
      </c>
      <c r="G29" s="85">
        <f>IF(D6&lt;&gt;0,IF(D4&lt;D6,0,((D7*1024)/(E29/8))/3600),"-")</f>
        <v>0.27306666666666629</v>
      </c>
      <c r="H29" s="114">
        <f t="shared" si="0"/>
        <v>351.56250000000045</v>
      </c>
      <c r="I29" s="123">
        <f t="shared" si="1"/>
        <v>175.78125000000023</v>
      </c>
      <c r="J29" s="81">
        <f>(D4*(D5/100))/(1-B29)</f>
        <v>53.333333333333407</v>
      </c>
      <c r="K29" s="81">
        <f>IF(D4&lt;D6,0,(D6*(D5/100))/(1-B29))</f>
        <v>26.666666666666703</v>
      </c>
      <c r="L29" s="80">
        <f>IF(J12&gt;0,((D7*1024)/(J29/8))/3600,0)</f>
        <v>0.17066666666666644</v>
      </c>
      <c r="M29" s="80">
        <f>IF(D6&lt;&gt;0,IF(D4&lt;D6,0,((D7*1024)/((K29)/8))/3600),0)</f>
        <v>0.34133333333333288</v>
      </c>
      <c r="N29" s="80">
        <f>((J29/8)*36000*(D8/60))/1024</f>
        <v>46.875000000000064</v>
      </c>
      <c r="O29" s="80">
        <f>IF(D4&lt;D6,0,((K29/8)*36000*(D8/60))/1024)</f>
        <v>23.437500000000032</v>
      </c>
      <c r="P29" s="1"/>
      <c r="Q29" s="61"/>
      <c r="R29" s="61"/>
      <c r="S29" s="61"/>
      <c r="T29" s="61"/>
      <c r="U29" s="61"/>
      <c r="V29" s="61"/>
      <c r="W29" s="61"/>
      <c r="X29" s="61"/>
      <c r="Y29" s="61"/>
      <c r="Z29" s="61"/>
      <c r="AA29" s="61"/>
      <c r="AB29" s="61"/>
      <c r="AC29" s="61"/>
      <c r="AD29" s="61"/>
      <c r="AE29" s="61"/>
      <c r="AF29" s="1"/>
      <c r="AG29" s="1"/>
    </row>
    <row r="30" spans="1:33" ht="17.100000000000001" customHeight="1">
      <c r="A30" s="1"/>
      <c r="B30" s="22">
        <f t="shared" si="2"/>
        <v>0.90000000000000024</v>
      </c>
      <c r="C30" s="142">
        <f>D30/D4</f>
        <v>10.000000000000025</v>
      </c>
      <c r="D30" s="82">
        <f>D4/(1-B30)</f>
        <v>100.00000000000024</v>
      </c>
      <c r="E30" s="83">
        <f>IF(D6=0,"-",D6/(1-B30))</f>
        <v>50.000000000000121</v>
      </c>
      <c r="F30" s="84">
        <f>((D7*1024)/(D30/8))/3600</f>
        <v>9.1022222222222005E-2</v>
      </c>
      <c r="G30" s="85">
        <f>IF(D6&lt;&gt;0,IF(D4&lt;D6,0,((D7*1024)/(E30/8))/3600),"-")</f>
        <v>0.18204444444444401</v>
      </c>
      <c r="H30" s="114">
        <f t="shared" si="0"/>
        <v>527.34375000000125</v>
      </c>
      <c r="I30" s="123">
        <f t="shared" si="1"/>
        <v>263.67187500000063</v>
      </c>
      <c r="J30" s="81">
        <f>(D4*(D5/100))/(1-B30)</f>
        <v>80.000000000000199</v>
      </c>
      <c r="K30" s="81">
        <f>IF(D4&lt;D6,0,(D6*(D5/100))/(1-B30))</f>
        <v>40.000000000000099</v>
      </c>
      <c r="L30" s="80">
        <f>IF(J12&gt;0,((D7*1024)/(J30/8))/3600,0)</f>
        <v>0.11377777777777751</v>
      </c>
      <c r="M30" s="80">
        <f>IF(D6&lt;&gt;0,IF(D4&lt;D6,0,((D7*1024)/((K30)/8))/3600),0)</f>
        <v>0.22755555555555501</v>
      </c>
      <c r="N30" s="80">
        <f>((J30/8)*36000*(D8/60))/1024</f>
        <v>70.312500000000171</v>
      </c>
      <c r="O30" s="80">
        <f>IF(D4&lt;D6,0,((K30/8)*36000*(D8/60))/1024)</f>
        <v>35.156250000000085</v>
      </c>
      <c r="P30" s="1"/>
      <c r="Q30" s="61"/>
      <c r="R30" s="61"/>
      <c r="S30" s="61"/>
      <c r="T30" s="61"/>
      <c r="U30" s="61"/>
      <c r="V30" s="61"/>
      <c r="W30" s="61"/>
      <c r="X30" s="61"/>
      <c r="Y30" s="61"/>
      <c r="Z30" s="61"/>
      <c r="AA30" s="61"/>
      <c r="AB30" s="61"/>
      <c r="AC30" s="61"/>
      <c r="AD30" s="61"/>
      <c r="AE30" s="61"/>
      <c r="AF30" s="1"/>
      <c r="AG30" s="1"/>
    </row>
    <row r="31" spans="1:33" ht="17.100000000000001" customHeight="1">
      <c r="A31" s="86"/>
      <c r="B31" s="87">
        <f t="shared" si="2"/>
        <v>0.95000000000000029</v>
      </c>
      <c r="C31" s="142">
        <f>D31/D4</f>
        <v>20.000000000000117</v>
      </c>
      <c r="D31" s="88">
        <f>D4/(1-B31)</f>
        <v>200.00000000000117</v>
      </c>
      <c r="E31" s="83">
        <f>IF(D6=0,"-",D6/(1-B31))</f>
        <v>100.00000000000058</v>
      </c>
      <c r="F31" s="89">
        <f>((D7*1024)/(D31/8))/3600</f>
        <v>4.5511111111110843E-2</v>
      </c>
      <c r="G31" s="85">
        <f>IF(D6&lt;&gt;0,IF(D4&lt;D6,0,((D7*1024)/(E31/8))/3600),"-")</f>
        <v>9.1022222222221685E-2</v>
      </c>
      <c r="H31" s="114">
        <f t="shared" si="0"/>
        <v>1054.6875000000061</v>
      </c>
      <c r="I31" s="123">
        <f t="shared" si="1"/>
        <v>527.34375000000307</v>
      </c>
      <c r="J31" s="81">
        <f>(D4*(D5/100))/(1-B31)</f>
        <v>160.00000000000091</v>
      </c>
      <c r="K31" s="81">
        <f>IF(D4&lt;D6,0,(D6*(D5/100))/(1-B31))</f>
        <v>80.000000000000455</v>
      </c>
      <c r="L31" s="80">
        <f>IF(J12&gt;0,((D7*1024)/(J31/8))/3600,0)</f>
        <v>5.6888888888888565E-2</v>
      </c>
      <c r="M31" s="80">
        <f>IF(D6&lt;&gt;0,IF(D4&lt;D6,0,((D7*1024)/((K31)/8))/3600),0)</f>
        <v>0.11377777777777713</v>
      </c>
      <c r="N31" s="80">
        <f>((J31/8)*36000*(D8/60))/1024</f>
        <v>140.6250000000008</v>
      </c>
      <c r="O31" s="80">
        <f>IF(D4&lt;D6,0,((K31/8)*36000*(D8/60))/1024)</f>
        <v>70.312500000000398</v>
      </c>
      <c r="P31" s="1"/>
      <c r="Q31" s="61"/>
      <c r="R31" s="61"/>
      <c r="S31" s="61"/>
      <c r="T31" s="61"/>
      <c r="U31" s="61"/>
      <c r="V31" s="61"/>
      <c r="W31" s="61"/>
      <c r="X31" s="61"/>
      <c r="Y31" s="61"/>
      <c r="Z31" s="61"/>
      <c r="AA31" s="61"/>
      <c r="AB31" s="61"/>
      <c r="AC31" s="61"/>
      <c r="AD31" s="61"/>
      <c r="AE31" s="61"/>
      <c r="AF31" s="1"/>
      <c r="AG31" s="1"/>
    </row>
    <row r="32" spans="1:33" ht="17.100000000000001" customHeight="1">
      <c r="A32" s="50" t="s">
        <v>4</v>
      </c>
      <c r="B32" s="134">
        <v>0.97499999999999998</v>
      </c>
      <c r="C32" s="135">
        <f>D32/D4</f>
        <v>39.999999999999964</v>
      </c>
      <c r="D32" s="136">
        <f>D4/(1-B32)</f>
        <v>399.99999999999966</v>
      </c>
      <c r="E32" s="137">
        <f>IF(D6=0,"-",D6/(1-B32))</f>
        <v>199.99999999999983</v>
      </c>
      <c r="F32" s="138">
        <f>((D7*1024)/(D32/8))/3600</f>
        <v>2.2755555555555577E-2</v>
      </c>
      <c r="G32" s="139">
        <f>IF(D6&lt;&gt;0,IF(D4&lt;D6,0,((D7*1024)/(E32/8))/3600),"-")</f>
        <v>4.5511111111111155E-2</v>
      </c>
      <c r="H32" s="140">
        <f>((D32/8)*36000*(D8/60))/1024</f>
        <v>351.56249999999972</v>
      </c>
      <c r="I32" s="141">
        <f>IF(D6=0,"-",((E32/8)*36000*(D8/60))/1024)</f>
        <v>175.78124999999986</v>
      </c>
      <c r="J32" s="81">
        <f>(D4*(D5/100))/(1-B32)</f>
        <v>319.99999999999972</v>
      </c>
      <c r="K32" s="90">
        <f>IF(D4&lt;D6,0,(D6*(D5/100))/(1-B32))</f>
        <v>159.99999999999986</v>
      </c>
      <c r="L32" s="80">
        <f>IF(J12&gt;0,((D7*1024)/(J32/8))/3600,0)</f>
        <v>2.844444444444447E-2</v>
      </c>
      <c r="M32" s="80">
        <f>IF(D6&lt;&gt;0,IF(D4&lt;D6,0,((D7*1024)/((K32)/8))/3600),0)</f>
        <v>5.688888888888894E-2</v>
      </c>
      <c r="N32" s="80">
        <f>((J32/8)*36000*(D8/60))/1024</f>
        <v>281.24999999999977</v>
      </c>
      <c r="O32" s="80">
        <f>IF(D4&lt;D6,0,((K32/8)*36000*(D8/60))/1024)</f>
        <v>140.62499999999989</v>
      </c>
      <c r="P32" s="1"/>
      <c r="Q32" s="61"/>
      <c r="R32" s="61"/>
      <c r="S32" s="61"/>
      <c r="T32" s="61"/>
      <c r="U32" s="61"/>
      <c r="V32" s="61"/>
      <c r="W32" s="61"/>
      <c r="X32" s="61"/>
      <c r="Y32" s="61"/>
      <c r="Z32" s="61"/>
      <c r="AA32" s="61"/>
      <c r="AB32" s="61"/>
      <c r="AC32" s="61"/>
      <c r="AD32" s="61"/>
      <c r="AE32" s="61"/>
      <c r="AF32" s="1"/>
      <c r="AG32" s="1"/>
    </row>
    <row r="33" spans="1:33" ht="17.100000000000001" customHeight="1">
      <c r="A33" s="50"/>
      <c r="B33" s="91"/>
      <c r="C33" s="92"/>
      <c r="D33" s="93"/>
      <c r="E33" s="93"/>
      <c r="F33" s="94"/>
      <c r="G33" s="94"/>
      <c r="H33" s="94"/>
      <c r="I33" s="95"/>
      <c r="J33" s="96"/>
      <c r="K33" s="96"/>
      <c r="L33" s="75"/>
      <c r="M33" s="75"/>
      <c r="N33" s="76"/>
      <c r="O33" s="76"/>
      <c r="P33" s="1"/>
      <c r="Q33" s="61"/>
      <c r="R33" s="61"/>
      <c r="S33" s="61"/>
      <c r="T33" s="61"/>
      <c r="U33" s="61"/>
      <c r="V33" s="61"/>
      <c r="W33" s="61"/>
      <c r="X33" s="61"/>
      <c r="Y33" s="61"/>
      <c r="Z33" s="61"/>
      <c r="AA33" s="61"/>
      <c r="AB33" s="61"/>
      <c r="AC33" s="61"/>
      <c r="AD33" s="61"/>
      <c r="AE33" s="61"/>
      <c r="AF33" s="1"/>
      <c r="AG33" s="1"/>
    </row>
    <row r="34" spans="1:33" ht="18" customHeight="1">
      <c r="A34" s="51" t="s">
        <v>4</v>
      </c>
      <c r="B34" s="184" t="s">
        <v>6</v>
      </c>
      <c r="C34" s="184"/>
      <c r="D34" s="184"/>
      <c r="E34" s="184"/>
      <c r="F34" s="184"/>
      <c r="G34" s="184"/>
      <c r="H34" s="184"/>
      <c r="I34" s="184"/>
      <c r="J34" s="110"/>
      <c r="K34" s="110"/>
      <c r="L34" s="75"/>
      <c r="M34" s="75"/>
      <c r="N34" s="76"/>
      <c r="O34" s="76"/>
      <c r="P34" s="1"/>
      <c r="Q34" s="61"/>
      <c r="R34" s="61"/>
      <c r="S34" s="61"/>
      <c r="T34" s="61"/>
      <c r="U34" s="61"/>
      <c r="V34" s="61"/>
      <c r="W34" s="61"/>
      <c r="X34" s="61"/>
      <c r="Y34" s="61"/>
      <c r="Z34" s="61"/>
      <c r="AA34" s="61"/>
      <c r="AB34" s="61"/>
      <c r="AC34" s="61"/>
      <c r="AD34" s="61"/>
      <c r="AE34" s="61"/>
      <c r="AF34" s="1"/>
      <c r="AG34" s="1"/>
    </row>
    <row r="35" spans="1:33" ht="16.5" customHeight="1">
      <c r="A35" s="50" t="s">
        <v>4</v>
      </c>
      <c r="B35" s="184" t="s">
        <v>5</v>
      </c>
      <c r="C35" s="184"/>
      <c r="D35" s="184"/>
      <c r="E35" s="184"/>
      <c r="F35" s="97"/>
      <c r="G35" s="97"/>
      <c r="H35" s="97"/>
      <c r="I35" s="97"/>
      <c r="J35" s="111"/>
      <c r="K35" s="111"/>
      <c r="L35" s="75"/>
      <c r="M35" s="75"/>
      <c r="N35" s="76"/>
      <c r="O35" s="76"/>
      <c r="P35" s="1"/>
      <c r="Q35" s="1"/>
      <c r="R35" s="1"/>
      <c r="S35" s="1"/>
      <c r="T35" s="1"/>
      <c r="U35" s="1"/>
      <c r="V35" s="1"/>
      <c r="W35" s="1"/>
      <c r="X35" s="1"/>
      <c r="Y35" s="61"/>
      <c r="Z35" s="61"/>
      <c r="AA35" s="61"/>
      <c r="AB35" s="61"/>
      <c r="AC35" s="61"/>
      <c r="AD35" s="61"/>
      <c r="AE35" s="61"/>
      <c r="AF35" s="1"/>
      <c r="AG35" s="1"/>
    </row>
    <row r="36" spans="1:33" ht="15" customHeight="1">
      <c r="A36" s="167" t="s">
        <v>24</v>
      </c>
      <c r="B36" s="167"/>
      <c r="C36" s="167"/>
      <c r="D36" s="167"/>
      <c r="E36" s="167"/>
      <c r="F36" s="167"/>
      <c r="G36" s="167"/>
      <c r="H36" s="167"/>
      <c r="I36" s="167"/>
      <c r="J36" s="107"/>
      <c r="K36" s="107"/>
      <c r="L36" s="75"/>
      <c r="M36" s="75"/>
      <c r="N36" s="76"/>
      <c r="O36" s="76"/>
      <c r="P36" s="1"/>
      <c r="Q36" s="1"/>
      <c r="R36" s="1"/>
      <c r="S36" s="1"/>
      <c r="T36" s="1"/>
      <c r="U36" s="1"/>
      <c r="V36" s="1"/>
      <c r="W36" s="1"/>
      <c r="X36" s="1"/>
      <c r="Y36" s="61"/>
      <c r="Z36" s="61"/>
      <c r="AA36" s="61"/>
      <c r="AB36" s="61"/>
      <c r="AC36" s="61"/>
      <c r="AD36" s="61"/>
      <c r="AE36" s="61"/>
      <c r="AF36" s="1"/>
      <c r="AG36" s="1"/>
    </row>
    <row r="37" spans="1:33" ht="15" customHeight="1">
      <c r="A37" s="98"/>
      <c r="B37" s="1"/>
      <c r="C37" s="1"/>
      <c r="D37" s="10"/>
      <c r="E37" s="10"/>
      <c r="F37" s="10"/>
      <c r="G37" s="10"/>
      <c r="H37" s="1"/>
      <c r="I37" s="1"/>
      <c r="J37" s="76"/>
      <c r="K37" s="76"/>
      <c r="L37" s="75"/>
      <c r="M37" s="75"/>
      <c r="N37" s="76"/>
      <c r="O37" s="76"/>
      <c r="P37" s="1"/>
      <c r="Q37" s="1"/>
      <c r="R37" s="1"/>
      <c r="S37" s="1"/>
      <c r="T37" s="1"/>
      <c r="U37" s="1"/>
      <c r="V37" s="1"/>
      <c r="W37" s="1"/>
      <c r="X37" s="1"/>
      <c r="Y37" s="61"/>
      <c r="Z37" s="61"/>
      <c r="AA37" s="61"/>
      <c r="AB37" s="61"/>
      <c r="AC37" s="61"/>
      <c r="AD37" s="61"/>
      <c r="AE37" s="61"/>
      <c r="AF37" s="1"/>
      <c r="AG37" s="1"/>
    </row>
    <row r="38" spans="1:33" ht="15" customHeight="1">
      <c r="A38" s="1"/>
      <c r="B38" s="1"/>
      <c r="C38" s="1"/>
      <c r="D38" s="10"/>
      <c r="E38" s="10"/>
      <c r="F38" s="10"/>
      <c r="G38" s="10"/>
      <c r="H38" s="1"/>
      <c r="I38" s="1"/>
      <c r="J38" s="76"/>
      <c r="K38" s="76"/>
      <c r="L38" s="75"/>
      <c r="M38" s="75"/>
      <c r="N38" s="76"/>
      <c r="O38" s="76"/>
      <c r="P38" s="1"/>
      <c r="Q38" s="1"/>
      <c r="R38" s="1"/>
      <c r="S38" s="1"/>
      <c r="T38" s="1"/>
      <c r="U38" s="1"/>
      <c r="V38" s="1"/>
      <c r="W38" s="1"/>
      <c r="X38" s="1"/>
      <c r="Y38" s="61"/>
      <c r="Z38" s="61"/>
      <c r="AA38" s="61"/>
      <c r="AB38" s="61"/>
      <c r="AC38" s="61"/>
      <c r="AD38" s="61"/>
      <c r="AE38" s="61"/>
      <c r="AF38" s="1"/>
      <c r="AG38" s="1"/>
    </row>
    <row r="39" spans="1:33">
      <c r="A39" s="1"/>
      <c r="B39" s="1"/>
      <c r="C39" s="1"/>
      <c r="D39" s="10"/>
      <c r="E39" s="10"/>
      <c r="F39" s="10"/>
      <c r="G39" s="10"/>
      <c r="H39" s="1"/>
      <c r="I39" s="1"/>
      <c r="J39" s="76"/>
      <c r="K39" s="76"/>
      <c r="L39" s="75"/>
      <c r="M39" s="75"/>
      <c r="N39" s="76"/>
      <c r="O39" s="76"/>
      <c r="P39" s="1"/>
      <c r="Q39" s="1"/>
      <c r="R39" s="1"/>
      <c r="S39" s="1"/>
      <c r="T39" s="1"/>
      <c r="U39" s="1"/>
      <c r="V39" s="1"/>
      <c r="W39" s="1"/>
      <c r="X39" s="1"/>
      <c r="Y39" s="1"/>
      <c r="Z39" s="1"/>
      <c r="AA39" s="1"/>
      <c r="AB39" s="1"/>
      <c r="AC39" s="1"/>
      <c r="AD39" s="1"/>
      <c r="AE39" s="1"/>
      <c r="AF39" s="1"/>
      <c r="AG39" s="1"/>
    </row>
    <row r="40" spans="1:33">
      <c r="A40" s="1"/>
      <c r="B40" s="1"/>
      <c r="C40" s="1"/>
      <c r="D40" s="10"/>
      <c r="E40" s="10"/>
      <c r="F40" s="10"/>
      <c r="G40" s="10"/>
      <c r="H40" s="1"/>
      <c r="I40" s="1"/>
      <c r="J40" s="76"/>
      <c r="K40" s="76"/>
      <c r="L40" s="75"/>
      <c r="M40" s="75"/>
      <c r="N40" s="76"/>
      <c r="O40" s="76"/>
      <c r="P40" s="1"/>
      <c r="Q40" s="1"/>
      <c r="R40" s="1"/>
      <c r="S40" s="1"/>
      <c r="T40" s="1"/>
      <c r="U40" s="1"/>
      <c r="V40" s="1"/>
      <c r="W40" s="1"/>
      <c r="X40" s="1"/>
      <c r="Y40" s="1"/>
      <c r="Z40" s="1"/>
      <c r="AA40" s="1"/>
      <c r="AB40" s="1"/>
      <c r="AC40" s="1"/>
      <c r="AD40" s="1"/>
      <c r="AE40" s="1"/>
      <c r="AF40" s="1"/>
      <c r="AG40" s="1"/>
    </row>
    <row r="41" spans="1:33">
      <c r="A41" s="1"/>
      <c r="B41" s="1"/>
      <c r="C41" s="1"/>
      <c r="D41" s="10"/>
      <c r="E41" s="10"/>
      <c r="F41" s="10"/>
      <c r="G41" s="10"/>
      <c r="H41" s="1"/>
      <c r="I41" s="1"/>
      <c r="J41" s="76"/>
      <c r="K41" s="76"/>
      <c r="L41" s="75"/>
      <c r="M41" s="75"/>
      <c r="N41" s="76"/>
      <c r="O41" s="76"/>
      <c r="P41" s="1"/>
      <c r="Q41" s="1"/>
      <c r="R41" s="1"/>
      <c r="S41" s="1"/>
      <c r="T41" s="1"/>
      <c r="U41" s="1"/>
      <c r="V41" s="1"/>
      <c r="W41" s="1"/>
      <c r="X41" s="1"/>
      <c r="Y41" s="1"/>
      <c r="Z41" s="1"/>
      <c r="AA41" s="1"/>
      <c r="AB41" s="1"/>
      <c r="AC41" s="1"/>
      <c r="AD41" s="1"/>
      <c r="AE41" s="1"/>
      <c r="AF41" s="1"/>
      <c r="AG41" s="1"/>
    </row>
    <row r="42" spans="1:33">
      <c r="A42" s="1"/>
      <c r="B42" s="1"/>
      <c r="C42" s="1"/>
      <c r="D42" s="10"/>
      <c r="E42" s="10"/>
      <c r="F42" s="10"/>
      <c r="G42" s="10"/>
      <c r="H42" s="1"/>
      <c r="I42" s="1"/>
      <c r="J42" s="76"/>
      <c r="K42" s="76"/>
      <c r="L42" s="75"/>
      <c r="M42" s="75"/>
      <c r="N42" s="76"/>
      <c r="O42" s="76"/>
      <c r="P42" s="1"/>
      <c r="Q42" s="1"/>
      <c r="R42" s="1"/>
      <c r="S42" s="1"/>
      <c r="T42" s="1"/>
      <c r="U42" s="1"/>
      <c r="V42" s="1"/>
      <c r="W42" s="1"/>
      <c r="X42" s="1"/>
      <c r="Y42" s="1"/>
      <c r="Z42" s="1"/>
      <c r="AA42" s="1"/>
      <c r="AB42" s="1"/>
      <c r="AC42" s="1"/>
      <c r="AD42" s="1"/>
      <c r="AE42" s="1"/>
      <c r="AF42" s="1"/>
      <c r="AG42" s="1"/>
    </row>
    <row r="43" spans="1:33">
      <c r="A43" s="1"/>
      <c r="B43" s="1"/>
      <c r="C43" s="1"/>
      <c r="D43" s="10"/>
      <c r="E43" s="10"/>
      <c r="F43" s="10"/>
      <c r="G43" s="10"/>
      <c r="H43" s="1"/>
      <c r="I43" s="1"/>
      <c r="J43" s="76"/>
      <c r="K43" s="76"/>
      <c r="L43" s="75"/>
      <c r="M43" s="75"/>
      <c r="N43" s="76"/>
      <c r="O43" s="76"/>
      <c r="P43" s="1"/>
      <c r="Q43" s="1"/>
      <c r="R43" s="1"/>
      <c r="S43" s="1"/>
      <c r="T43" s="1"/>
      <c r="U43" s="1"/>
      <c r="V43" s="1"/>
      <c r="W43" s="1"/>
      <c r="X43" s="1"/>
      <c r="Y43" s="1"/>
      <c r="Z43" s="1"/>
      <c r="AA43" s="1"/>
      <c r="AB43" s="1"/>
      <c r="AC43" s="1"/>
      <c r="AD43" s="1"/>
      <c r="AE43" s="1"/>
      <c r="AF43" s="1"/>
      <c r="AG43" s="1"/>
    </row>
    <row r="44" spans="1:33">
      <c r="A44" s="1"/>
      <c r="B44" s="1"/>
      <c r="C44" s="1"/>
      <c r="D44" s="10"/>
      <c r="E44" s="10"/>
      <c r="F44" s="10"/>
      <c r="G44" s="10"/>
      <c r="H44" s="1"/>
      <c r="I44" s="1"/>
      <c r="J44" s="76"/>
      <c r="K44" s="76"/>
      <c r="L44" s="75"/>
      <c r="M44" s="75"/>
      <c r="N44" s="76"/>
      <c r="O44" s="76"/>
      <c r="P44" s="1"/>
      <c r="Q44" s="1"/>
      <c r="R44" s="1"/>
      <c r="S44" s="1"/>
      <c r="T44" s="1"/>
      <c r="U44" s="1"/>
      <c r="V44" s="1"/>
      <c r="W44" s="1"/>
      <c r="X44" s="1"/>
      <c r="Y44" s="1"/>
      <c r="Z44" s="1"/>
      <c r="AA44" s="1"/>
      <c r="AB44" s="1"/>
      <c r="AC44" s="1"/>
      <c r="AD44" s="1"/>
      <c r="AE44" s="1"/>
      <c r="AF44" s="1"/>
      <c r="AG44" s="1"/>
    </row>
    <row r="45" spans="1:33">
      <c r="A45" s="1"/>
      <c r="B45" s="1"/>
      <c r="C45" s="1"/>
      <c r="D45" s="10"/>
      <c r="E45" s="10"/>
      <c r="F45" s="10"/>
      <c r="G45" s="10"/>
      <c r="H45" s="1"/>
      <c r="I45" s="1"/>
      <c r="J45" s="76"/>
      <c r="K45" s="76"/>
      <c r="L45" s="75"/>
      <c r="M45" s="75"/>
      <c r="N45" s="76"/>
      <c r="O45" s="76"/>
      <c r="P45" s="1"/>
      <c r="Q45" s="1"/>
      <c r="R45" s="1"/>
      <c r="S45" s="1"/>
      <c r="T45" s="1"/>
      <c r="U45" s="1"/>
      <c r="V45" s="1"/>
      <c r="W45" s="1"/>
      <c r="X45" s="1"/>
      <c r="Y45" s="1"/>
      <c r="Z45" s="1"/>
      <c r="AA45" s="1"/>
      <c r="AB45" s="1"/>
      <c r="AC45" s="1"/>
      <c r="AD45" s="1"/>
      <c r="AE45" s="1"/>
      <c r="AF45" s="1"/>
      <c r="AG45" s="1"/>
    </row>
    <row r="46" spans="1:33">
      <c r="A46" s="1"/>
      <c r="B46" s="1"/>
      <c r="C46" s="1"/>
      <c r="D46" s="10"/>
      <c r="E46" s="10"/>
      <c r="F46" s="10"/>
      <c r="G46" s="10"/>
      <c r="H46" s="1"/>
      <c r="I46" s="1"/>
      <c r="J46" s="76"/>
      <c r="K46" s="76"/>
      <c r="L46" s="75"/>
      <c r="M46" s="75"/>
      <c r="N46" s="76"/>
      <c r="O46" s="76"/>
      <c r="P46" s="1"/>
      <c r="Q46" s="1"/>
      <c r="R46" s="1"/>
      <c r="S46" s="1"/>
      <c r="T46" s="1"/>
      <c r="U46" s="1"/>
      <c r="V46" s="1"/>
      <c r="W46" s="1"/>
      <c r="X46" s="1"/>
      <c r="Y46" s="1"/>
      <c r="Z46" s="1"/>
      <c r="AA46" s="1"/>
      <c r="AB46" s="1"/>
      <c r="AC46" s="1"/>
      <c r="AD46" s="1"/>
      <c r="AE46" s="1"/>
      <c r="AF46" s="1"/>
      <c r="AG46" s="1"/>
    </row>
  </sheetData>
  <sheetProtection algorithmName="SHA-512" hashValue="9JOYQhfF5hiR9lGGmloEEezRM8qP8nD0Sk0cY6pme9hFPoD4KmxzJgok279PqEQLE2bZpspwlgwpEkXhz6T+dA==" saltValue="MMcxJZM1CDElqOtOUwV3lw==" spinCount="100000" sheet="1" objects="1" scenarios="1" selectLockedCells="1"/>
  <mergeCells count="21">
    <mergeCell ref="Y2:AE2"/>
    <mergeCell ref="E5:I5"/>
    <mergeCell ref="H10:I10"/>
    <mergeCell ref="A1:S1"/>
    <mergeCell ref="P2:V2"/>
    <mergeCell ref="B8:C8"/>
    <mergeCell ref="D10:E10"/>
    <mergeCell ref="Q4:W4"/>
    <mergeCell ref="B7:C7"/>
    <mergeCell ref="B4:C4"/>
    <mergeCell ref="B5:C5"/>
    <mergeCell ref="B6:C6"/>
    <mergeCell ref="A36:I36"/>
    <mergeCell ref="P20:V20"/>
    <mergeCell ref="P3:V3"/>
    <mergeCell ref="Y3:AD3"/>
    <mergeCell ref="P19:V19"/>
    <mergeCell ref="B35:E35"/>
    <mergeCell ref="B34:I34"/>
    <mergeCell ref="E8:H8"/>
    <mergeCell ref="E7:I7"/>
  </mergeCells>
  <dataValidations count="6">
    <dataValidation type="decimal" operator="greaterThanOrEqual" showErrorMessage="1" error="Require a deciaml number more than or equal to 0" sqref="D7" xr:uid="{FABEAEB3-C592-4EF4-9B2E-CCF012670D8F}">
      <formula1>0</formula1>
    </dataValidation>
    <dataValidation type="decimal" operator="greaterThanOrEqual" showErrorMessage="1" error="Require a decimal number more than or equal to 0" sqref="D8" xr:uid="{0C2BAC20-4FFA-449C-B19A-215A4981E1A7}">
      <formula1>0</formula1>
    </dataValidation>
    <dataValidation allowBlank="1" showInputMessage="1" showErrorMessage="1" promptTitle="Author : Jim McDonald" sqref="A1" xr:uid="{55A93E3B-6678-4899-A27E-7D78BA98260C}"/>
    <dataValidation type="decimal" allowBlank="1" showErrorMessage="1" errorTitle="Invalid Value" error="Integers only _x000a__x000a_Permitted Range ..........._x000a_Between &gt;= 1  and &lt;=100" sqref="D4" xr:uid="{33EA889D-EFDF-4DB9-9828-D5B3A5572916}">
      <formula1>0.1</formula1>
      <formula2>100</formula2>
    </dataValidation>
    <dataValidation type="decimal" showErrorMessage="1" error="Require decimal number between zero and less than Physical Link" sqref="D6" xr:uid="{56A7E26F-FBF2-401D-BE60-E3B30E5BF41C}">
      <formula1>0</formula1>
      <formula2>D4</formula2>
    </dataValidation>
    <dataValidation type="decimal" showInputMessage="1" showErrorMessage="1" errorTitle="Error" error="Requires a whole number between 1 - 100" sqref="D5" xr:uid="{65877F86-BD7C-45B4-8B31-E2F29CB18678}">
      <formula1>1</formula1>
      <formula2>100</formula2>
    </dataValidation>
  </dataValidations>
  <pageMargins left="0.25" right="0.25" top="0.75" bottom="0.75" header="0.3" footer="0.3"/>
  <pageSetup paperSize="8" orientation="landscape"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ABEF2-B276-46EF-8C25-44620CF15BAA}">
  <dimension ref="A2:AB30"/>
  <sheetViews>
    <sheetView showGridLines="0" showRowColHeaders="0" zoomScaleNormal="100" workbookViewId="0">
      <selection activeCell="B35" sqref="B35"/>
    </sheetView>
  </sheetViews>
  <sheetFormatPr defaultRowHeight="15"/>
  <cols>
    <col min="1" max="2" width="9.140625" style="1"/>
    <col min="3" max="3" width="16" style="1" customWidth="1"/>
    <col min="4" max="4" width="10.5703125" style="1" customWidth="1"/>
    <col min="5" max="5" width="3.42578125" style="1" customWidth="1"/>
    <col min="6" max="13" width="9.140625" style="1"/>
    <col min="14" max="14" width="9.140625" style="1" customWidth="1"/>
    <col min="15" max="16384" width="9.140625" style="1"/>
  </cols>
  <sheetData>
    <row r="2" spans="1:27" ht="26.25" customHeight="1">
      <c r="A2" s="205" t="s">
        <v>22</v>
      </c>
      <c r="B2" s="205"/>
      <c r="C2" s="205"/>
      <c r="D2" s="205"/>
      <c r="F2" s="168" t="str">
        <f>"    Logical Throughput (Gbps) on a " &amp; 'Transmission Efficiency'!D4 &amp;" Gbps physical link"</f>
        <v xml:space="preserve">    Logical Throughput (Gbps) on a 10 Gbps physical link</v>
      </c>
      <c r="G2" s="168"/>
      <c r="H2" s="168"/>
      <c r="I2" s="168"/>
      <c r="J2" s="168"/>
      <c r="K2" s="168"/>
      <c r="M2" s="168" t="str">
        <f>"        Time to  logically transfer " &amp; 'Transmission Efficiency'!D7 &amp; " TiB  on a " &amp; 'Transmission Efficiency'!D4 &amp; " Gps link"</f>
        <v xml:space="preserve">        Time to  logically transfer 4 TiB  on a 10 Gps link</v>
      </c>
      <c r="N2" s="168"/>
      <c r="O2" s="168"/>
      <c r="P2" s="168"/>
      <c r="Q2" s="168"/>
      <c r="R2" s="168"/>
      <c r="S2" s="168"/>
      <c r="U2" s="168" t="str">
        <f>"       Logical Data Transferred in " &amp; 'Transmission Efficiency'!D8 &amp; " hours on a " &amp; 'Transmission Efficiency'!D4 &amp; " Gps link"</f>
        <v xml:space="preserve">       Logical Data Transferred in 12 hours on a 10 Gps link</v>
      </c>
      <c r="V2" s="168"/>
      <c r="W2" s="168"/>
      <c r="X2" s="168"/>
      <c r="Y2" s="168"/>
      <c r="Z2" s="168"/>
      <c r="AA2" s="168"/>
    </row>
    <row r="3" spans="1:27" ht="18.75" customHeight="1">
      <c r="A3" s="117"/>
      <c r="B3" s="117"/>
      <c r="C3" s="117"/>
      <c r="D3" s="117"/>
      <c r="F3" s="209" t="str">
        <f>IF('Transmission Efficiency'!D6&gt;0,("At " &amp; 'Transmission Efficiency'!D5 &amp;" % usable throughput, throttled at " &amp; 'Transmission Efficiency'!D6 &amp; " Gbps"),("At " &amp; 'Transmission Efficiency'!D5 &amp;" % usable throughput, not throttled"))</f>
        <v>At 80 % usable throughput, throttled at 5 Gbps</v>
      </c>
      <c r="G3" s="209"/>
      <c r="H3" s="209"/>
      <c r="I3" s="209"/>
      <c r="J3" s="209"/>
      <c r="K3" s="209"/>
      <c r="L3" s="118"/>
      <c r="M3" s="119"/>
      <c r="N3" s="208" t="str">
        <f>IF('Transmission Efficiency'!D6&gt;0,("At " &amp; 'Transmission Efficiency'!D5 &amp;" % usable throughput, throttled at " &amp; 'Transmission Efficiency'!D6 &amp; " Gbps"),("At " &amp; 'Transmission Efficiency'!D5 &amp;" % usable throughput, not throttled"))</f>
        <v>At 80 % usable throughput, throttled at 5 Gbps</v>
      </c>
      <c r="O3" s="208"/>
      <c r="P3" s="208"/>
      <c r="Q3" s="208"/>
      <c r="R3" s="208"/>
      <c r="S3" s="208"/>
      <c r="U3" s="119"/>
      <c r="V3" s="208" t="str">
        <f>IF('Transmission Efficiency'!D6&gt;0,("At " &amp; 'Transmission Efficiency'!D5 &amp;" % usable throughput, throttled at " &amp; 'Transmission Efficiency'!D6 &amp; " Gbps"),("At " &amp; 'Transmission Efficiency'!D5 &amp;" % usable throughput, not throttled"))</f>
        <v>At 80 % usable throughput, throttled at 5 Gbps</v>
      </c>
      <c r="W3" s="208"/>
      <c r="X3" s="208"/>
      <c r="Y3" s="208"/>
      <c r="Z3" s="208"/>
      <c r="AA3" s="208"/>
    </row>
    <row r="4" spans="1:27" ht="15" customHeight="1">
      <c r="A4" s="59"/>
      <c r="B4" s="59"/>
      <c r="C4" s="59"/>
      <c r="D4" s="59"/>
      <c r="E4" s="39"/>
      <c r="F4" s="39"/>
      <c r="I4" s="40"/>
      <c r="J4" s="40"/>
      <c r="K4" s="40"/>
      <c r="L4" s="40"/>
      <c r="M4" s="40"/>
      <c r="N4" s="40"/>
      <c r="O4" s="40"/>
      <c r="Q4" s="41"/>
      <c r="R4" s="41"/>
      <c r="S4" s="41"/>
      <c r="T4" s="41"/>
      <c r="U4" s="41"/>
      <c r="V4" s="41"/>
      <c r="W4" s="41"/>
    </row>
    <row r="5" spans="1:27" ht="15" customHeight="1">
      <c r="A5" s="59"/>
      <c r="B5" s="59"/>
      <c r="C5" s="59"/>
      <c r="D5" s="59"/>
      <c r="Q5" s="41"/>
      <c r="R5" s="41"/>
      <c r="S5" s="41"/>
      <c r="T5" s="41"/>
      <c r="U5" s="41"/>
      <c r="V5" s="41"/>
      <c r="W5" s="41"/>
    </row>
    <row r="6" spans="1:27" ht="15" customHeight="1">
      <c r="A6" s="59"/>
      <c r="B6" s="59"/>
      <c r="C6" s="59"/>
      <c r="D6" s="59"/>
    </row>
    <row r="7" spans="1:27" ht="15" customHeight="1">
      <c r="A7" s="206" t="s">
        <v>27</v>
      </c>
      <c r="B7" s="206"/>
      <c r="C7" s="206"/>
      <c r="D7" s="206"/>
    </row>
    <row r="8" spans="1:27" ht="15" customHeight="1">
      <c r="A8" s="206" t="str">
        <f>"     - Advertised physical link is "&amp;'Transmission Efficiency'!D4 &amp;" Gbps"</f>
        <v xml:space="preserve">     - Advertised physical link is 10 Gbps</v>
      </c>
      <c r="B8" s="206"/>
      <c r="C8" s="206"/>
      <c r="D8" s="206"/>
    </row>
    <row r="9" spans="1:27" ht="15" customHeight="1">
      <c r="A9" s="206" t="str">
        <f>"     - Link efficiency/Useability is "&amp;'Transmission Efficiency'!D5 &amp;" %"</f>
        <v xml:space="preserve">     - Link efficiency/Useability is 80 %</v>
      </c>
      <c r="B9" s="206"/>
      <c r="C9" s="206"/>
      <c r="D9" s="206"/>
    </row>
    <row r="10" spans="1:27" ht="15" customHeight="1">
      <c r="A10" s="206" t="str">
        <f>"     - Usable physical link is "&amp;('Transmission Efficiency'!D4*('Transmission Efficiency'!D5/100))&amp;" Gbps"</f>
        <v xml:space="preserve">     - Usable physical link is 8 Gbps</v>
      </c>
      <c r="B10" s="206"/>
      <c r="C10" s="206"/>
      <c r="D10" s="206"/>
    </row>
    <row r="11" spans="1:27" ht="15" customHeight="1">
      <c r="A11" s="206" t="str">
        <f>IF('Transmission Efficiency'!D6&gt;0, "     - Bandwidth throttled  at " &amp;'Transmission Efficiency'!D6&amp; " Gbps","     - Bandwidth not throttled")</f>
        <v xml:space="preserve">     - Bandwidth throttled  at 5 Gbps</v>
      </c>
      <c r="B11" s="206"/>
      <c r="C11" s="206"/>
      <c r="D11" s="206"/>
    </row>
    <row r="12" spans="1:27" ht="15" customHeight="1">
      <c r="A12" s="59"/>
      <c r="B12" s="59"/>
      <c r="C12" s="59"/>
      <c r="D12" s="59"/>
    </row>
    <row r="13" spans="1:27" ht="15" customHeight="1">
      <c r="A13" s="59"/>
      <c r="B13" s="59"/>
      <c r="C13" s="59"/>
      <c r="D13" s="59"/>
    </row>
    <row r="14" spans="1:27" ht="15" customHeight="1">
      <c r="A14" s="59"/>
      <c r="B14" s="59"/>
      <c r="C14" s="59"/>
      <c r="D14" s="59"/>
    </row>
    <row r="15" spans="1:27" ht="15" customHeight="1">
      <c r="A15" s="59"/>
      <c r="B15" s="59"/>
      <c r="C15" s="59"/>
      <c r="D15" s="59"/>
    </row>
    <row r="16" spans="1:27" ht="15" customHeight="1">
      <c r="A16" s="59"/>
      <c r="B16" s="59"/>
      <c r="C16" s="59"/>
      <c r="D16" s="59"/>
    </row>
    <row r="17" spans="1:28" ht="15" customHeight="1">
      <c r="A17" s="59"/>
      <c r="B17" s="59"/>
      <c r="C17" s="59"/>
      <c r="D17" s="59"/>
    </row>
    <row r="18" spans="1:28" ht="15" customHeight="1">
      <c r="A18" s="59"/>
      <c r="B18" s="59"/>
      <c r="C18" s="59"/>
      <c r="D18" s="59"/>
    </row>
    <row r="22" spans="1:28" ht="31.5" customHeight="1"/>
    <row r="23" spans="1:28" ht="15.75" customHeight="1">
      <c r="A23" s="205" t="s">
        <v>23</v>
      </c>
      <c r="B23" s="205"/>
      <c r="C23" s="205"/>
      <c r="D23" s="205"/>
      <c r="E23" s="55"/>
      <c r="F23" s="55"/>
      <c r="H23" s="207" t="str">
        <f>"Logical Storage Capacity for a " &amp; 'Storage Efficiency'!D4 &amp; " TiB Volume"</f>
        <v>Logical Storage Capacity for a 70 TiB Volume</v>
      </c>
      <c r="I23" s="207"/>
      <c r="J23" s="207"/>
      <c r="K23" s="207"/>
      <c r="L23" s="207"/>
      <c r="M23" s="207"/>
      <c r="Q23" s="168" t="str">
        <f>"Physical Storage Used for " &amp; 'Storage Efficiency'!D5 &amp; " TiB Data in a " &amp; 'Storage Efficiency'!D4 &amp; " TiB volume"</f>
        <v>Physical Storage Used for 50 TiB Data in a 70 TiB volume</v>
      </c>
      <c r="R23" s="168"/>
      <c r="S23" s="168"/>
      <c r="T23" s="168"/>
      <c r="U23" s="168"/>
      <c r="V23" s="168"/>
      <c r="W23" s="168"/>
    </row>
    <row r="24" spans="1:28" ht="15" customHeight="1">
      <c r="A24" s="205"/>
      <c r="B24" s="205"/>
      <c r="C24" s="205"/>
      <c r="D24" s="205"/>
      <c r="E24" s="55"/>
      <c r="F24" s="55"/>
      <c r="H24" s="207"/>
      <c r="I24" s="207"/>
      <c r="J24" s="207"/>
      <c r="K24" s="207"/>
      <c r="L24" s="207"/>
      <c r="M24" s="207"/>
    </row>
    <row r="28" spans="1:28" ht="15" customHeight="1">
      <c r="A28" s="60"/>
      <c r="B28" s="60"/>
      <c r="C28" s="204" t="str">
        <f>"Dedpuplication efficiency determines total data that can be stored on " &amp; 'Storage Efficiency'!D4 &amp; " TiB deduplicated volume"</f>
        <v>Dedpuplication efficiency determines total data that can be stored on 70 TiB deduplicated volume</v>
      </c>
      <c r="D28" s="204"/>
      <c r="E28" s="204"/>
      <c r="F28" s="204"/>
      <c r="X28" s="203" t="str">
        <f>"Dedpuplication efficiency determines total physical storage required to store " &amp; 'Storage Efficiency'!D5 &amp; " TiB on a deduplicated volume"</f>
        <v>Dedpuplication efficiency determines total physical storage required to store 50 TiB on a deduplicated volume</v>
      </c>
      <c r="Y28" s="203"/>
      <c r="Z28" s="203"/>
      <c r="AA28" s="203"/>
      <c r="AB28" s="203"/>
    </row>
    <row r="29" spans="1:28" ht="15" customHeight="1">
      <c r="A29" s="60"/>
      <c r="B29" s="60"/>
      <c r="C29" s="204"/>
      <c r="D29" s="204"/>
      <c r="E29" s="204"/>
      <c r="F29" s="204"/>
      <c r="X29" s="203"/>
      <c r="Y29" s="203"/>
      <c r="Z29" s="203"/>
      <c r="AA29" s="203"/>
      <c r="AB29" s="203"/>
    </row>
    <row r="30" spans="1:28">
      <c r="C30" s="204"/>
      <c r="D30" s="204"/>
      <c r="E30" s="204"/>
      <c r="F30" s="204"/>
      <c r="X30" s="203"/>
      <c r="Y30" s="203"/>
      <c r="Z30" s="203"/>
      <c r="AA30" s="203"/>
      <c r="AB30" s="203"/>
    </row>
  </sheetData>
  <sheetProtection algorithmName="SHA-512" hashValue="RzWMcjiUcfZSbT0BBIJKjBFy7zJPKZ4JL1cjoLEa9IOte6JwSVnqJCwND8iFRIQeD5SjN2CVuV61e+kx8F/WWA==" saltValue="/VfJDxdMA3PWoiz6IbWtZw==" spinCount="100000" sheet="1" objects="1" scenarios="1" selectLockedCells="1" selectUnlockedCells="1"/>
  <mergeCells count="17">
    <mergeCell ref="V3:AA3"/>
    <mergeCell ref="F2:K2"/>
    <mergeCell ref="M2:S2"/>
    <mergeCell ref="U2:AA2"/>
    <mergeCell ref="A2:D2"/>
    <mergeCell ref="N3:S3"/>
    <mergeCell ref="F3:K3"/>
    <mergeCell ref="X28:AB30"/>
    <mergeCell ref="C28:F30"/>
    <mergeCell ref="A23:D24"/>
    <mergeCell ref="A7:D7"/>
    <mergeCell ref="A8:D8"/>
    <mergeCell ref="A9:D9"/>
    <mergeCell ref="A10:D10"/>
    <mergeCell ref="A11:D11"/>
    <mergeCell ref="H23:M24"/>
    <mergeCell ref="Q23:W23"/>
  </mergeCells>
  <pageMargins left="0.7" right="0.7" top="0.75" bottom="0.75" header="0.3" footer="0.3"/>
  <pageSetup paperSize="9" orientation="portrait" horizontalDpi="4294967293"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RecordNumber xmlns="da7a9ac0-bc47-4684-84e6-3a8e9ac80c12">R20180000027878</RecordNumber>
    <ObjectiveID xmlns="da7a9ac0-bc47-4684-84e6-3a8e9ac80c12" xsi:nil="true"/>
    <TaxCatchAll xmlns="e9464193-828a-449b-9de7-d0f64c1a5173">
      <Value>1</Value>
    </TaxCatchAll>
    <ee69f420b78d44e5a98e941cb4ed4415 xmlns="e9464193-828a-449b-9de7-d0f64c1a5173">
      <Terms xmlns="http://schemas.microsoft.com/office/infopath/2007/PartnerControls">
        <TermInfo xmlns="http://schemas.microsoft.com/office/infopath/2007/PartnerControls">
          <TermName xmlns="http://schemas.microsoft.com/office/infopath/2007/PartnerControls">Sensitive</TermName>
          <TermId xmlns="http://schemas.microsoft.com/office/infopath/2007/PartnerControls">19fd2cb8-3e97-4464-ae71-8c2c2095d028</TermId>
        </TermInfo>
      </Terms>
    </ee69f420b78d44e5a98e941cb4ed4415>
    <IconOverlay xmlns="http://schemas.microsoft.com/sharepoint/v4" xsi:nil="true"/>
    <SignificantFlag xmlns="da7a9ac0-bc47-4684-84e6-3a8e9ac80c12">false</SignificantFlag>
    <SenateOrder12 xmlns="da7a9ac0-bc47-4684-84e6-3a8e9ac80c12">false</SenateOrder12>
    <m9f2174714ba45a2b21228186df83d81 xmlns="e9464193-828a-449b-9de7-d0f64c1a5173">
      <Terms xmlns="http://schemas.microsoft.com/office/infopath/2007/PartnerControls"/>
    </m9f2174714ba45a2b21228186df83d81>
    <ded95d7ab059406991d558011d18c177 xmlns="da7a9ac0-bc47-4684-84e6-3a8e9ac80c12" xsi:nil="true"/>
    <e7174fbdbd424ca8a5ae213844c50e02 xmlns="da7a9ac0-bc47-4684-84e6-3a8e9ac80c12" xsi:nil="true"/>
    <Approvers xmlns="17f478ab-373e-4295-9ff0-9b833ad01319">
      <UserInfo>
        <DisplayName/>
        <AccountId xsi:nil="true"/>
        <AccountType/>
      </UserInfo>
    </Approvers>
    <Reviewers xmlns="17f478ab-373e-4295-9ff0-9b833ad01319">
      <UserInfo>
        <DisplayName/>
        <AccountId xsi:nil="true"/>
        <AccountType/>
      </UserInfo>
    </Reviewers>
    <SignificantReason xmlns="da7a9ac0-bc47-4684-84e6-3a8e9ac80c12" xsi:nil="true"/>
    <NotesLinks xmlns="da7a9ac0-bc47-4684-84e6-3a8e9ac80c1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Admin Document" ma:contentTypeID="0x010100B5F685A1365F544391EF8C813B164F3A03006EC90E4778A19A4C84731B65824E0B2F" ma:contentTypeVersion="18" ma:contentTypeDescription="" ma:contentTypeScope="" ma:versionID="15c767fdb1bae2ff1d1a8cc6ba2fcd7b">
  <xsd:schema xmlns:xsd="http://www.w3.org/2001/XMLSchema" xmlns:xs="http://www.w3.org/2001/XMLSchema" xmlns:p="http://schemas.microsoft.com/office/2006/metadata/properties" xmlns:ns2="da7a9ac0-bc47-4684-84e6-3a8e9ac80c12" xmlns:ns3="e9464193-828a-449b-9de7-d0f64c1a5173" xmlns:ns5="http://schemas.microsoft.com/sharepoint/v4" xmlns:ns6="17f478ab-373e-4295-9ff0-9b833ad01319" targetNamespace="http://schemas.microsoft.com/office/2006/metadata/properties" ma:root="true" ma:fieldsID="8b6c983d631d24e9ad3dc6a625e3b8a1" ns2:_="" ns3:_="" ns5:_="" ns6:_="">
    <xsd:import namespace="da7a9ac0-bc47-4684-84e6-3a8e9ac80c12"/>
    <xsd:import namespace="e9464193-828a-449b-9de7-d0f64c1a5173"/>
    <xsd:import namespace="http://schemas.microsoft.com/sharepoint/v4"/>
    <xsd:import namespace="17f478ab-373e-4295-9ff0-9b833ad01319"/>
    <xsd:element name="properties">
      <xsd:complexType>
        <xsd:sequence>
          <xsd:element name="documentManagement">
            <xsd:complexType>
              <xsd:all>
                <xsd:element ref="ns2:RecordNumber" minOccurs="0"/>
                <xsd:element ref="ns2:ObjectiveID" minOccurs="0"/>
                <xsd:element ref="ns2:SenateOrder12" minOccurs="0"/>
                <xsd:element ref="ns2:SignificantFlag" minOccurs="0"/>
                <xsd:element ref="ns2:SignificantReason" minOccurs="0"/>
                <xsd:element ref="ns3:TaxCatchAll" minOccurs="0"/>
                <xsd:element ref="ns3:TaxCatchAllLabel" minOccurs="0"/>
                <xsd:element ref="ns2:ded95d7ab059406991d558011d18c177" minOccurs="0"/>
                <xsd:element ref="ns2:e7174fbdbd424ca8a5ae213844c50e02" minOccurs="0"/>
                <xsd:element ref="ns3:m9f2174714ba45a2b21228186df83d81" minOccurs="0"/>
                <xsd:element ref="ns3:ee69f420b78d44e5a98e941cb4ed4415" minOccurs="0"/>
                <xsd:element ref="ns5:IconOverlay" minOccurs="0"/>
                <xsd:element ref="ns2:NotesLinks" minOccurs="0"/>
                <xsd:element ref="ns6:Reviewers" minOccurs="0"/>
                <xsd:element ref="ns6:Approv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7a9ac0-bc47-4684-84e6-3a8e9ac80c12" elementFormDefault="qualified">
    <xsd:import namespace="http://schemas.microsoft.com/office/2006/documentManagement/types"/>
    <xsd:import namespace="http://schemas.microsoft.com/office/infopath/2007/PartnerControls"/>
    <xsd:element name="RecordNumber" ma:index="1" nillable="true" ma:displayName="Document ID" ma:hidden="true" ma:internalName="RecordNumber">
      <xsd:simpleType>
        <xsd:restriction base="dms:Text">
          <xsd:maxLength value="255"/>
        </xsd:restriction>
      </xsd:simpleType>
    </xsd:element>
    <xsd:element name="ObjectiveID" ma:index="3" nillable="true" ma:displayName="Objective ID" ma:hidden="true" ma:internalName="ObjectiveID">
      <xsd:simpleType>
        <xsd:restriction base="dms:Text">
          <xsd:maxLength value="255"/>
        </xsd:restriction>
      </xsd:simpleType>
    </xsd:element>
    <xsd:element name="SenateOrder12" ma:index="4" nillable="true" ma:displayName="Senate Order #12" ma:default="0" ma:hidden="true" ma:internalName="SenateOrder12">
      <xsd:simpleType>
        <xsd:restriction base="dms:Boolean"/>
      </xsd:simpleType>
    </xsd:element>
    <xsd:element name="SignificantFlag" ma:index="5" nillable="true" ma:displayName="Significant Flag" ma:default="0" ma:hidden="true" ma:internalName="SignificantFlag">
      <xsd:simpleType>
        <xsd:restriction base="dms:Boolean"/>
      </xsd:simpleType>
    </xsd:element>
    <xsd:element name="SignificantReason" ma:index="6" nillable="true" ma:displayName="Significant Reason" ma:hidden="true" ma:internalName="SignificantReason">
      <xsd:simpleType>
        <xsd:restriction base="dms:Text">
          <xsd:maxLength value="255"/>
        </xsd:restriction>
      </xsd:simpleType>
    </xsd:element>
    <xsd:element name="ded95d7ab059406991d558011d18c177" ma:index="15" nillable="true" ma:displayName="SecurityClassification_0" ma:hidden="true" ma:internalName="ded95d7ab059406991d558011d18c177" ma:readOnly="false">
      <xsd:simpleType>
        <xsd:restriction base="dms:Note"/>
      </xsd:simpleType>
    </xsd:element>
    <xsd:element name="e7174fbdbd424ca8a5ae213844c50e02" ma:index="18" nillable="true" ma:displayName="AdminDocumentType_0" ma:hidden="true" ma:internalName="e7174fbdbd424ca8a5ae213844c50e02" ma:readOnly="false">
      <xsd:simpleType>
        <xsd:restriction base="dms:Note"/>
      </xsd:simpleType>
    </xsd:element>
    <xsd:element name="NotesLinks" ma:index="23" nillable="true" ma:displayName="Notes &amp; Links" ma:description="Use this field to enter relevant document/site hyperlinks and/or notes." ma:internalName="NotesLinks"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9464193-828a-449b-9de7-d0f64c1a5173" elementFormDefault="qualified">
    <xsd:import namespace="http://schemas.microsoft.com/office/2006/documentManagement/types"/>
    <xsd:import namespace="http://schemas.microsoft.com/office/infopath/2007/PartnerControls"/>
    <xsd:element name="TaxCatchAll" ma:index="7" nillable="true" ma:displayName="Taxonomy Catch All Column" ma:hidden="true" ma:list="{10a6356f-106c-4a84-a4ca-6177f3fe343d}" ma:internalName="TaxCatchAll" ma:showField="CatchAllData" ma:web="e9464193-828a-449b-9de7-d0f64c1a5173">
      <xsd:complexType>
        <xsd:complexContent>
          <xsd:extension base="dms:MultiChoiceLookup">
            <xsd:sequence>
              <xsd:element name="Value" type="dms:Lookup" maxOccurs="unbounded" minOccurs="0" nillable="true"/>
            </xsd:sequence>
          </xsd:extension>
        </xsd:complexContent>
      </xsd:complexType>
    </xsd:element>
    <xsd:element name="TaxCatchAllLabel" ma:index="8" nillable="true" ma:displayName="Taxonomy Catch All Column1" ma:hidden="true" ma:list="{10a6356f-106c-4a84-a4ca-6177f3fe343d}" ma:internalName="TaxCatchAllLabel" ma:readOnly="true" ma:showField="CatchAllDataLabel" ma:web="e9464193-828a-449b-9de7-d0f64c1a5173">
      <xsd:complexType>
        <xsd:complexContent>
          <xsd:extension base="dms:MultiChoiceLookup">
            <xsd:sequence>
              <xsd:element name="Value" type="dms:Lookup" maxOccurs="unbounded" minOccurs="0" nillable="true"/>
            </xsd:sequence>
          </xsd:extension>
        </xsd:complexContent>
      </xsd:complexType>
    </xsd:element>
    <xsd:element name="m9f2174714ba45a2b21228186df83d81" ma:index="19" nillable="true" ma:taxonomy="true" ma:internalName="m9f2174714ba45a2b21228186df83d81" ma:taxonomyFieldName="AdminDocumentType" ma:displayName="Admin Document Type" ma:fieldId="{69f21747-14ba-45a2-b212-28186df83d81}" ma:sspId="b38671ba-7d76-46f8-b8a5-5fc3a7d6229d" ma:termSetId="5e754dfe-4a1e-4828-9899-d2f1b1af4c94" ma:anchorId="00000000-0000-0000-0000-000000000000" ma:open="false" ma:isKeyword="false">
      <xsd:complexType>
        <xsd:sequence>
          <xsd:element ref="pc:Terms" minOccurs="0" maxOccurs="1"/>
        </xsd:sequence>
      </xsd:complexType>
    </xsd:element>
    <xsd:element name="ee69f420b78d44e5a98e941cb4ed4415" ma:index="20" ma:taxonomy="true" ma:internalName="ee69f420b78d44e5a98e941cb4ed4415" ma:taxonomyFieldName="SecurityClassification" ma:displayName="Security Classification" ma:default="1;#Sensitive|19fd2cb8-3e97-4464-ae71-8c2c2095d028" ma:fieldId="{ee69f420-b78d-44e5-a98e-941cb4ed4415}" ma:sspId="b38671ba-7d76-46f8-b8a5-5fc3a7d6229d" ma:termSetId="1d2f2699-c9ac-44b7-aa84-d64945e6f0bf"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2"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7f478ab-373e-4295-9ff0-9b833ad01319" elementFormDefault="qualified">
    <xsd:import namespace="http://schemas.microsoft.com/office/2006/documentManagement/types"/>
    <xsd:import namespace="http://schemas.microsoft.com/office/infopath/2007/PartnerControls"/>
    <xsd:element name="Reviewers" ma:index="24" nillable="true" ma:displayName="Reviewers" ma:list="UserInfo" ma:SharePointGroup="0" ma:internalName="Reviewers"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pprovers" ma:index="25" nillable="true" ma:displayName="Approvers" ma:list="UserInfo" ma:SharePointGroup="0" ma:internalName="Approvers"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74B730-71CF-4ECE-90D1-F0B32B082077}">
  <ds:schemaRefs>
    <ds:schemaRef ds:uri="http://purl.org/dc/elements/1.1/"/>
    <ds:schemaRef ds:uri="http://purl.org/dc/terms/"/>
    <ds:schemaRef ds:uri="http://schemas.microsoft.com/office/infopath/2007/PartnerControls"/>
    <ds:schemaRef ds:uri="http://schemas.microsoft.com/office/2006/metadata/properties"/>
    <ds:schemaRef ds:uri="http://www.w3.org/XML/1998/namespace"/>
    <ds:schemaRef ds:uri="http://purl.org/dc/dcmitype/"/>
    <ds:schemaRef ds:uri="http://schemas.microsoft.com/office/2006/documentManagement/types"/>
    <ds:schemaRef ds:uri="http://schemas.openxmlformats.org/package/2006/metadata/core-properties"/>
    <ds:schemaRef ds:uri="http://schemas.microsoft.com/sharepoint/v4"/>
    <ds:schemaRef ds:uri="17f478ab-373e-4295-9ff0-9b833ad01319"/>
    <ds:schemaRef ds:uri="e9464193-828a-449b-9de7-d0f64c1a5173"/>
    <ds:schemaRef ds:uri="da7a9ac0-bc47-4684-84e6-3a8e9ac80c12"/>
  </ds:schemaRefs>
</ds:datastoreItem>
</file>

<file path=customXml/itemProps2.xml><?xml version="1.0" encoding="utf-8"?>
<ds:datastoreItem xmlns:ds="http://schemas.openxmlformats.org/officeDocument/2006/customXml" ds:itemID="{21C5EF11-8144-466B-B02A-BF1FE7469892}">
  <ds:schemaRefs>
    <ds:schemaRef ds:uri="http://schemas.microsoft.com/sharepoint/v3/contenttype/forms"/>
  </ds:schemaRefs>
</ds:datastoreItem>
</file>

<file path=customXml/itemProps3.xml><?xml version="1.0" encoding="utf-8"?>
<ds:datastoreItem xmlns:ds="http://schemas.openxmlformats.org/officeDocument/2006/customXml" ds:itemID="{2DAFD779-79B0-44EE-A628-4D7898C96E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7a9ac0-bc47-4684-84e6-3a8e9ac80c12"/>
    <ds:schemaRef ds:uri="e9464193-828a-449b-9de7-d0f64c1a5173"/>
    <ds:schemaRef ds:uri="http://schemas.microsoft.com/sharepoint/v4"/>
    <ds:schemaRef ds:uri="17f478ab-373e-4295-9ff0-9b833ad0131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Storage Efficiency</vt:lpstr>
      <vt:lpstr>Transmission Efficiency</vt:lpstr>
      <vt:lpstr>Charts - Storage &amp; Transmission</vt:lpstr>
    </vt:vector>
  </TitlesOfParts>
  <Company>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J Mcdonald</dc:creator>
  <cp:lastModifiedBy>JM</cp:lastModifiedBy>
  <cp:lastPrinted>2019-09-04T10:05:15Z</cp:lastPrinted>
  <dcterms:created xsi:type="dcterms:W3CDTF">2018-01-11T22:08:30Z</dcterms:created>
  <dcterms:modified xsi:type="dcterms:W3CDTF">2023-09-26T01:53:21Z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0x010100B5F685A1365F544391EF8C813B164F3A03006EC90E4778A19A4C84731B65824E0B2F</vt:lpwstr>
  </property>
  <property fmtid="{D5CDD505-2E9C-101B-9397-08002B2CF9AE}" pid="3" name="SecurityClassification">
    <vt:lpwstr>1;#Sensitive|19fd2cb8-3e97-4464-ae71-8c2c2095d028</vt:lpwstr>
  </property>
  <property fmtid="{D5CDD505-2E9C-101B-9397-08002B2CF9AE}" pid="4" name="AdminDocumentType">
    <vt:lpwstr/>
  </property>
  <property fmtid="{D5CDD505-2E9C-101B-9397-08002B2CF9AE}" pid="5" name="RecordPoint_WorkflowType">
    <vt:lpwstr>ActiveSubmitStub</vt:lpwstr>
  </property>
  <property fmtid="{D5CDD505-2E9C-101B-9397-08002B2CF9AE}" pid="6" name="RecordPoint_ActiveItemUniqueId">
    <vt:lpwstr>{3092606b-9b1d-41ca-b57c-864e6de1205a}</vt:lpwstr>
  </property>
  <property fmtid="{D5CDD505-2E9C-101B-9397-08002B2CF9AE}" pid="7" name="RecordPoint_ActiveItemWebId">
    <vt:lpwstr>{e9464193-828a-449b-9de7-d0f64c1a5173}</vt:lpwstr>
  </property>
  <property fmtid="{D5CDD505-2E9C-101B-9397-08002B2CF9AE}" pid="8" name="RecordPoint_ActiveItemSiteId">
    <vt:lpwstr>{6019cf45-761f-475e-9d37-ff0e3566ccc0}</vt:lpwstr>
  </property>
  <property fmtid="{D5CDD505-2E9C-101B-9397-08002B2CF9AE}" pid="9" name="RecordPoint_ActiveItemListId">
    <vt:lpwstr>{efbcb597-5a17-4eae-8cf7-e16d9162842e}</vt:lpwstr>
  </property>
  <property fmtid="{D5CDD505-2E9C-101B-9397-08002B2CF9AE}" pid="10" name="RecordPoint_SubmissionCompleted">
    <vt:lpwstr>2018-02-09T16:23:57.2830202+11:00</vt:lpwstr>
  </property>
  <property fmtid="{D5CDD505-2E9C-101B-9397-08002B2CF9AE}" pid="11" name="RecordPoint_RecordNumberSubmitted">
    <vt:lpwstr>R20180000027878</vt:lpwstr>
  </property>
</Properties>
</file>