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ymailunisaedu-my.sharepoint.com/personal/wardjd_unisa_edu_au/Documents/Shared Drafts/Renewable Energy Transition Paper/GitHub files/"/>
    </mc:Choice>
  </mc:AlternateContent>
  <xr:revisionPtr revIDLastSave="2397" documentId="8_{6D2A55E5-BD99-44B5-BA50-6A3CF157A502}" xr6:coauthVersionLast="47" xr6:coauthVersionMax="47" xr10:uidLastSave="{EA85051C-00FA-4893-9064-AA65A99509DE}"/>
  <bookViews>
    <workbookView xWindow="-108" yWindow="-108" windowWidth="23256" windowHeight="13896" tabRatio="845" xr2:uid="{016F93E5-5D59-4826-9767-DCF9A6A8B3F4}"/>
  </bookViews>
  <sheets>
    <sheet name="Front end" sheetId="32" r:id="rId1"/>
    <sheet name="Static Parameters" sheetId="25" r:id="rId2"/>
    <sheet name="Scenario Picker" sheetId="29" r:id="rId3"/>
    <sheet name="Growth Scenarios" sheetId="26" r:id="rId4"/>
    <sheet name="Electrification Scenario" sheetId="27" r:id="rId5"/>
    <sheet name="Model - Demand" sheetId="28" r:id="rId6"/>
    <sheet name="Model - Supply" sheetId="30" r:id="rId7"/>
    <sheet name="Model - Scarcity &amp; Growth Rates" sheetId="3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9" l="1"/>
  <c r="B6" i="29"/>
  <c r="G6" i="27" s="1"/>
  <c r="B2" i="29"/>
  <c r="J39" i="26" s="1"/>
  <c r="B3" i="29"/>
  <c r="K78" i="26" s="1"/>
  <c r="B10" i="29"/>
  <c r="E42" i="25"/>
  <c r="E43" i="25" s="1"/>
  <c r="E44" i="25" s="1"/>
  <c r="E45" i="25" s="1"/>
  <c r="E46" i="25" s="1"/>
  <c r="E47" i="25" s="1"/>
  <c r="E48" i="25" s="1"/>
  <c r="J40" i="25"/>
  <c r="E41" i="25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F51" i="31"/>
  <c r="F52" i="31"/>
  <c r="F53" i="31"/>
  <c r="F54" i="31"/>
  <c r="F55" i="31"/>
  <c r="F56" i="31"/>
  <c r="F57" i="31"/>
  <c r="F58" i="31"/>
  <c r="F59" i="31"/>
  <c r="F60" i="31"/>
  <c r="F61" i="31"/>
  <c r="F62" i="31"/>
  <c r="F63" i="31"/>
  <c r="F64" i="31"/>
  <c r="F65" i="31"/>
  <c r="F66" i="31"/>
  <c r="F67" i="31"/>
  <c r="F68" i="31"/>
  <c r="F69" i="31"/>
  <c r="F70" i="31"/>
  <c r="F71" i="31"/>
  <c r="F72" i="31"/>
  <c r="F73" i="31"/>
  <c r="F74" i="31"/>
  <c r="F75" i="31"/>
  <c r="F76" i="31"/>
  <c r="F77" i="31"/>
  <c r="F78" i="31"/>
  <c r="F79" i="31"/>
  <c r="F80" i="31"/>
  <c r="F81" i="31"/>
  <c r="F82" i="31"/>
  <c r="AG5" i="30"/>
  <c r="AO5" i="30" s="1"/>
  <c r="AE5" i="30"/>
  <c r="AB5" i="30" s="1"/>
  <c r="AD5" i="30"/>
  <c r="AC5" i="30"/>
  <c r="Z5" i="30" s="1"/>
  <c r="U5" i="30"/>
  <c r="T5" i="30"/>
  <c r="L5" i="30"/>
  <c r="P5" i="30" s="1"/>
  <c r="AM5" i="30" s="1"/>
  <c r="K5" i="30"/>
  <c r="V5" i="30" s="1"/>
  <c r="J5" i="30"/>
  <c r="I5" i="30"/>
  <c r="F6" i="31"/>
  <c r="F5" i="31"/>
  <c r="H6" i="27" l="1"/>
  <c r="B6" i="27"/>
  <c r="C6" i="27"/>
  <c r="D6" i="27"/>
  <c r="E6" i="27"/>
  <c r="F6" i="27"/>
  <c r="K72" i="26"/>
  <c r="K71" i="26"/>
  <c r="K25" i="26"/>
  <c r="K23" i="26"/>
  <c r="K64" i="26"/>
  <c r="K13" i="26"/>
  <c r="K62" i="26"/>
  <c r="J7" i="26"/>
  <c r="J57" i="26"/>
  <c r="K6" i="26"/>
  <c r="K54" i="26"/>
  <c r="K5" i="26"/>
  <c r="K48" i="26"/>
  <c r="J5" i="26"/>
  <c r="K47" i="26"/>
  <c r="K46" i="26"/>
  <c r="K40" i="26"/>
  <c r="K39" i="26"/>
  <c r="K79" i="26"/>
  <c r="J33" i="26"/>
  <c r="J79" i="26"/>
  <c r="K31" i="26"/>
  <c r="J31" i="26"/>
  <c r="J32" i="26"/>
  <c r="J78" i="26"/>
  <c r="J6" i="26"/>
  <c r="J23" i="26"/>
  <c r="J56" i="26"/>
  <c r="J72" i="26"/>
  <c r="J25" i="26"/>
  <c r="J71" i="26"/>
  <c r="J47" i="26"/>
  <c r="J70" i="26"/>
  <c r="J41" i="26"/>
  <c r="J17" i="26"/>
  <c r="J64" i="26"/>
  <c r="J16" i="26"/>
  <c r="J63" i="26"/>
  <c r="J40" i="26"/>
  <c r="J15" i="26"/>
  <c r="J14" i="26"/>
  <c r="J55" i="26"/>
  <c r="J77" i="26"/>
  <c r="J48" i="26"/>
  <c r="J24" i="26"/>
  <c r="J80" i="26"/>
  <c r="J62" i="26"/>
  <c r="K77" i="26"/>
  <c r="K17" i="26"/>
  <c r="K33" i="26"/>
  <c r="K41" i="26"/>
  <c r="K57" i="26"/>
  <c r="K80" i="26"/>
  <c r="K9" i="26"/>
  <c r="K26" i="26"/>
  <c r="K65" i="26"/>
  <c r="K73" i="26"/>
  <c r="K18" i="26"/>
  <c r="K34" i="26"/>
  <c r="K50" i="26"/>
  <c r="K58" i="26"/>
  <c r="K3" i="26"/>
  <c r="K10" i="26"/>
  <c r="K27" i="26"/>
  <c r="K43" i="26"/>
  <c r="K66" i="26"/>
  <c r="K74" i="26"/>
  <c r="K19" i="26"/>
  <c r="K51" i="26"/>
  <c r="K59" i="26"/>
  <c r="K11" i="26"/>
  <c r="K36" i="26"/>
  <c r="K44" i="26"/>
  <c r="K75" i="26"/>
  <c r="K20" i="26"/>
  <c r="K29" i="26"/>
  <c r="K60" i="26"/>
  <c r="K68" i="26"/>
  <c r="K12" i="26"/>
  <c r="K45" i="26"/>
  <c r="K53" i="26"/>
  <c r="K76" i="26"/>
  <c r="K4" i="26"/>
  <c r="K30" i="26"/>
  <c r="K38" i="26"/>
  <c r="K61" i="26"/>
  <c r="K69" i="26"/>
  <c r="K55" i="26"/>
  <c r="K32" i="26"/>
  <c r="J8" i="26"/>
  <c r="J9" i="26"/>
  <c r="J26" i="26"/>
  <c r="J49" i="26"/>
  <c r="J65" i="26"/>
  <c r="J73" i="26"/>
  <c r="J18" i="26"/>
  <c r="J34" i="26"/>
  <c r="J42" i="26"/>
  <c r="J50" i="26"/>
  <c r="J58" i="26"/>
  <c r="J3" i="26"/>
  <c r="J10" i="26"/>
  <c r="J27" i="26"/>
  <c r="J43" i="26"/>
  <c r="J66" i="26"/>
  <c r="J74" i="26"/>
  <c r="J19" i="26"/>
  <c r="J35" i="26"/>
  <c r="J51" i="26"/>
  <c r="J59" i="26"/>
  <c r="J11" i="26"/>
  <c r="J28" i="26"/>
  <c r="J36" i="26"/>
  <c r="J44" i="26"/>
  <c r="J67" i="26"/>
  <c r="J75" i="26"/>
  <c r="J20" i="26"/>
  <c r="J29" i="26"/>
  <c r="J52" i="26"/>
  <c r="J60" i="26"/>
  <c r="J68" i="26"/>
  <c r="J12" i="26"/>
  <c r="J37" i="26"/>
  <c r="J45" i="26"/>
  <c r="J53" i="26"/>
  <c r="J76" i="26"/>
  <c r="J4" i="26"/>
  <c r="J21" i="26"/>
  <c r="J30" i="26"/>
  <c r="J38" i="26"/>
  <c r="J61" i="26"/>
  <c r="J69" i="26"/>
  <c r="J13" i="26"/>
  <c r="J22" i="26"/>
  <c r="J46" i="26"/>
  <c r="J54" i="26"/>
  <c r="K24" i="26"/>
  <c r="K16" i="26"/>
  <c r="K67" i="26"/>
  <c r="K52" i="26"/>
  <c r="K37" i="26"/>
  <c r="K22" i="26"/>
  <c r="K70" i="26"/>
  <c r="K63" i="26"/>
  <c r="K56" i="26"/>
  <c r="K49" i="26"/>
  <c r="K42" i="26"/>
  <c r="K35" i="26"/>
  <c r="K28" i="26"/>
  <c r="K21" i="26"/>
  <c r="K14" i="26"/>
  <c r="K7" i="26"/>
  <c r="K15" i="26"/>
  <c r="K8" i="26"/>
  <c r="AN5" i="30"/>
  <c r="AF5" i="30"/>
  <c r="AA5" i="30"/>
  <c r="G5" i="31" l="1"/>
  <c r="D5" i="30"/>
  <c r="C5" i="30"/>
  <c r="B5" i="30"/>
  <c r="H7" i="27"/>
  <c r="G7" i="27"/>
  <c r="F7" i="27"/>
  <c r="E7" i="27"/>
  <c r="D7" i="27"/>
  <c r="C7" i="27"/>
  <c r="B7" i="27"/>
  <c r="H4" i="27"/>
  <c r="G4" i="27"/>
  <c r="F4" i="27"/>
  <c r="E4" i="27"/>
  <c r="D4" i="27"/>
  <c r="C4" i="27"/>
  <c r="B4" i="27"/>
  <c r="B11" i="27" s="1"/>
  <c r="J5" i="28" s="1"/>
  <c r="D88" i="27" l="1"/>
  <c r="D41" i="27"/>
  <c r="D67" i="27"/>
  <c r="D33" i="27"/>
  <c r="D81" i="27"/>
  <c r="D73" i="27"/>
  <c r="D82" i="27"/>
  <c r="D47" i="27"/>
  <c r="L41" i="28" s="1"/>
  <c r="D86" i="27"/>
  <c r="D80" i="28" s="1"/>
  <c r="D51" i="27"/>
  <c r="D23" i="27"/>
  <c r="D13" i="27"/>
  <c r="D80" i="27"/>
  <c r="D14" i="27"/>
  <c r="D42" i="27"/>
  <c r="D79" i="27"/>
  <c r="D72" i="27"/>
  <c r="D39" i="27"/>
  <c r="D20" i="27"/>
  <c r="D48" i="27"/>
  <c r="D69" i="27"/>
  <c r="D68" i="27"/>
  <c r="D62" i="28" s="1"/>
  <c r="D22" i="27"/>
  <c r="D57" i="27"/>
  <c r="D27" i="27"/>
  <c r="D15" i="27"/>
  <c r="D29" i="27"/>
  <c r="D16" i="27"/>
  <c r="D44" i="27"/>
  <c r="D64" i="27"/>
  <c r="D78" i="27"/>
  <c r="D18" i="27"/>
  <c r="D46" i="27"/>
  <c r="D76" i="27"/>
  <c r="D87" i="27"/>
  <c r="D66" i="27"/>
  <c r="D65" i="27"/>
  <c r="D52" i="27"/>
  <c r="D49" i="27"/>
  <c r="L43" i="28" s="1"/>
  <c r="D28" i="27"/>
  <c r="D22" i="28" s="1"/>
  <c r="D61" i="27"/>
  <c r="D55" i="28" s="1"/>
  <c r="D58" i="27"/>
  <c r="D21" i="27"/>
  <c r="D25" i="27"/>
  <c r="D32" i="27"/>
  <c r="D43" i="27"/>
  <c r="D12" i="27"/>
  <c r="D6" i="28" s="1"/>
  <c r="D53" i="27"/>
  <c r="D54" i="27"/>
  <c r="D24" i="27"/>
  <c r="D63" i="27"/>
  <c r="D19" i="27"/>
  <c r="L13" i="28" s="1"/>
  <c r="D84" i="27"/>
  <c r="D78" i="28" s="1"/>
  <c r="D38" i="27"/>
  <c r="D71" i="27"/>
  <c r="D60" i="27"/>
  <c r="D26" i="27"/>
  <c r="D30" i="27"/>
  <c r="D50" i="27"/>
  <c r="D70" i="27"/>
  <c r="D64" i="28" s="1"/>
  <c r="D34" i="27"/>
  <c r="D75" i="27"/>
  <c r="D69" i="28" s="1"/>
  <c r="D36" i="27"/>
  <c r="D85" i="27"/>
  <c r="D31" i="27"/>
  <c r="D40" i="27"/>
  <c r="D34" i="28" s="1"/>
  <c r="D56" i="27"/>
  <c r="D50" i="28" s="1"/>
  <c r="D62" i="27"/>
  <c r="D55" i="27"/>
  <c r="D35" i="27"/>
  <c r="D29" i="28" s="1"/>
  <c r="D45" i="27"/>
  <c r="D37" i="27"/>
  <c r="D83" i="27"/>
  <c r="D17" i="27"/>
  <c r="D77" i="27"/>
  <c r="L71" i="28" s="1"/>
  <c r="D74" i="27"/>
  <c r="D59" i="27"/>
  <c r="G62" i="27"/>
  <c r="G29" i="27"/>
  <c r="G60" i="27"/>
  <c r="O54" i="28" s="1"/>
  <c r="G12" i="27"/>
  <c r="G57" i="27"/>
  <c r="G17" i="27"/>
  <c r="G31" i="27"/>
  <c r="G23" i="27"/>
  <c r="G49" i="27"/>
  <c r="G88" i="27"/>
  <c r="G82" i="27"/>
  <c r="G76" i="27"/>
  <c r="G70" i="27"/>
  <c r="G54" i="27"/>
  <c r="G41" i="27"/>
  <c r="G13" i="27"/>
  <c r="G69" i="27"/>
  <c r="G47" i="27"/>
  <c r="G41" i="28" s="1"/>
  <c r="G27" i="27"/>
  <c r="G75" i="27"/>
  <c r="G67" i="27"/>
  <c r="G51" i="27"/>
  <c r="G83" i="27"/>
  <c r="G21" i="27"/>
  <c r="G19" i="27"/>
  <c r="G53" i="27"/>
  <c r="G33" i="27"/>
  <c r="G39" i="27"/>
  <c r="G79" i="27"/>
  <c r="G73" i="27"/>
  <c r="G87" i="27"/>
  <c r="G85" i="27"/>
  <c r="G79" i="28" s="1"/>
  <c r="G56" i="27"/>
  <c r="G64" i="27"/>
  <c r="G15" i="27"/>
  <c r="G43" i="27"/>
  <c r="G37" i="27"/>
  <c r="G55" i="27"/>
  <c r="G25" i="27"/>
  <c r="G16" i="27"/>
  <c r="G44" i="27"/>
  <c r="G59" i="27"/>
  <c r="G22" i="27"/>
  <c r="G84" i="27"/>
  <c r="G45" i="27"/>
  <c r="G24" i="27"/>
  <c r="G86" i="27"/>
  <c r="G58" i="27"/>
  <c r="G18" i="27"/>
  <c r="G46" i="27"/>
  <c r="G81" i="27"/>
  <c r="G35" i="27"/>
  <c r="G63" i="27"/>
  <c r="G20" i="27"/>
  <c r="G48" i="27"/>
  <c r="G66" i="27"/>
  <c r="G52" i="27"/>
  <c r="G71" i="27"/>
  <c r="G26" i="27"/>
  <c r="G30" i="27"/>
  <c r="G77" i="27"/>
  <c r="G71" i="28" s="1"/>
  <c r="G65" i="27"/>
  <c r="G34" i="27"/>
  <c r="G14" i="27"/>
  <c r="G32" i="27"/>
  <c r="G72" i="27"/>
  <c r="G78" i="27"/>
  <c r="G28" i="27"/>
  <c r="G50" i="27"/>
  <c r="G74" i="27"/>
  <c r="G36" i="27"/>
  <c r="G38" i="27"/>
  <c r="G40" i="27"/>
  <c r="G42" i="27"/>
  <c r="G61" i="27"/>
  <c r="G68" i="27"/>
  <c r="G80" i="27"/>
  <c r="B67" i="27"/>
  <c r="B15" i="27"/>
  <c r="B23" i="27"/>
  <c r="B81" i="27"/>
  <c r="J75" i="28" s="1"/>
  <c r="B42" i="27"/>
  <c r="B53" i="27"/>
  <c r="B47" i="28" s="1"/>
  <c r="B44" i="27"/>
  <c r="B59" i="27"/>
  <c r="B66" i="27"/>
  <c r="B43" i="27"/>
  <c r="B17" i="27"/>
  <c r="B31" i="27"/>
  <c r="B30" i="27"/>
  <c r="B28" i="27"/>
  <c r="B20" i="27"/>
  <c r="B72" i="27"/>
  <c r="B49" i="27"/>
  <c r="B33" i="27"/>
  <c r="B40" i="27"/>
  <c r="B38" i="27"/>
  <c r="B69" i="27"/>
  <c r="B27" i="27"/>
  <c r="B37" i="27"/>
  <c r="B12" i="27"/>
  <c r="B68" i="27"/>
  <c r="B39" i="27"/>
  <c r="B33" i="28" s="1"/>
  <c r="B65" i="27"/>
  <c r="B22" i="27"/>
  <c r="B18" i="27"/>
  <c r="B70" i="27"/>
  <c r="B25" i="27"/>
  <c r="B19" i="28" s="1"/>
  <c r="B36" i="27"/>
  <c r="B75" i="27"/>
  <c r="B74" i="27"/>
  <c r="B19" i="27"/>
  <c r="B48" i="27"/>
  <c r="B46" i="27"/>
  <c r="B13" i="27"/>
  <c r="B55" i="27"/>
  <c r="B79" i="27"/>
  <c r="B57" i="27"/>
  <c r="B63" i="27"/>
  <c r="B87" i="27"/>
  <c r="B56" i="27"/>
  <c r="B84" i="27"/>
  <c r="B21" i="27"/>
  <c r="B77" i="27"/>
  <c r="B82" i="27"/>
  <c r="B73" i="27"/>
  <c r="B86" i="27"/>
  <c r="B47" i="27"/>
  <c r="B14" i="27"/>
  <c r="B34" i="27"/>
  <c r="B62" i="27"/>
  <c r="B45" i="27"/>
  <c r="B41" i="27"/>
  <c r="B50" i="27"/>
  <c r="B35" i="27"/>
  <c r="B52" i="27"/>
  <c r="B88" i="27"/>
  <c r="B71" i="27"/>
  <c r="B51" i="27"/>
  <c r="B54" i="27"/>
  <c r="B29" i="27"/>
  <c r="B58" i="27"/>
  <c r="B85" i="27"/>
  <c r="B83" i="27"/>
  <c r="B26" i="27"/>
  <c r="B60" i="27"/>
  <c r="B61" i="27"/>
  <c r="B16" i="27"/>
  <c r="B24" i="27"/>
  <c r="B64" i="27"/>
  <c r="B32" i="27"/>
  <c r="B76" i="27"/>
  <c r="B78" i="27"/>
  <c r="B80" i="27"/>
  <c r="B74" i="28" s="1"/>
  <c r="C47" i="27"/>
  <c r="K41" i="28" s="1"/>
  <c r="C67" i="27"/>
  <c r="C37" i="27"/>
  <c r="C20" i="27"/>
  <c r="C12" i="27"/>
  <c r="K6" i="28" s="1"/>
  <c r="C55" i="27"/>
  <c r="C31" i="27"/>
  <c r="C25" i="27"/>
  <c r="C65" i="27"/>
  <c r="C26" i="27"/>
  <c r="C22" i="27"/>
  <c r="C79" i="27"/>
  <c r="C73" i="27"/>
  <c r="C13" i="27"/>
  <c r="C50" i="27"/>
  <c r="C63" i="27"/>
  <c r="C85" i="27"/>
  <c r="C64" i="27"/>
  <c r="C82" i="27"/>
  <c r="C21" i="27"/>
  <c r="C49" i="27"/>
  <c r="C74" i="27"/>
  <c r="C66" i="27"/>
  <c r="C43" i="27"/>
  <c r="C78" i="27"/>
  <c r="C17" i="27"/>
  <c r="C35" i="27"/>
  <c r="C32" i="27"/>
  <c r="C36" i="27"/>
  <c r="C56" i="27"/>
  <c r="C18" i="27"/>
  <c r="C77" i="27"/>
  <c r="C62" i="27"/>
  <c r="C80" i="27"/>
  <c r="C71" i="27"/>
  <c r="C16" i="27"/>
  <c r="C23" i="27"/>
  <c r="C24" i="27"/>
  <c r="C34" i="27"/>
  <c r="C72" i="27"/>
  <c r="C83" i="27"/>
  <c r="C54" i="27"/>
  <c r="C58" i="27"/>
  <c r="C70" i="27"/>
  <c r="C29" i="27"/>
  <c r="C28" i="27"/>
  <c r="C30" i="27"/>
  <c r="C68" i="27"/>
  <c r="C62" i="28" s="1"/>
  <c r="C60" i="27"/>
  <c r="C39" i="27"/>
  <c r="C14" i="27"/>
  <c r="C87" i="27"/>
  <c r="C61" i="27"/>
  <c r="K55" i="28" s="1"/>
  <c r="C33" i="27"/>
  <c r="K27" i="28" s="1"/>
  <c r="C42" i="27"/>
  <c r="C40" i="27"/>
  <c r="K34" i="28" s="1"/>
  <c r="C86" i="27"/>
  <c r="C45" i="27"/>
  <c r="C84" i="27"/>
  <c r="C53" i="27"/>
  <c r="C27" i="27"/>
  <c r="C15" i="27"/>
  <c r="C19" i="27"/>
  <c r="K13" i="28" s="1"/>
  <c r="C88" i="27"/>
  <c r="C46" i="27"/>
  <c r="C59" i="27"/>
  <c r="C81" i="27"/>
  <c r="C76" i="27"/>
  <c r="C52" i="27"/>
  <c r="C38" i="27"/>
  <c r="C69" i="27"/>
  <c r="C41" i="27"/>
  <c r="C48" i="27"/>
  <c r="C44" i="27"/>
  <c r="C57" i="27"/>
  <c r="C51" i="27"/>
  <c r="C75" i="27"/>
  <c r="E82" i="27"/>
  <c r="E54" i="27"/>
  <c r="E19" i="27"/>
  <c r="E13" i="28" s="1"/>
  <c r="E73" i="27"/>
  <c r="E83" i="27"/>
  <c r="E49" i="27"/>
  <c r="E88" i="27"/>
  <c r="E76" i="27"/>
  <c r="E41" i="27"/>
  <c r="E60" i="27"/>
  <c r="M54" i="28" s="1"/>
  <c r="E47" i="27"/>
  <c r="E86" i="27"/>
  <c r="E75" i="27"/>
  <c r="E33" i="27"/>
  <c r="E51" i="27"/>
  <c r="E78" i="27"/>
  <c r="E64" i="27"/>
  <c r="E23" i="27"/>
  <c r="E37" i="27"/>
  <c r="E28" i="27"/>
  <c r="E57" i="27"/>
  <c r="E35" i="27"/>
  <c r="E52" i="27"/>
  <c r="E66" i="27"/>
  <c r="E68" i="27"/>
  <c r="E65" i="27"/>
  <c r="E45" i="27"/>
  <c r="E50" i="27"/>
  <c r="E46" i="27"/>
  <c r="E67" i="27"/>
  <c r="E34" i="27"/>
  <c r="E56" i="27"/>
  <c r="E13" i="27"/>
  <c r="E25" i="27"/>
  <c r="E42" i="27"/>
  <c r="E84" i="27"/>
  <c r="E44" i="27"/>
  <c r="E53" i="27"/>
  <c r="M47" i="28" s="1"/>
  <c r="E70" i="27"/>
  <c r="E29" i="27"/>
  <c r="E69" i="27"/>
  <c r="E48" i="27"/>
  <c r="E43" i="27"/>
  <c r="E21" i="27"/>
  <c r="E80" i="27"/>
  <c r="E81" i="27"/>
  <c r="E62" i="27"/>
  <c r="E27" i="27"/>
  <c r="E14" i="27"/>
  <c r="E18" i="27"/>
  <c r="E16" i="27"/>
  <c r="E15" i="27"/>
  <c r="E22" i="27"/>
  <c r="E40" i="27"/>
  <c r="E30" i="27"/>
  <c r="E59" i="27"/>
  <c r="E55" i="27"/>
  <c r="E36" i="27"/>
  <c r="E17" i="27"/>
  <c r="E12" i="27"/>
  <c r="E72" i="27"/>
  <c r="E26" i="27"/>
  <c r="E39" i="27"/>
  <c r="E24" i="27"/>
  <c r="E20" i="27"/>
  <c r="E38" i="27"/>
  <c r="E61" i="27"/>
  <c r="E87" i="27"/>
  <c r="E58" i="27"/>
  <c r="E79" i="27"/>
  <c r="E31" i="27"/>
  <c r="E63" i="27"/>
  <c r="E71" i="27"/>
  <c r="E74" i="27"/>
  <c r="E85" i="27"/>
  <c r="E77" i="27"/>
  <c r="E32" i="27"/>
  <c r="F49" i="27"/>
  <c r="F34" i="27"/>
  <c r="F81" i="27"/>
  <c r="F40" i="27"/>
  <c r="F26" i="27"/>
  <c r="F46" i="27"/>
  <c r="F73" i="27"/>
  <c r="F30" i="27"/>
  <c r="F36" i="27"/>
  <c r="F29" i="27"/>
  <c r="F20" i="27"/>
  <c r="F19" i="27"/>
  <c r="F86" i="27"/>
  <c r="F53" i="27"/>
  <c r="F47" i="28" s="1"/>
  <c r="F33" i="27"/>
  <c r="F79" i="27"/>
  <c r="F88" i="27"/>
  <c r="F82" i="27"/>
  <c r="F76" i="27"/>
  <c r="F54" i="27"/>
  <c r="F41" i="27"/>
  <c r="F13" i="27"/>
  <c r="F60" i="27"/>
  <c r="F54" i="28" s="1"/>
  <c r="F47" i="27"/>
  <c r="F27" i="27"/>
  <c r="F75" i="27"/>
  <c r="F51" i="27"/>
  <c r="F39" i="27"/>
  <c r="F85" i="27"/>
  <c r="F56" i="27"/>
  <c r="F63" i="27"/>
  <c r="F14" i="27"/>
  <c r="F21" i="27"/>
  <c r="F65" i="27"/>
  <c r="F58" i="27"/>
  <c r="F83" i="27"/>
  <c r="F42" i="27"/>
  <c r="F18" i="27"/>
  <c r="F48" i="27"/>
  <c r="F64" i="27"/>
  <c r="F23" i="27"/>
  <c r="F45" i="27"/>
  <c r="F59" i="27"/>
  <c r="F31" i="27"/>
  <c r="F69" i="27"/>
  <c r="F70" i="27"/>
  <c r="F71" i="27"/>
  <c r="F55" i="27"/>
  <c r="F24" i="27"/>
  <c r="F77" i="27"/>
  <c r="F61" i="27"/>
  <c r="F17" i="27"/>
  <c r="F37" i="27"/>
  <c r="F25" i="27"/>
  <c r="F84" i="27"/>
  <c r="F66" i="27"/>
  <c r="F87" i="27"/>
  <c r="F43" i="27"/>
  <c r="F57" i="27"/>
  <c r="F35" i="27"/>
  <c r="F15" i="27"/>
  <c r="F22" i="27"/>
  <c r="F80" i="27"/>
  <c r="F62" i="27"/>
  <c r="F32" i="27"/>
  <c r="F68" i="27"/>
  <c r="F50" i="27"/>
  <c r="F74" i="27"/>
  <c r="F67" i="27"/>
  <c r="F78" i="27"/>
  <c r="F12" i="27"/>
  <c r="F72" i="27"/>
  <c r="F16" i="27"/>
  <c r="F28" i="27"/>
  <c r="F52" i="27"/>
  <c r="F38" i="27"/>
  <c r="F44" i="27"/>
  <c r="H88" i="27"/>
  <c r="H82" i="27"/>
  <c r="H76" i="27"/>
  <c r="H70" i="27"/>
  <c r="P64" i="28" s="1"/>
  <c r="H54" i="27"/>
  <c r="H41" i="27"/>
  <c r="H36" i="27"/>
  <c r="H22" i="27"/>
  <c r="H13" i="27"/>
  <c r="H12" i="27"/>
  <c r="H68" i="27"/>
  <c r="P62" i="28" s="1"/>
  <c r="H53" i="27"/>
  <c r="H67" i="27"/>
  <c r="H59" i="27"/>
  <c r="H53" i="28" s="1"/>
  <c r="H79" i="27"/>
  <c r="H87" i="27"/>
  <c r="H65" i="27"/>
  <c r="H55" i="27"/>
  <c r="H72" i="27"/>
  <c r="P66" i="28" s="1"/>
  <c r="H29" i="27"/>
  <c r="H61" i="27"/>
  <c r="H21" i="27"/>
  <c r="H75" i="27"/>
  <c r="H80" i="27"/>
  <c r="H74" i="28" s="1"/>
  <c r="H85" i="27"/>
  <c r="H31" i="27"/>
  <c r="H23" i="27"/>
  <c r="P17" i="28" s="1"/>
  <c r="H78" i="27"/>
  <c r="H14" i="27"/>
  <c r="H42" i="27"/>
  <c r="H36" i="28" s="1"/>
  <c r="H69" i="27"/>
  <c r="H60" i="27"/>
  <c r="H48" i="27"/>
  <c r="H34" i="27"/>
  <c r="H28" i="28" s="1"/>
  <c r="H28" i="27"/>
  <c r="H27" i="27"/>
  <c r="H21" i="28" s="1"/>
  <c r="H33" i="27"/>
  <c r="H86" i="27"/>
  <c r="H81" i="27"/>
  <c r="H75" i="28" s="1"/>
  <c r="H40" i="27"/>
  <c r="H26" i="27"/>
  <c r="H57" i="27"/>
  <c r="H51" i="27"/>
  <c r="H39" i="27"/>
  <c r="H18" i="27"/>
  <c r="P12" i="28" s="1"/>
  <c r="H73" i="27"/>
  <c r="H66" i="27"/>
  <c r="P60" i="28" s="1"/>
  <c r="H46" i="27"/>
  <c r="H25" i="27"/>
  <c r="H19" i="28" s="1"/>
  <c r="H17" i="27"/>
  <c r="H56" i="27"/>
  <c r="P50" i="28" s="1"/>
  <c r="H24" i="27"/>
  <c r="P18" i="28" s="1"/>
  <c r="H64" i="27"/>
  <c r="H58" i="28" s="1"/>
  <c r="H44" i="27"/>
  <c r="H38" i="27"/>
  <c r="H15" i="27"/>
  <c r="H84" i="27"/>
  <c r="H43" i="27"/>
  <c r="H37" i="27"/>
  <c r="P31" i="28" s="1"/>
  <c r="H30" i="27"/>
  <c r="H83" i="27"/>
  <c r="H49" i="27"/>
  <c r="H43" i="28" s="1"/>
  <c r="H77" i="27"/>
  <c r="H50" i="27"/>
  <c r="P44" i="28" s="1"/>
  <c r="H62" i="27"/>
  <c r="H56" i="28" s="1"/>
  <c r="H19" i="27"/>
  <c r="H32" i="27"/>
  <c r="H45" i="27"/>
  <c r="H20" i="27"/>
  <c r="P14" i="28" s="1"/>
  <c r="H71" i="27"/>
  <c r="H35" i="27"/>
  <c r="H47" i="27"/>
  <c r="H52" i="27"/>
  <c r="P46" i="28" s="1"/>
  <c r="H58" i="27"/>
  <c r="P52" i="28" s="1"/>
  <c r="H16" i="27"/>
  <c r="H63" i="27"/>
  <c r="H74" i="27"/>
  <c r="P68" i="28" s="1"/>
  <c r="J61" i="28"/>
  <c r="M76" i="28"/>
  <c r="O66" i="28"/>
  <c r="C20" i="28"/>
  <c r="H33" i="28"/>
  <c r="H78" i="28"/>
  <c r="D36" i="28"/>
  <c r="L15" i="28"/>
  <c r="N71" i="28"/>
  <c r="B5" i="28"/>
  <c r="G6" i="31"/>
  <c r="H6" i="31" s="1"/>
  <c r="I6" i="31" s="1"/>
  <c r="H5" i="31"/>
  <c r="S5" i="30"/>
  <c r="O5" i="30"/>
  <c r="Q5" i="30"/>
  <c r="M5" i="30"/>
  <c r="R5" i="30"/>
  <c r="N5" i="30"/>
  <c r="I5" i="31"/>
  <c r="P63" i="28"/>
  <c r="F71" i="28"/>
  <c r="D20" i="28"/>
  <c r="L20" i="28"/>
  <c r="G11" i="27"/>
  <c r="H11" i="27"/>
  <c r="D15" i="28"/>
  <c r="E11" i="27"/>
  <c r="F11" i="27"/>
  <c r="D11" i="27"/>
  <c r="C11" i="27"/>
  <c r="P74" i="28" l="1"/>
  <c r="L78" i="28"/>
  <c r="N47" i="28"/>
  <c r="E47" i="28"/>
  <c r="L50" i="28"/>
  <c r="P56" i="28"/>
  <c r="H17" i="28"/>
  <c r="C6" i="28"/>
  <c r="L34" i="28"/>
  <c r="C34" i="28"/>
  <c r="K20" i="28"/>
  <c r="H18" i="28"/>
  <c r="C13" i="28"/>
  <c r="L69" i="28"/>
  <c r="J19" i="28"/>
  <c r="E76" i="28"/>
  <c r="L80" i="28"/>
  <c r="H50" i="28"/>
  <c r="B75" i="28"/>
  <c r="D71" i="28"/>
  <c r="L6" i="28"/>
  <c r="L22" i="28"/>
  <c r="P58" i="28"/>
  <c r="H12" i="28"/>
  <c r="K62" i="28"/>
  <c r="H60" i="28"/>
  <c r="C55" i="28"/>
  <c r="C27" i="28"/>
  <c r="H44" i="28"/>
  <c r="N54" i="28"/>
  <c r="H31" i="28"/>
  <c r="L64" i="28"/>
  <c r="H68" i="28"/>
  <c r="AJ5" i="30"/>
  <c r="P75" i="28"/>
  <c r="D41" i="28"/>
  <c r="P33" i="28"/>
  <c r="H62" i="28"/>
  <c r="L36" i="28"/>
  <c r="L29" i="28"/>
  <c r="AK5" i="30"/>
  <c r="P36" i="28"/>
  <c r="O71" i="28"/>
  <c r="H46" i="28"/>
  <c r="J47" i="28"/>
  <c r="L55" i="28"/>
  <c r="J33" i="28"/>
  <c r="H14" i="28"/>
  <c r="M13" i="28"/>
  <c r="AL5" i="30"/>
  <c r="P30" i="28"/>
  <c r="H30" i="28"/>
  <c r="AI5" i="30"/>
  <c r="J74" i="28"/>
  <c r="H64" i="28"/>
  <c r="P19" i="28"/>
  <c r="E54" i="28"/>
  <c r="B61" i="28"/>
  <c r="D27" i="28"/>
  <c r="L27" i="28"/>
  <c r="P21" i="28"/>
  <c r="L62" i="28"/>
  <c r="G66" i="28"/>
  <c r="D43" i="28"/>
  <c r="P8" i="28"/>
  <c r="H8" i="28"/>
  <c r="P24" i="28"/>
  <c r="H24" i="28"/>
  <c r="O41" i="28"/>
  <c r="P78" i="28"/>
  <c r="P6" i="28"/>
  <c r="H6" i="28"/>
  <c r="H52" i="28"/>
  <c r="P53" i="28"/>
  <c r="P77" i="28"/>
  <c r="H77" i="28"/>
  <c r="P43" i="28"/>
  <c r="P28" i="28"/>
  <c r="C41" i="28"/>
  <c r="P80" i="28"/>
  <c r="H80" i="28"/>
  <c r="D13" i="28"/>
  <c r="P65" i="28"/>
  <c r="H65" i="28"/>
  <c r="G54" i="28"/>
  <c r="H63" i="28"/>
  <c r="P42" i="28"/>
  <c r="H42" i="28"/>
  <c r="M41" i="28"/>
  <c r="E41" i="28"/>
  <c r="H66" i="28"/>
  <c r="O79" i="28"/>
  <c r="P23" i="28"/>
  <c r="H23" i="28"/>
  <c r="P11" i="28"/>
  <c r="H11" i="28"/>
  <c r="K69" i="28"/>
  <c r="C69" i="28"/>
  <c r="C78" i="28"/>
  <c r="K78" i="28"/>
  <c r="P55" i="28"/>
  <c r="H55" i="28"/>
  <c r="H81" i="28"/>
  <c r="P81" i="28"/>
  <c r="D47" i="28"/>
  <c r="L47" i="28"/>
  <c r="D39" i="28"/>
  <c r="L39" i="28"/>
  <c r="P32" i="28"/>
  <c r="H32" i="28"/>
  <c r="O82" i="28"/>
  <c r="G82" i="28"/>
  <c r="O48" i="28"/>
  <c r="G48" i="28"/>
  <c r="E44" i="28"/>
  <c r="M44" i="28"/>
  <c r="E39" i="28"/>
  <c r="M39" i="28"/>
  <c r="O75" i="28"/>
  <c r="G75" i="28"/>
  <c r="F17" i="28"/>
  <c r="N17" i="28"/>
  <c r="B44" i="28"/>
  <c r="J44" i="28"/>
  <c r="B55" i="28"/>
  <c r="J55" i="28"/>
  <c r="B48" i="28"/>
  <c r="J48" i="28"/>
  <c r="C54" i="28"/>
  <c r="K54" i="28"/>
  <c r="K59" i="28"/>
  <c r="C59" i="28"/>
  <c r="D40" i="28"/>
  <c r="L40" i="28"/>
  <c r="D7" i="28"/>
  <c r="L7" i="28"/>
  <c r="D32" i="28"/>
  <c r="L32" i="28"/>
  <c r="P16" i="28"/>
  <c r="H16" i="28"/>
  <c r="O72" i="28"/>
  <c r="G72" i="28"/>
  <c r="O35" i="28"/>
  <c r="G35" i="28"/>
  <c r="E67" i="28"/>
  <c r="M67" i="28"/>
  <c r="E26" i="28"/>
  <c r="M26" i="28"/>
  <c r="M68" i="28"/>
  <c r="E68" i="28"/>
  <c r="F57" i="28"/>
  <c r="N57" i="28"/>
  <c r="N50" i="28"/>
  <c r="F50" i="28"/>
  <c r="N34" i="28"/>
  <c r="F34" i="28"/>
  <c r="N10" i="28"/>
  <c r="F10" i="28"/>
  <c r="N20" i="28"/>
  <c r="F20" i="28"/>
  <c r="P39" i="28"/>
  <c r="H39" i="28"/>
  <c r="O15" i="28"/>
  <c r="G15" i="28"/>
  <c r="B30" i="28"/>
  <c r="J30" i="28"/>
  <c r="B64" i="28"/>
  <c r="J64" i="28"/>
  <c r="D66" i="28"/>
  <c r="L66" i="28"/>
  <c r="C52" i="28"/>
  <c r="K52" i="28"/>
  <c r="D30" i="28"/>
  <c r="L30" i="28"/>
  <c r="G77" i="28"/>
  <c r="O77" i="28"/>
  <c r="M64" i="28"/>
  <c r="E64" i="28"/>
  <c r="J16" i="28"/>
  <c r="B16" i="28"/>
  <c r="J20" i="28"/>
  <c r="B20" i="28"/>
  <c r="L59" i="28"/>
  <c r="D59" i="28"/>
  <c r="D26" i="28"/>
  <c r="L26" i="28"/>
  <c r="C70" i="28"/>
  <c r="K70" i="28"/>
  <c r="K81" i="28"/>
  <c r="C81" i="28"/>
  <c r="G9" i="28"/>
  <c r="O9" i="28"/>
  <c r="O74" i="28"/>
  <c r="G74" i="28"/>
  <c r="O39" i="28"/>
  <c r="G39" i="28"/>
  <c r="M69" i="28"/>
  <c r="E69" i="28"/>
  <c r="E80" i="28"/>
  <c r="M80" i="28"/>
  <c r="G37" i="28"/>
  <c r="O37" i="28"/>
  <c r="N52" i="28"/>
  <c r="F52" i="28"/>
  <c r="N35" i="28"/>
  <c r="F35" i="28"/>
  <c r="N70" i="28"/>
  <c r="F70" i="28"/>
  <c r="G33" i="28"/>
  <c r="O33" i="28"/>
  <c r="J71" i="28"/>
  <c r="B71" i="28"/>
  <c r="B66" i="28"/>
  <c r="J66" i="28"/>
  <c r="J6" i="28"/>
  <c r="B6" i="28"/>
  <c r="K33" i="28"/>
  <c r="C33" i="28"/>
  <c r="C38" i="28"/>
  <c r="K38" i="28"/>
  <c r="K63" i="28"/>
  <c r="C63" i="28"/>
  <c r="P70" i="28"/>
  <c r="H70" i="28"/>
  <c r="H41" i="28"/>
  <c r="P41" i="28"/>
  <c r="O6" i="28"/>
  <c r="G6" i="28"/>
  <c r="M73" i="28"/>
  <c r="E73" i="28"/>
  <c r="E24" i="28"/>
  <c r="M24" i="28"/>
  <c r="B46" i="28"/>
  <c r="J46" i="28"/>
  <c r="B57" i="28"/>
  <c r="J57" i="28"/>
  <c r="B52" i="28"/>
  <c r="J52" i="28"/>
  <c r="D45" i="28"/>
  <c r="L45" i="28"/>
  <c r="K51" i="28"/>
  <c r="C51" i="28"/>
  <c r="D12" i="28"/>
  <c r="L12" i="28"/>
  <c r="L9" i="28"/>
  <c r="D9" i="28"/>
  <c r="H67" i="28"/>
  <c r="P67" i="28"/>
  <c r="O30" i="28"/>
  <c r="G30" i="28"/>
  <c r="G31" i="28"/>
  <c r="O31" i="28"/>
  <c r="O64" i="28"/>
  <c r="G64" i="28"/>
  <c r="E6" i="28"/>
  <c r="M6" i="28"/>
  <c r="E62" i="28"/>
  <c r="M62" i="28"/>
  <c r="O12" i="28"/>
  <c r="G12" i="28"/>
  <c r="N43" i="28"/>
  <c r="F43" i="28"/>
  <c r="F29" i="28"/>
  <c r="N29" i="28"/>
  <c r="J43" i="28"/>
  <c r="B43" i="28"/>
  <c r="C64" i="28"/>
  <c r="K64" i="28"/>
  <c r="C24" i="28"/>
  <c r="K24" i="28"/>
  <c r="K23" i="28"/>
  <c r="C23" i="28"/>
  <c r="O34" i="28"/>
  <c r="G34" i="28"/>
  <c r="G13" i="28"/>
  <c r="O13" i="28"/>
  <c r="E10" i="28"/>
  <c r="M10" i="28"/>
  <c r="M25" i="28"/>
  <c r="E25" i="28"/>
  <c r="N60" i="28"/>
  <c r="F60" i="28"/>
  <c r="D48" i="28"/>
  <c r="L48" i="28"/>
  <c r="J24" i="28"/>
  <c r="B24" i="28"/>
  <c r="M81" i="28"/>
  <c r="E81" i="28"/>
  <c r="B14" i="28"/>
  <c r="J14" i="28"/>
  <c r="B76" i="28"/>
  <c r="J76" i="28"/>
  <c r="L51" i="28"/>
  <c r="D51" i="28"/>
  <c r="D28" i="28"/>
  <c r="L28" i="28"/>
  <c r="C11" i="28"/>
  <c r="K11" i="28"/>
  <c r="O56" i="28"/>
  <c r="G56" i="28"/>
  <c r="M59" i="28"/>
  <c r="E59" i="28"/>
  <c r="E23" i="28"/>
  <c r="M23" i="28"/>
  <c r="F21" i="28"/>
  <c r="N21" i="28"/>
  <c r="J69" i="28"/>
  <c r="B69" i="28"/>
  <c r="B62" i="28"/>
  <c r="J62" i="28"/>
  <c r="D37" i="28"/>
  <c r="L37" i="28"/>
  <c r="L21" i="28"/>
  <c r="D21" i="28"/>
  <c r="G47" i="28"/>
  <c r="O47" i="28"/>
  <c r="N25" i="28"/>
  <c r="F25" i="28"/>
  <c r="M55" i="28"/>
  <c r="E55" i="28"/>
  <c r="N30" i="28"/>
  <c r="F30" i="28"/>
  <c r="N26" i="28"/>
  <c r="F26" i="28"/>
  <c r="C76" i="28"/>
  <c r="K76" i="28"/>
  <c r="G5" i="28"/>
  <c r="O5" i="28"/>
  <c r="L73" i="28"/>
  <c r="D73" i="28"/>
  <c r="O65" i="28"/>
  <c r="G65" i="28"/>
  <c r="J41" i="28"/>
  <c r="B41" i="28"/>
  <c r="C47" i="28"/>
  <c r="K47" i="28"/>
  <c r="K77" i="28"/>
  <c r="C77" i="28"/>
  <c r="H79" i="28"/>
  <c r="P79" i="28"/>
  <c r="O57" i="28"/>
  <c r="G57" i="28"/>
  <c r="E65" i="28"/>
  <c r="M65" i="28"/>
  <c r="M46" i="28"/>
  <c r="E46" i="28"/>
  <c r="F67" i="28"/>
  <c r="N67" i="28"/>
  <c r="B27" i="28"/>
  <c r="J27" i="28"/>
  <c r="C40" i="28"/>
  <c r="K40" i="28"/>
  <c r="L23" i="28"/>
  <c r="D23" i="28"/>
  <c r="O73" i="28"/>
  <c r="G73" i="28"/>
  <c r="O46" i="28"/>
  <c r="G46" i="28"/>
  <c r="N58" i="28"/>
  <c r="F58" i="28"/>
  <c r="B13" i="28"/>
  <c r="J13" i="28"/>
  <c r="C58" i="28"/>
  <c r="K58" i="28"/>
  <c r="C74" i="28"/>
  <c r="K74" i="28"/>
  <c r="O42" i="28"/>
  <c r="G42" i="28"/>
  <c r="O24" i="28"/>
  <c r="G24" i="28"/>
  <c r="B82" i="28"/>
  <c r="J82" i="28"/>
  <c r="K19" i="28"/>
  <c r="C19" i="28"/>
  <c r="P38" i="28"/>
  <c r="H38" i="28"/>
  <c r="N32" i="28"/>
  <c r="F32" i="28"/>
  <c r="B32" i="28"/>
  <c r="J32" i="28"/>
  <c r="B8" i="28"/>
  <c r="J8" i="28"/>
  <c r="K5" i="28"/>
  <c r="C5" i="28"/>
  <c r="L5" i="28"/>
  <c r="D5" i="28"/>
  <c r="C60" i="28"/>
  <c r="K60" i="28"/>
  <c r="O40" i="28"/>
  <c r="G40" i="28"/>
  <c r="M66" i="28"/>
  <c r="E66" i="28"/>
  <c r="O81" i="28"/>
  <c r="G81" i="28"/>
  <c r="F45" i="28"/>
  <c r="N45" i="28"/>
  <c r="H9" i="28"/>
  <c r="P9" i="28"/>
  <c r="J18" i="28"/>
  <c r="B18" i="28"/>
  <c r="J77" i="28"/>
  <c r="B77" i="28"/>
  <c r="L63" i="28"/>
  <c r="D63" i="28"/>
  <c r="C26" i="28"/>
  <c r="K26" i="28"/>
  <c r="C53" i="28"/>
  <c r="K53" i="28"/>
  <c r="O38" i="28"/>
  <c r="G38" i="28"/>
  <c r="N9" i="28"/>
  <c r="F9" i="28"/>
  <c r="N28" i="28"/>
  <c r="F28" i="28"/>
  <c r="E70" i="28"/>
  <c r="M70" i="28"/>
  <c r="E63" i="28"/>
  <c r="M63" i="28"/>
  <c r="N14" i="28"/>
  <c r="F14" i="28"/>
  <c r="N48" i="28"/>
  <c r="F48" i="28"/>
  <c r="O28" i="28"/>
  <c r="G28" i="28"/>
  <c r="H69" i="28"/>
  <c r="P69" i="28"/>
  <c r="B15" i="28"/>
  <c r="J15" i="28"/>
  <c r="J63" i="28"/>
  <c r="B63" i="28"/>
  <c r="C30" i="28"/>
  <c r="K30" i="28"/>
  <c r="L81" i="28"/>
  <c r="D81" i="28"/>
  <c r="O78" i="28"/>
  <c r="G78" i="28"/>
  <c r="M7" i="28"/>
  <c r="E7" i="28"/>
  <c r="J59" i="28"/>
  <c r="B59" i="28"/>
  <c r="J79" i="28"/>
  <c r="B79" i="28"/>
  <c r="D17" i="28"/>
  <c r="L17" i="28"/>
  <c r="P10" i="28"/>
  <c r="H10" i="28"/>
  <c r="O36" i="28"/>
  <c r="G36" i="28"/>
  <c r="B53" i="28"/>
  <c r="J53" i="28"/>
  <c r="C15" i="28"/>
  <c r="K15" i="28"/>
  <c r="K73" i="28"/>
  <c r="C73" i="28"/>
  <c r="D72" i="28"/>
  <c r="L72" i="28"/>
  <c r="P35" i="28"/>
  <c r="H35" i="28"/>
  <c r="G49" i="28"/>
  <c r="O49" i="28"/>
  <c r="M56" i="28"/>
  <c r="E56" i="28"/>
  <c r="M32" i="28"/>
  <c r="E32" i="28"/>
  <c r="N80" i="28"/>
  <c r="F80" i="28"/>
  <c r="J39" i="28"/>
  <c r="B39" i="28"/>
  <c r="K61" i="28"/>
  <c r="C61" i="28"/>
  <c r="D58" i="28"/>
  <c r="L58" i="28"/>
  <c r="O32" i="28"/>
  <c r="G32" i="28"/>
  <c r="N63" i="28"/>
  <c r="F63" i="28"/>
  <c r="H5" i="28"/>
  <c r="P5" i="28"/>
  <c r="B78" i="28"/>
  <c r="J78" i="28"/>
  <c r="D44" i="28"/>
  <c r="L44" i="28"/>
  <c r="E49" i="28"/>
  <c r="M49" i="28"/>
  <c r="B11" i="28"/>
  <c r="J11" i="28"/>
  <c r="C72" i="28"/>
  <c r="K72" i="28"/>
  <c r="D18" i="28"/>
  <c r="L18" i="28"/>
  <c r="G23" i="28"/>
  <c r="O23" i="28"/>
  <c r="E19" i="28"/>
  <c r="M19" i="28"/>
  <c r="F31" i="28"/>
  <c r="N31" i="28"/>
  <c r="B80" i="28"/>
  <c r="J80" i="28"/>
  <c r="C65" i="28"/>
  <c r="K65" i="28"/>
  <c r="P7" i="28"/>
  <c r="H7" i="28"/>
  <c r="M5" i="28"/>
  <c r="E5" i="28"/>
  <c r="M30" i="28"/>
  <c r="E30" i="28"/>
  <c r="P15" i="28"/>
  <c r="H15" i="28"/>
  <c r="B60" i="28"/>
  <c r="J60" i="28"/>
  <c r="D52" i="28"/>
  <c r="L52" i="28"/>
  <c r="D16" i="28"/>
  <c r="L16" i="28"/>
  <c r="O76" i="28"/>
  <c r="G76" i="28"/>
  <c r="E57" i="28"/>
  <c r="M57" i="28"/>
  <c r="M38" i="28"/>
  <c r="E38" i="28"/>
  <c r="N40" i="28"/>
  <c r="F40" i="28"/>
  <c r="N8" i="28"/>
  <c r="F8" i="28"/>
  <c r="C71" i="28"/>
  <c r="K71" i="28"/>
  <c r="C56" i="28"/>
  <c r="K56" i="28"/>
  <c r="N72" i="28"/>
  <c r="F72" i="28"/>
  <c r="B38" i="28"/>
  <c r="J38" i="28"/>
  <c r="C44" i="28"/>
  <c r="K44" i="28"/>
  <c r="H51" i="28"/>
  <c r="P51" i="28"/>
  <c r="F41" i="28"/>
  <c r="N41" i="28"/>
  <c r="M12" i="28"/>
  <c r="E12" i="28"/>
  <c r="J29" i="28"/>
  <c r="B29" i="28"/>
  <c r="D31" i="28"/>
  <c r="L31" i="28"/>
  <c r="C17" i="28"/>
  <c r="K17" i="28"/>
  <c r="K9" i="28"/>
  <c r="C9" i="28"/>
  <c r="N68" i="28"/>
  <c r="F68" i="28"/>
  <c r="O53" i="28"/>
  <c r="G53" i="28"/>
  <c r="M31" i="28"/>
  <c r="E31" i="28"/>
  <c r="M58" i="28"/>
  <c r="E58" i="28"/>
  <c r="N11" i="28"/>
  <c r="F11" i="28"/>
  <c r="P20" i="28"/>
  <c r="H20" i="28"/>
  <c r="J10" i="28"/>
  <c r="B10" i="28"/>
  <c r="D24" i="28"/>
  <c r="L24" i="28"/>
  <c r="C10" i="28"/>
  <c r="K10" i="28"/>
  <c r="K35" i="28"/>
  <c r="C35" i="28"/>
  <c r="H13" i="28"/>
  <c r="P13" i="28"/>
  <c r="O52" i="28"/>
  <c r="G52" i="28"/>
  <c r="E79" i="28"/>
  <c r="M79" i="28"/>
  <c r="M35" i="28"/>
  <c r="E35" i="28"/>
  <c r="E74" i="28"/>
  <c r="M74" i="28"/>
  <c r="N75" i="28"/>
  <c r="F75" i="28"/>
  <c r="N22" i="28"/>
  <c r="F22" i="28"/>
  <c r="D57" i="28"/>
  <c r="L57" i="28"/>
  <c r="H71" i="28"/>
  <c r="P71" i="28"/>
  <c r="M40" i="28"/>
  <c r="E40" i="28"/>
  <c r="E77" i="28"/>
  <c r="M77" i="28"/>
  <c r="F37" i="28"/>
  <c r="N37" i="28"/>
  <c r="N27" i="28"/>
  <c r="F27" i="28"/>
  <c r="P72" i="28"/>
  <c r="H72" i="28"/>
  <c r="B56" i="28"/>
  <c r="J56" i="28"/>
  <c r="B65" i="28"/>
  <c r="J65" i="28"/>
  <c r="C36" i="28"/>
  <c r="K36" i="28"/>
  <c r="D14" i="28"/>
  <c r="L14" i="28"/>
  <c r="D75" i="28"/>
  <c r="L75" i="28"/>
  <c r="K21" i="28"/>
  <c r="C21" i="28"/>
  <c r="C32" i="28"/>
  <c r="K32" i="28"/>
  <c r="O60" i="28"/>
  <c r="G60" i="28"/>
  <c r="O70" i="28"/>
  <c r="G70" i="28"/>
  <c r="M43" i="28"/>
  <c r="E43" i="28"/>
  <c r="E45" i="28"/>
  <c r="M45" i="28"/>
  <c r="N24" i="28"/>
  <c r="F24" i="28"/>
  <c r="N82" i="28"/>
  <c r="F82" i="28"/>
  <c r="P25" i="28"/>
  <c r="H25" i="28"/>
  <c r="B42" i="28"/>
  <c r="J42" i="28"/>
  <c r="J81" i="28"/>
  <c r="B81" i="28"/>
  <c r="J51" i="28"/>
  <c r="B51" i="28"/>
  <c r="J21" i="28"/>
  <c r="B21" i="28"/>
  <c r="C29" i="28"/>
  <c r="K29" i="28"/>
  <c r="C82" i="28"/>
  <c r="K82" i="28"/>
  <c r="L79" i="28"/>
  <c r="D79" i="28"/>
  <c r="D11" i="28"/>
  <c r="L11" i="28"/>
  <c r="D68" i="28"/>
  <c r="L68" i="28"/>
  <c r="D56" i="28"/>
  <c r="L56" i="28"/>
  <c r="C14" i="28"/>
  <c r="K14" i="28"/>
  <c r="D60" i="28"/>
  <c r="L60" i="28"/>
  <c r="K25" i="28"/>
  <c r="C25" i="28"/>
  <c r="P73" i="28"/>
  <c r="H73" i="28"/>
  <c r="E16" i="28"/>
  <c r="M16" i="28"/>
  <c r="O14" i="28"/>
  <c r="G14" i="28"/>
  <c r="O27" i="28"/>
  <c r="G27" i="28"/>
  <c r="O7" i="28"/>
  <c r="G7" i="28"/>
  <c r="N76" i="28"/>
  <c r="F76" i="28"/>
  <c r="M60" i="28"/>
  <c r="E60" i="28"/>
  <c r="E78" i="28"/>
  <c r="M78" i="28"/>
  <c r="M48" i="28"/>
  <c r="E48" i="28"/>
  <c r="E14" i="28"/>
  <c r="M14" i="28"/>
  <c r="E51" i="28"/>
  <c r="M51" i="28"/>
  <c r="O17" i="28"/>
  <c r="G17" i="28"/>
  <c r="E50" i="28"/>
  <c r="M50" i="28"/>
  <c r="F65" i="28"/>
  <c r="N65" i="28"/>
  <c r="F49" i="28"/>
  <c r="N49" i="28"/>
  <c r="N42" i="28"/>
  <c r="F42" i="28"/>
  <c r="E8" i="28"/>
  <c r="M8" i="28"/>
  <c r="H37" i="28"/>
  <c r="P37" i="28"/>
  <c r="O8" i="28"/>
  <c r="G8" i="28"/>
  <c r="B72" i="28"/>
  <c r="J72" i="28"/>
  <c r="J23" i="28"/>
  <c r="B23" i="28"/>
  <c r="C68" i="28"/>
  <c r="K68" i="28"/>
  <c r="D54" i="28"/>
  <c r="L54" i="28"/>
  <c r="D46" i="28"/>
  <c r="L46" i="28"/>
  <c r="O25" i="28"/>
  <c r="G25" i="28"/>
  <c r="O45" i="28"/>
  <c r="G45" i="28"/>
  <c r="M27" i="28"/>
  <c r="E27" i="28"/>
  <c r="E52" i="28"/>
  <c r="M52" i="28"/>
  <c r="N81" i="28"/>
  <c r="F81" i="28"/>
  <c r="F73" i="28"/>
  <c r="N73" i="28"/>
  <c r="N36" i="28"/>
  <c r="F36" i="28"/>
  <c r="D8" i="28"/>
  <c r="L8" i="28"/>
  <c r="P82" i="28"/>
  <c r="H82" i="28"/>
  <c r="B58" i="28"/>
  <c r="J58" i="28"/>
  <c r="J9" i="28"/>
  <c r="B9" i="28"/>
  <c r="C8" i="28"/>
  <c r="K8" i="28"/>
  <c r="C66" i="28"/>
  <c r="K66" i="28"/>
  <c r="P48" i="28"/>
  <c r="H48" i="28"/>
  <c r="E82" i="28"/>
  <c r="M82" i="28"/>
  <c r="N6" i="28"/>
  <c r="F6" i="28"/>
  <c r="J25" i="28"/>
  <c r="B25" i="28"/>
  <c r="K79" i="28"/>
  <c r="C79" i="28"/>
  <c r="P45" i="28"/>
  <c r="H45" i="28"/>
  <c r="G61" i="28"/>
  <c r="O61" i="28"/>
  <c r="E42" i="28"/>
  <c r="M42" i="28"/>
  <c r="N51" i="28"/>
  <c r="F51" i="28"/>
  <c r="B34" i="28"/>
  <c r="J34" i="28"/>
  <c r="L33" i="28"/>
  <c r="D33" i="28"/>
  <c r="H29" i="28"/>
  <c r="P29" i="28"/>
  <c r="G69" i="28"/>
  <c r="O69" i="28"/>
  <c r="F55" i="28"/>
  <c r="N55" i="28"/>
  <c r="N15" i="28"/>
  <c r="F15" i="28"/>
  <c r="E37" i="28"/>
  <c r="M37" i="28"/>
  <c r="N38" i="28"/>
  <c r="F38" i="28"/>
  <c r="F33" i="28"/>
  <c r="N33" i="28"/>
  <c r="H49" i="28"/>
  <c r="P49" i="28"/>
  <c r="G59" i="28"/>
  <c r="O59" i="28"/>
  <c r="B50" i="28"/>
  <c r="J50" i="28"/>
  <c r="K45" i="28"/>
  <c r="C45" i="28"/>
  <c r="P54" i="28"/>
  <c r="H54" i="28"/>
  <c r="M15" i="28"/>
  <c r="E15" i="28"/>
  <c r="F59" i="28"/>
  <c r="N59" i="28"/>
  <c r="B36" i="28"/>
  <c r="J36" i="28"/>
  <c r="L19" i="28"/>
  <c r="D19" i="28"/>
  <c r="G21" i="28"/>
  <c r="O21" i="28"/>
  <c r="F79" i="28"/>
  <c r="N79" i="28"/>
  <c r="E17" i="28"/>
  <c r="M17" i="28"/>
  <c r="F13" i="28"/>
  <c r="N13" i="28"/>
  <c r="N7" i="28"/>
  <c r="F7" i="28"/>
  <c r="N74" i="28"/>
  <c r="F74" i="28"/>
  <c r="P27" i="28"/>
  <c r="H27" i="28"/>
  <c r="B22" i="28"/>
  <c r="J22" i="28"/>
  <c r="K31" i="28"/>
  <c r="C31" i="28"/>
  <c r="C67" i="28"/>
  <c r="K67" i="28"/>
  <c r="O10" i="28"/>
  <c r="G10" i="28"/>
  <c r="M20" i="28"/>
  <c r="E20" i="28"/>
  <c r="O16" i="28"/>
  <c r="G16" i="28"/>
  <c r="N53" i="28"/>
  <c r="F53" i="28"/>
  <c r="F77" i="28"/>
  <c r="N77" i="28"/>
  <c r="P40" i="28"/>
  <c r="H40" i="28"/>
  <c r="B68" i="28"/>
  <c r="J68" i="28"/>
  <c r="D38" i="28"/>
  <c r="L38" i="28"/>
  <c r="K49" i="28"/>
  <c r="C49" i="28"/>
  <c r="P22" i="28"/>
  <c r="H22" i="28"/>
  <c r="O80" i="28"/>
  <c r="G80" i="28"/>
  <c r="M33" i="28"/>
  <c r="E33" i="28"/>
  <c r="N78" i="28"/>
  <c r="F78" i="28"/>
  <c r="H59" i="28"/>
  <c r="P59" i="28"/>
  <c r="B54" i="28"/>
  <c r="J54" i="28"/>
  <c r="C57" i="28"/>
  <c r="K57" i="28"/>
  <c r="C37" i="28"/>
  <c r="K37" i="28"/>
  <c r="C42" i="28"/>
  <c r="K42" i="28"/>
  <c r="P26" i="28"/>
  <c r="H26" i="28"/>
  <c r="O26" i="28"/>
  <c r="G26" i="28"/>
  <c r="G19" i="28"/>
  <c r="O19" i="28"/>
  <c r="E34" i="28"/>
  <c r="M34" i="28"/>
  <c r="J73" i="28"/>
  <c r="B73" i="28"/>
  <c r="B40" i="28"/>
  <c r="J40" i="28"/>
  <c r="C50" i="28"/>
  <c r="K50" i="28"/>
  <c r="D49" i="28"/>
  <c r="L49" i="28"/>
  <c r="C12" i="28"/>
  <c r="K12" i="28"/>
  <c r="C46" i="28"/>
  <c r="K46" i="28"/>
  <c r="N62" i="28"/>
  <c r="F62" i="28"/>
  <c r="O51" i="28"/>
  <c r="G51" i="28"/>
  <c r="M21" i="28"/>
  <c r="E21" i="28"/>
  <c r="E75" i="28"/>
  <c r="M75" i="28"/>
  <c r="O50" i="28"/>
  <c r="G50" i="28"/>
  <c r="N18" i="28"/>
  <c r="F18" i="28"/>
  <c r="N61" i="28"/>
  <c r="F61" i="28"/>
  <c r="P34" i="28"/>
  <c r="H34" i="28"/>
  <c r="B70" i="28"/>
  <c r="J70" i="28"/>
  <c r="B26" i="28"/>
  <c r="J26" i="28"/>
  <c r="B49" i="28"/>
  <c r="J49" i="28"/>
  <c r="C43" i="28"/>
  <c r="K43" i="28"/>
  <c r="L35" i="28"/>
  <c r="D35" i="28"/>
  <c r="C16" i="28"/>
  <c r="K16" i="28"/>
  <c r="D82" i="28"/>
  <c r="L82" i="28"/>
  <c r="L77" i="28"/>
  <c r="D77" i="28"/>
  <c r="C28" i="28"/>
  <c r="K28" i="28"/>
  <c r="D74" i="28"/>
  <c r="L74" i="28"/>
  <c r="C39" i="28"/>
  <c r="K39" i="28"/>
  <c r="O55" i="28"/>
  <c r="G55" i="28"/>
  <c r="G43" i="28"/>
  <c r="O43" i="28"/>
  <c r="O11" i="28"/>
  <c r="G11" i="28"/>
  <c r="O67" i="28"/>
  <c r="G67" i="28"/>
  <c r="E72" i="28"/>
  <c r="M72" i="28"/>
  <c r="M9" i="28"/>
  <c r="E9" i="28"/>
  <c r="E29" i="28"/>
  <c r="M29" i="28"/>
  <c r="O63" i="28"/>
  <c r="G63" i="28"/>
  <c r="O68" i="28"/>
  <c r="G68" i="28"/>
  <c r="N56" i="28"/>
  <c r="F56" i="28"/>
  <c r="N23" i="28"/>
  <c r="F23" i="28"/>
  <c r="C48" i="28"/>
  <c r="K48" i="28"/>
  <c r="P61" i="28"/>
  <c r="H61" i="28"/>
  <c r="J45" i="28"/>
  <c r="B45" i="28"/>
  <c r="J12" i="28"/>
  <c r="B12" i="28"/>
  <c r="B35" i="28"/>
  <c r="J35" i="28"/>
  <c r="D10" i="28"/>
  <c r="L10" i="28"/>
  <c r="L25" i="28"/>
  <c r="D25" i="28"/>
  <c r="D70" i="28"/>
  <c r="L70" i="28"/>
  <c r="D67" i="28"/>
  <c r="L67" i="28"/>
  <c r="P76" i="28"/>
  <c r="H76" i="28"/>
  <c r="O22" i="28"/>
  <c r="G22" i="28"/>
  <c r="N66" i="28"/>
  <c r="F66" i="28"/>
  <c r="M53" i="28"/>
  <c r="E53" i="28"/>
  <c r="M11" i="28"/>
  <c r="E11" i="28"/>
  <c r="O58" i="28"/>
  <c r="G58" i="28"/>
  <c r="O62" i="28"/>
  <c r="G62" i="28"/>
  <c r="N44" i="28"/>
  <c r="F44" i="28"/>
  <c r="F39" i="28"/>
  <c r="N39" i="28"/>
  <c r="E28" i="28"/>
  <c r="M28" i="28"/>
  <c r="O20" i="28"/>
  <c r="G20" i="28"/>
  <c r="J31" i="28"/>
  <c r="B31" i="28"/>
  <c r="J17" i="28"/>
  <c r="B17" i="28"/>
  <c r="B28" i="28"/>
  <c r="J28" i="28"/>
  <c r="B67" i="28"/>
  <c r="J67" i="28"/>
  <c r="B37" i="28"/>
  <c r="J37" i="28"/>
  <c r="B7" i="28"/>
  <c r="J7" i="28"/>
  <c r="C22" i="28"/>
  <c r="K22" i="28"/>
  <c r="C75" i="28"/>
  <c r="K75" i="28"/>
  <c r="D65" i="28"/>
  <c r="L65" i="28"/>
  <c r="C80" i="28"/>
  <c r="K80" i="28"/>
  <c r="L61" i="28"/>
  <c r="D61" i="28"/>
  <c r="D42" i="28"/>
  <c r="L42" i="28"/>
  <c r="C7" i="28"/>
  <c r="K7" i="28"/>
  <c r="L53" i="28"/>
  <c r="D53" i="28"/>
  <c r="C18" i="28"/>
  <c r="K18" i="28"/>
  <c r="P57" i="28"/>
  <c r="H57" i="28"/>
  <c r="F5" i="28"/>
  <c r="N5" i="28"/>
  <c r="O18" i="28"/>
  <c r="G18" i="28"/>
  <c r="O44" i="28"/>
  <c r="G44" i="28"/>
  <c r="G29" i="28"/>
  <c r="O29" i="28"/>
  <c r="M71" i="28"/>
  <c r="E71" i="28"/>
  <c r="M18" i="28"/>
  <c r="E18" i="28"/>
  <c r="E22" i="28"/>
  <c r="M22" i="28"/>
  <c r="M61" i="28"/>
  <c r="E61" i="28"/>
  <c r="E36" i="28"/>
  <c r="M36" i="28"/>
  <c r="N46" i="28"/>
  <c r="F46" i="28"/>
  <c r="N12" i="28"/>
  <c r="F12" i="28"/>
  <c r="N16" i="28"/>
  <c r="F16" i="28"/>
  <c r="N69" i="28"/>
  <c r="F69" i="28"/>
  <c r="F19" i="28"/>
  <c r="N19" i="28"/>
  <c r="N64" i="28"/>
  <c r="F64" i="28"/>
  <c r="D76" i="28"/>
  <c r="L76" i="28"/>
  <c r="P47" i="28"/>
  <c r="H47" i="28"/>
  <c r="I71" i="28" l="1"/>
  <c r="I28" i="28"/>
  <c r="I36" i="28"/>
  <c r="Q6" i="28"/>
  <c r="I6" i="28"/>
  <c r="I23" i="28"/>
  <c r="Q31" i="28"/>
  <c r="I78" i="28"/>
  <c r="Q66" i="28"/>
  <c r="Q47" i="28"/>
  <c r="Q28" i="28"/>
  <c r="Q49" i="28"/>
  <c r="I77" i="28"/>
  <c r="I22" i="28"/>
  <c r="I50" i="28"/>
  <c r="I42" i="28"/>
  <c r="I56" i="28"/>
  <c r="Q29" i="28"/>
  <c r="Q14" i="28"/>
  <c r="I43" i="28"/>
  <c r="Q46" i="28"/>
  <c r="I35" i="28"/>
  <c r="Q63" i="28"/>
  <c r="Q77" i="28"/>
  <c r="Q19" i="28"/>
  <c r="I14" i="28"/>
  <c r="Q40" i="28"/>
  <c r="I73" i="28"/>
  <c r="Q70" i="28"/>
  <c r="Q9" i="28"/>
  <c r="Q23" i="28"/>
  <c r="I31" i="28"/>
  <c r="I24" i="28"/>
  <c r="Q73" i="28"/>
  <c r="I25" i="28"/>
  <c r="I59" i="28"/>
  <c r="I58" i="28"/>
  <c r="I37" i="28"/>
  <c r="Q53" i="28"/>
  <c r="Q21" i="28"/>
  <c r="I53" i="28"/>
  <c r="Q74" i="28"/>
  <c r="Q68" i="28"/>
  <c r="I51" i="28"/>
  <c r="Q38" i="28"/>
  <c r="I63" i="28"/>
  <c r="I32" i="28"/>
  <c r="I74" i="28"/>
  <c r="I62" i="28"/>
  <c r="Q71" i="28"/>
  <c r="I48" i="28"/>
  <c r="I5" i="28"/>
  <c r="I70" i="28"/>
  <c r="Q58" i="28"/>
  <c r="Q78" i="28"/>
  <c r="I33" i="28"/>
  <c r="Q8" i="28"/>
  <c r="Q34" i="28"/>
  <c r="I10" i="28"/>
  <c r="I66" i="28"/>
  <c r="Q35" i="28"/>
  <c r="I54" i="28"/>
  <c r="Q48" i="28"/>
  <c r="I12" i="28"/>
  <c r="I68" i="28"/>
  <c r="Q51" i="28"/>
  <c r="I38" i="28"/>
  <c r="Q27" i="28"/>
  <c r="I69" i="28"/>
  <c r="Q52" i="28"/>
  <c r="I20" i="28"/>
  <c r="Q64" i="28"/>
  <c r="Q55" i="28"/>
  <c r="I65" i="28"/>
  <c r="I60" i="28"/>
  <c r="I9" i="28"/>
  <c r="I7" i="28"/>
  <c r="Q24" i="28"/>
  <c r="Q25" i="28"/>
  <c r="I45" i="28"/>
  <c r="Q10" i="28"/>
  <c r="Q12" i="28"/>
  <c r="I15" i="28"/>
  <c r="I81" i="28"/>
  <c r="Q65" i="28"/>
  <c r="I27" i="28"/>
  <c r="I47" i="28"/>
  <c r="Q69" i="28"/>
  <c r="Q43" i="28"/>
  <c r="I52" i="28"/>
  <c r="Q20" i="28"/>
  <c r="I64" i="28"/>
  <c r="I55" i="28"/>
  <c r="Q75" i="28"/>
  <c r="Q59" i="28"/>
  <c r="Q72" i="28"/>
  <c r="I72" i="28"/>
  <c r="I8" i="28"/>
  <c r="Q32" i="28"/>
  <c r="Q67" i="28"/>
  <c r="I79" i="28"/>
  <c r="Q81" i="28"/>
  <c r="Q13" i="28"/>
  <c r="I41" i="28"/>
  <c r="Q76" i="28"/>
  <c r="Q57" i="28"/>
  <c r="I16" i="28"/>
  <c r="Q30" i="28"/>
  <c r="Q44" i="28"/>
  <c r="I11" i="28"/>
  <c r="Q39" i="28"/>
  <c r="Q5" i="28"/>
  <c r="C5" i="31" s="1"/>
  <c r="E5" i="31" s="1"/>
  <c r="Q54" i="28"/>
  <c r="Q7" i="28"/>
  <c r="I61" i="28"/>
  <c r="I34" i="28"/>
  <c r="Q62" i="28"/>
  <c r="Q37" i="28"/>
  <c r="I67" i="28"/>
  <c r="Q45" i="28"/>
  <c r="Q22" i="28"/>
  <c r="Q50" i="28"/>
  <c r="Q42" i="28"/>
  <c r="Q56" i="28"/>
  <c r="Q11" i="28"/>
  <c r="I13" i="28"/>
  <c r="Q41" i="28"/>
  <c r="I21" i="28"/>
  <c r="I76" i="28"/>
  <c r="I29" i="28"/>
  <c r="Q16" i="28"/>
  <c r="I30" i="28"/>
  <c r="I57" i="28"/>
  <c r="I44" i="28"/>
  <c r="Q80" i="28"/>
  <c r="I46" i="28"/>
  <c r="I17" i="28"/>
  <c r="Q26" i="28"/>
  <c r="I49" i="28"/>
  <c r="I80" i="28"/>
  <c r="Q61" i="28"/>
  <c r="Q79" i="28"/>
  <c r="Q15" i="28"/>
  <c r="I18" i="28"/>
  <c r="Q82" i="28"/>
  <c r="I19" i="28"/>
  <c r="Q17" i="28"/>
  <c r="I26" i="28"/>
  <c r="I40" i="28"/>
  <c r="Q36" i="28"/>
  <c r="I75" i="28"/>
  <c r="Q60" i="28"/>
  <c r="I39" i="28"/>
  <c r="Q18" i="28"/>
  <c r="I82" i="28"/>
  <c r="Q33" i="28"/>
  <c r="R58" i="28" l="1"/>
  <c r="R56" i="28"/>
  <c r="R27" i="28"/>
  <c r="R21" i="28"/>
  <c r="R42" i="28"/>
  <c r="R51" i="28"/>
  <c r="R28" i="28"/>
  <c r="R52" i="28"/>
  <c r="R60" i="28"/>
  <c r="R10" i="28"/>
  <c r="R36" i="28"/>
  <c r="R47" i="28"/>
  <c r="R71" i="28"/>
  <c r="R20" i="28"/>
  <c r="R50" i="28"/>
  <c r="R82" i="28"/>
  <c r="R57" i="28"/>
  <c r="R16" i="28"/>
  <c r="R26" i="28"/>
  <c r="R72" i="28"/>
  <c r="R12" i="28"/>
  <c r="R49" i="28"/>
  <c r="R44" i="28"/>
  <c r="R59" i="28"/>
  <c r="R53" i="28"/>
  <c r="R19" i="28"/>
  <c r="R30" i="28"/>
  <c r="R77" i="28"/>
  <c r="R80" i="28"/>
  <c r="R22" i="28"/>
  <c r="R25" i="28"/>
  <c r="R15" i="28"/>
  <c r="R23" i="28"/>
  <c r="R43" i="28"/>
  <c r="R81" i="28"/>
  <c r="R33" i="28"/>
  <c r="R7" i="28"/>
  <c r="R67" i="28"/>
  <c r="R9" i="28"/>
  <c r="R73" i="28"/>
  <c r="R62" i="28"/>
  <c r="R13" i="28"/>
  <c r="R35" i="28"/>
  <c r="R69" i="28"/>
  <c r="R41" i="28"/>
  <c r="R54" i="28"/>
  <c r="R8" i="28"/>
  <c r="K5" i="31"/>
  <c r="AF6" i="30" s="1"/>
  <c r="AG6" i="30" s="1"/>
  <c r="AO6" i="30" s="1"/>
  <c r="R75" i="28"/>
  <c r="R63" i="28"/>
  <c r="R66" i="28"/>
  <c r="R45" i="28"/>
  <c r="R24" i="28"/>
  <c r="R17" i="28"/>
  <c r="R76" i="28"/>
  <c r="R48" i="28"/>
  <c r="R46" i="28"/>
  <c r="R31" i="28"/>
  <c r="R37" i="28"/>
  <c r="R14" i="28"/>
  <c r="R79" i="28"/>
  <c r="R32" i="28"/>
  <c r="R68" i="28"/>
  <c r="R70" i="28"/>
  <c r="R29" i="28"/>
  <c r="R38" i="28"/>
  <c r="R64" i="28"/>
  <c r="R34" i="28"/>
  <c r="R61" i="28"/>
  <c r="R5" i="28"/>
  <c r="R74" i="28"/>
  <c r="R6" i="28"/>
  <c r="R55" i="28"/>
  <c r="R65" i="28"/>
  <c r="R18" i="28"/>
  <c r="R11" i="28"/>
  <c r="R39" i="28"/>
  <c r="R78" i="28"/>
  <c r="R40" i="28"/>
  <c r="AH5" i="30" l="1"/>
  <c r="B5" i="31" s="1"/>
  <c r="D5" i="31" s="1"/>
  <c r="J5" i="31" l="1"/>
  <c r="B6" i="30"/>
  <c r="C6" i="30"/>
  <c r="D6" i="30"/>
  <c r="F5" i="30"/>
  <c r="J6" i="30" s="1"/>
  <c r="E5" i="30"/>
  <c r="I6" i="30" s="1"/>
  <c r="G5" i="30"/>
  <c r="K6" i="30" s="1"/>
  <c r="X6" i="30" l="1"/>
  <c r="AA6" i="30" s="1"/>
  <c r="AD6" i="30" s="1"/>
  <c r="W6" i="30"/>
  <c r="Z6" i="30" s="1"/>
  <c r="Y6" i="30"/>
  <c r="AB6" i="30" s="1"/>
  <c r="AE6" i="30" s="1"/>
  <c r="H5" i="30"/>
  <c r="L6" i="30" s="1"/>
  <c r="M6" i="30"/>
  <c r="T6" i="30"/>
  <c r="Q6" i="30"/>
  <c r="N6" i="30"/>
  <c r="R6" i="30"/>
  <c r="U6" i="30"/>
  <c r="O6" i="30"/>
  <c r="S6" i="30"/>
  <c r="V6" i="30"/>
  <c r="AL6" i="30" l="1"/>
  <c r="AK6" i="30"/>
  <c r="P6" i="30"/>
  <c r="AM6" i="30" s="1"/>
  <c r="AJ6" i="30"/>
  <c r="AI6" i="30"/>
  <c r="C6" i="31" s="1"/>
  <c r="E6" i="31" s="1"/>
  <c r="K6" i="31" s="1"/>
  <c r="G7" i="31"/>
  <c r="AC6" i="30"/>
  <c r="AN6" i="30" l="1"/>
  <c r="H7" i="31"/>
  <c r="I7" i="31" s="1"/>
  <c r="AH6" i="30"/>
  <c r="B6" i="31" s="1"/>
  <c r="D6" i="31" s="1"/>
  <c r="J6" i="31" l="1"/>
  <c r="AF7" i="30"/>
  <c r="AG7" i="30" s="1"/>
  <c r="AO7" i="30" s="1"/>
  <c r="D7" i="30"/>
  <c r="C7" i="30"/>
  <c r="B7" i="30"/>
  <c r="F6" i="30"/>
  <c r="J7" i="30" s="1"/>
  <c r="G6" i="30"/>
  <c r="K7" i="30" s="1"/>
  <c r="E6" i="30"/>
  <c r="I7" i="30" s="1"/>
  <c r="Y7" i="30" l="1"/>
  <c r="AB7" i="30" s="1"/>
  <c r="AE7" i="30" s="1"/>
  <c r="X7" i="30"/>
  <c r="AA7" i="30" s="1"/>
  <c r="AD7" i="30" s="1"/>
  <c r="W7" i="30"/>
  <c r="Z7" i="30" s="1"/>
  <c r="Q7" i="30"/>
  <c r="T7" i="30"/>
  <c r="M7" i="30"/>
  <c r="V7" i="30"/>
  <c r="S7" i="30"/>
  <c r="O7" i="30"/>
  <c r="R7" i="30"/>
  <c r="N7" i="30"/>
  <c r="U7" i="30"/>
  <c r="H6" i="30"/>
  <c r="L7" i="30" s="1"/>
  <c r="P7" i="30" l="1"/>
  <c r="AM7" i="30" s="1"/>
  <c r="AL7" i="30"/>
  <c r="AK7" i="30"/>
  <c r="AJ7" i="30"/>
  <c r="G8" i="31"/>
  <c r="AI7" i="30"/>
  <c r="C7" i="31" s="1"/>
  <c r="E7" i="31" s="1"/>
  <c r="AC7" i="30"/>
  <c r="AN7" i="30" l="1"/>
  <c r="K7" i="31"/>
  <c r="AF8" i="30" s="1"/>
  <c r="AG8" i="30" s="1"/>
  <c r="AO8" i="30" s="1"/>
  <c r="H8" i="31"/>
  <c r="I8" i="31" s="1"/>
  <c r="AH7" i="30"/>
  <c r="B7" i="31" s="1"/>
  <c r="D7" i="31" s="1"/>
  <c r="J7" i="31" l="1"/>
  <c r="C8" i="30"/>
  <c r="D8" i="30"/>
  <c r="B8" i="30"/>
  <c r="E7" i="30"/>
  <c r="I8" i="30" s="1"/>
  <c r="G7" i="30"/>
  <c r="K8" i="30" s="1"/>
  <c r="F7" i="30"/>
  <c r="J8" i="30" s="1"/>
  <c r="Y8" i="30" l="1"/>
  <c r="AB8" i="30" s="1"/>
  <c r="X8" i="30"/>
  <c r="AA8" i="30" s="1"/>
  <c r="AD8" i="30" s="1"/>
  <c r="W8" i="30"/>
  <c r="Z8" i="30" s="1"/>
  <c r="AC8" i="30" s="1"/>
  <c r="V8" i="30"/>
  <c r="S8" i="30"/>
  <c r="O8" i="30"/>
  <c r="U8" i="30"/>
  <c r="R8" i="30"/>
  <c r="N8" i="30"/>
  <c r="T8" i="30"/>
  <c r="Q8" i="30"/>
  <c r="M8" i="30"/>
  <c r="H7" i="30"/>
  <c r="L8" i="30" s="1"/>
  <c r="G9" i="31" l="1"/>
  <c r="H9" i="31" s="1"/>
  <c r="I9" i="31" s="1"/>
  <c r="AE8" i="30"/>
  <c r="P8" i="30"/>
  <c r="AI8" i="30"/>
  <c r="C8" i="31" s="1"/>
  <c r="E8" i="31" s="1"/>
  <c r="AJ8" i="30"/>
  <c r="AK8" i="30"/>
  <c r="AL8" i="30"/>
  <c r="AN8" i="30" l="1"/>
  <c r="K8" i="31"/>
  <c r="AF9" i="30" s="1"/>
  <c r="AG9" i="30" s="1"/>
  <c r="AO9" i="30" s="1"/>
  <c r="AM8" i="30"/>
  <c r="AH8" i="30"/>
  <c r="B8" i="31" s="1"/>
  <c r="D8" i="31" s="1"/>
  <c r="F8" i="30" s="1"/>
  <c r="J9" i="30" l="1"/>
  <c r="U9" i="30" s="1"/>
  <c r="J8" i="31"/>
  <c r="H8" i="30" s="1"/>
  <c r="L9" i="30" s="1"/>
  <c r="C9" i="30"/>
  <c r="D9" i="30"/>
  <c r="B9" i="30"/>
  <c r="G8" i="30"/>
  <c r="K9" i="30" s="1"/>
  <c r="E8" i="30"/>
  <c r="I9" i="30" s="1"/>
  <c r="N9" i="30" l="1"/>
  <c r="R9" i="30"/>
  <c r="W9" i="30"/>
  <c r="Z9" i="30" s="1"/>
  <c r="AC9" i="30" s="1"/>
  <c r="X9" i="30"/>
  <c r="AA9" i="30" s="1"/>
  <c r="AD9" i="30" s="1"/>
  <c r="Y9" i="30"/>
  <c r="AB9" i="30" s="1"/>
  <c r="S9" i="30"/>
  <c r="P9" i="30"/>
  <c r="AM9" i="30" s="1"/>
  <c r="M9" i="30"/>
  <c r="Q9" i="30"/>
  <c r="T9" i="30"/>
  <c r="V9" i="30"/>
  <c r="O9" i="30"/>
  <c r="AK9" i="30" l="1"/>
  <c r="AE9" i="30"/>
  <c r="AH9" i="30" s="1"/>
  <c r="B9" i="31" s="1"/>
  <c r="D9" i="31" s="1"/>
  <c r="J9" i="31" s="1"/>
  <c r="W10" i="30" s="1"/>
  <c r="G10" i="31"/>
  <c r="H10" i="31" s="1"/>
  <c r="I10" i="31" s="1"/>
  <c r="AJ9" i="30"/>
  <c r="AI9" i="30"/>
  <c r="C9" i="31" s="1"/>
  <c r="E9" i="31" s="1"/>
  <c r="K9" i="31" s="1"/>
  <c r="AL9" i="30"/>
  <c r="X10" i="30" l="1"/>
  <c r="AA10" i="30" s="1"/>
  <c r="AD10" i="30" s="1"/>
  <c r="Y10" i="30"/>
  <c r="AB10" i="30" s="1"/>
  <c r="AN9" i="30"/>
  <c r="AF10" i="30"/>
  <c r="AG10" i="30" s="1"/>
  <c r="AO10" i="30" s="1"/>
  <c r="E9" i="30"/>
  <c r="I10" i="30" s="1"/>
  <c r="C10" i="30"/>
  <c r="B10" i="30"/>
  <c r="G9" i="30"/>
  <c r="K10" i="30" s="1"/>
  <c r="F9" i="30"/>
  <c r="J10" i="30" s="1"/>
  <c r="D10" i="30"/>
  <c r="AE10" i="30" l="1"/>
  <c r="Q10" i="30"/>
  <c r="T10" i="30"/>
  <c r="M10" i="30"/>
  <c r="U10" i="30"/>
  <c r="N10" i="30"/>
  <c r="R10" i="30"/>
  <c r="S10" i="30"/>
  <c r="V10" i="30"/>
  <c r="O10" i="30"/>
  <c r="Z10" i="30"/>
  <c r="AC10" i="30" s="1"/>
  <c r="H9" i="30"/>
  <c r="L10" i="30" s="1"/>
  <c r="AK10" i="30" l="1"/>
  <c r="AN10" i="30"/>
  <c r="G11" i="31"/>
  <c r="H11" i="31" s="1"/>
  <c r="I11" i="31" s="1"/>
  <c r="P10" i="30"/>
  <c r="AL10" i="30"/>
  <c r="AI10" i="30"/>
  <c r="C10" i="31" s="1"/>
  <c r="E10" i="31" s="1"/>
  <c r="K10" i="31" s="1"/>
  <c r="AJ10" i="30"/>
  <c r="AM10" i="30" l="1"/>
  <c r="AH10" i="30"/>
  <c r="B10" i="31" s="1"/>
  <c r="D10" i="31" s="1"/>
  <c r="J10" i="31" s="1"/>
  <c r="AF11" i="30"/>
  <c r="AG11" i="30" s="1"/>
  <c r="AO11" i="30" s="1"/>
  <c r="X11" i="30" l="1"/>
  <c r="AA11" i="30" s="1"/>
  <c r="AD11" i="30" s="1"/>
  <c r="W11" i="30"/>
  <c r="Y11" i="30"/>
  <c r="AB11" i="30" s="1"/>
  <c r="F10" i="30"/>
  <c r="J11" i="30" s="1"/>
  <c r="E10" i="30"/>
  <c r="I11" i="30" s="1"/>
  <c r="G10" i="30"/>
  <c r="K11" i="30" s="1"/>
  <c r="D11" i="30"/>
  <c r="C11" i="30"/>
  <c r="B11" i="30"/>
  <c r="AE11" i="30" l="1"/>
  <c r="N11" i="30"/>
  <c r="R11" i="30"/>
  <c r="U11" i="30"/>
  <c r="O11" i="30"/>
  <c r="V11" i="30"/>
  <c r="S11" i="30"/>
  <c r="Q11" i="30"/>
  <c r="M11" i="30"/>
  <c r="T11" i="30"/>
  <c r="Z11" i="30"/>
  <c r="AC11" i="30" s="1"/>
  <c r="H10" i="30"/>
  <c r="L11" i="30" s="1"/>
  <c r="G12" i="31" l="1"/>
  <c r="H12" i="31" s="1"/>
  <c r="I12" i="31" s="1"/>
  <c r="AK11" i="30"/>
  <c r="AL11" i="30"/>
  <c r="AN11" i="30"/>
  <c r="P11" i="30"/>
  <c r="AJ11" i="30"/>
  <c r="AI11" i="30"/>
  <c r="C11" i="31" s="1"/>
  <c r="E11" i="31" s="1"/>
  <c r="K11" i="31" s="1"/>
  <c r="AM11" i="30" l="1"/>
  <c r="AH11" i="30"/>
  <c r="B11" i="31" s="1"/>
  <c r="D11" i="31" s="1"/>
  <c r="J11" i="31" s="1"/>
  <c r="AF12" i="30"/>
  <c r="AG12" i="30" s="1"/>
  <c r="AO12" i="30" s="1"/>
  <c r="X12" i="30" l="1"/>
  <c r="AA12" i="30" s="1"/>
  <c r="AD12" i="30" s="1"/>
  <c r="W12" i="30"/>
  <c r="Y12" i="30"/>
  <c r="AB12" i="30" s="1"/>
  <c r="C12" i="30"/>
  <c r="E11" i="30"/>
  <c r="I12" i="30" s="1"/>
  <c r="D12" i="30"/>
  <c r="B12" i="30"/>
  <c r="F11" i="30"/>
  <c r="J12" i="30" s="1"/>
  <c r="G11" i="30"/>
  <c r="K12" i="30" s="1"/>
  <c r="AE12" i="30" l="1"/>
  <c r="V12" i="30"/>
  <c r="S12" i="30"/>
  <c r="O12" i="30"/>
  <c r="R12" i="30"/>
  <c r="N12" i="30"/>
  <c r="U12" i="30"/>
  <c r="T12" i="30"/>
  <c r="G13" i="31" s="1"/>
  <c r="Q12" i="30"/>
  <c r="M12" i="30"/>
  <c r="Z12" i="30"/>
  <c r="H11" i="30"/>
  <c r="L12" i="30" s="1"/>
  <c r="H13" i="31" l="1"/>
  <c r="I13" i="31" s="1"/>
  <c r="AL12" i="30"/>
  <c r="AI12" i="30"/>
  <c r="C12" i="31" s="1"/>
  <c r="E12" i="31" s="1"/>
  <c r="K12" i="31" s="1"/>
  <c r="AJ12" i="30"/>
  <c r="AK12" i="30"/>
  <c r="P12" i="30"/>
  <c r="AC12" i="30"/>
  <c r="AN12" i="30" l="1"/>
  <c r="AM12" i="30"/>
  <c r="AH12" i="30"/>
  <c r="B12" i="31" s="1"/>
  <c r="D12" i="31" s="1"/>
  <c r="J12" i="31" s="1"/>
  <c r="AF13" i="30"/>
  <c r="AG13" i="30" s="1"/>
  <c r="X13" i="30" l="1"/>
  <c r="AA13" i="30" s="1"/>
  <c r="AD13" i="30" s="1"/>
  <c r="Y13" i="30"/>
  <c r="AB13" i="30" s="1"/>
  <c r="W13" i="30"/>
  <c r="C13" i="30"/>
  <c r="B13" i="30"/>
  <c r="G12" i="30"/>
  <c r="K13" i="30" s="1"/>
  <c r="F12" i="30"/>
  <c r="J13" i="30" s="1"/>
  <c r="D13" i="30"/>
  <c r="E12" i="30"/>
  <c r="I13" i="30" s="1"/>
  <c r="AO13" i="30"/>
  <c r="AE13" i="30" l="1"/>
  <c r="T13" i="30"/>
  <c r="M13" i="30"/>
  <c r="Q13" i="30"/>
  <c r="Z13" i="30"/>
  <c r="AC13" i="30" s="1"/>
  <c r="H12" i="30"/>
  <c r="L13" i="30" s="1"/>
  <c r="AJ13" i="30" l="1"/>
  <c r="R13" i="30"/>
  <c r="N13" i="30"/>
  <c r="AN13" i="30"/>
  <c r="O13" i="30"/>
  <c r="S13" i="30"/>
  <c r="V13" i="30"/>
  <c r="P13" i="30"/>
  <c r="AM13" i="30" s="1"/>
  <c r="U13" i="30"/>
  <c r="G14" i="31" s="1"/>
  <c r="AL13" i="30" l="1"/>
  <c r="AK13" i="30"/>
  <c r="H14" i="31"/>
  <c r="I14" i="31" s="1"/>
  <c r="AI13" i="30"/>
  <c r="C13" i="31" s="1"/>
  <c r="E13" i="31" s="1"/>
  <c r="K13" i="31" s="1"/>
  <c r="AH13" i="30"/>
  <c r="B13" i="31" s="1"/>
  <c r="D13" i="31" s="1"/>
  <c r="J13" i="31" s="1"/>
  <c r="X14" i="30" l="1"/>
  <c r="AA14" i="30" s="1"/>
  <c r="AD14" i="30" s="1"/>
  <c r="W14" i="30"/>
  <c r="Y14" i="30"/>
  <c r="AB14" i="30" s="1"/>
  <c r="F13" i="30"/>
  <c r="J14" i="30" s="1"/>
  <c r="D14" i="30"/>
  <c r="G13" i="30"/>
  <c r="K14" i="30" s="1"/>
  <c r="C14" i="30"/>
  <c r="B14" i="30"/>
  <c r="E13" i="30"/>
  <c r="I14" i="30" s="1"/>
  <c r="AF14" i="30"/>
  <c r="AG14" i="30" s="1"/>
  <c r="AE14" i="30" l="1"/>
  <c r="AO14" i="30"/>
  <c r="M14" i="30"/>
  <c r="H13" i="30"/>
  <c r="L14" i="30" s="1"/>
  <c r="Z14" i="30"/>
  <c r="N14" i="30" l="1"/>
  <c r="U14" i="30"/>
  <c r="V14" i="30"/>
  <c r="S14" i="30"/>
  <c r="Q14" i="30"/>
  <c r="T14" i="30"/>
  <c r="G15" i="31" s="1"/>
  <c r="J41" i="25" s="1"/>
  <c r="R14" i="30"/>
  <c r="AC14" i="30"/>
  <c r="P14" i="30"/>
  <c r="AM14" i="30" s="1"/>
  <c r="O14" i="30"/>
  <c r="AN14" i="30" l="1"/>
  <c r="AJ14" i="30"/>
  <c r="AI14" i="30"/>
  <c r="C14" i="31" s="1"/>
  <c r="E14" i="31" s="1"/>
  <c r="K14" i="31" s="1"/>
  <c r="AK14" i="30"/>
  <c r="H15" i="31"/>
  <c r="I15" i="31" s="1"/>
  <c r="AL14" i="30"/>
  <c r="AH14" i="30"/>
  <c r="B14" i="31" s="1"/>
  <c r="D14" i="31" s="1"/>
  <c r="J14" i="31" s="1"/>
  <c r="X15" i="30" l="1"/>
  <c r="Y15" i="30"/>
  <c r="AB15" i="30" s="1"/>
  <c r="W15" i="30"/>
  <c r="E14" i="30"/>
  <c r="I15" i="30" s="1"/>
  <c r="C15" i="30"/>
  <c r="D15" i="30"/>
  <c r="G14" i="30"/>
  <c r="K15" i="30" s="1"/>
  <c r="B15" i="30"/>
  <c r="F14" i="30"/>
  <c r="J15" i="30" s="1"/>
  <c r="AA15" i="30"/>
  <c r="AF15" i="30"/>
  <c r="AG15" i="30" s="1"/>
  <c r="AE15" i="30" l="1"/>
  <c r="AD15" i="30"/>
  <c r="V15" i="30"/>
  <c r="S15" i="30"/>
  <c r="O15" i="30"/>
  <c r="T15" i="30"/>
  <c r="Q15" i="30"/>
  <c r="M15" i="30"/>
  <c r="AO15" i="30"/>
  <c r="U15" i="30"/>
  <c r="N15" i="30"/>
  <c r="R15" i="30"/>
  <c r="H14" i="30"/>
  <c r="L15" i="30" s="1"/>
  <c r="Z15" i="30"/>
  <c r="AI15" i="30" l="1"/>
  <c r="C15" i="31" s="1"/>
  <c r="E15" i="31" s="1"/>
  <c r="AK15" i="30"/>
  <c r="G16" i="31"/>
  <c r="H16" i="31" s="1"/>
  <c r="I16" i="31" s="1"/>
  <c r="AL15" i="30"/>
  <c r="AJ15" i="30"/>
  <c r="P15" i="30"/>
  <c r="AC15" i="30"/>
  <c r="AN15" i="30" l="1"/>
  <c r="K15" i="31"/>
  <c r="AF16" i="30" s="1"/>
  <c r="AG16" i="30" s="1"/>
  <c r="AO16" i="30" s="1"/>
  <c r="AM15" i="30"/>
  <c r="AH15" i="30"/>
  <c r="B15" i="31" s="1"/>
  <c r="D15" i="31" s="1"/>
  <c r="J15" i="31" s="1"/>
  <c r="X16" i="30" l="1"/>
  <c r="AA16" i="30" s="1"/>
  <c r="AD16" i="30" s="1"/>
  <c r="Y16" i="30"/>
  <c r="AB16" i="30" s="1"/>
  <c r="W16" i="30"/>
  <c r="E15" i="30"/>
  <c r="I16" i="30" s="1"/>
  <c r="D16" i="30"/>
  <c r="B16" i="30"/>
  <c r="C16" i="30"/>
  <c r="F15" i="30"/>
  <c r="J16" i="30" s="1"/>
  <c r="G15" i="30"/>
  <c r="K16" i="30" s="1"/>
  <c r="AE16" i="30" l="1"/>
  <c r="S16" i="30"/>
  <c r="O16" i="30"/>
  <c r="V16" i="30"/>
  <c r="T16" i="30"/>
  <c r="Q16" i="30"/>
  <c r="M16" i="30"/>
  <c r="N16" i="30"/>
  <c r="R16" i="30"/>
  <c r="U16" i="30"/>
  <c r="Z16" i="30"/>
  <c r="H15" i="30"/>
  <c r="L16" i="30" s="1"/>
  <c r="AK16" i="30" l="1"/>
  <c r="AJ16" i="30"/>
  <c r="AI16" i="30"/>
  <c r="C16" i="31" s="1"/>
  <c r="E16" i="31" s="1"/>
  <c r="K16" i="31" s="1"/>
  <c r="P16" i="30"/>
  <c r="G17" i="31"/>
  <c r="AC16" i="30"/>
  <c r="AL16" i="30"/>
  <c r="AN16" i="30" l="1"/>
  <c r="AM16" i="30"/>
  <c r="AH16" i="30"/>
  <c r="B16" i="31" s="1"/>
  <c r="D16" i="31" s="1"/>
  <c r="J16" i="31" s="1"/>
  <c r="AF17" i="30"/>
  <c r="AG17" i="30" s="1"/>
  <c r="H17" i="31"/>
  <c r="I17" i="31" s="1"/>
  <c r="X17" i="30" l="1"/>
  <c r="AA17" i="30" s="1"/>
  <c r="AD17" i="30" s="1"/>
  <c r="Y17" i="30"/>
  <c r="AB17" i="30" s="1"/>
  <c r="W17" i="30"/>
  <c r="AO17" i="30"/>
  <c r="G16" i="30"/>
  <c r="K17" i="30" s="1"/>
  <c r="D17" i="30"/>
  <c r="E16" i="30"/>
  <c r="I17" i="30" s="1"/>
  <c r="C17" i="30"/>
  <c r="B17" i="30"/>
  <c r="F16" i="30"/>
  <c r="J17" i="30" s="1"/>
  <c r="AE17" i="30" l="1"/>
  <c r="V17" i="30"/>
  <c r="O17" i="30"/>
  <c r="S17" i="30"/>
  <c r="R17" i="30"/>
  <c r="N17" i="30"/>
  <c r="U17" i="30"/>
  <c r="M17" i="30"/>
  <c r="T17" i="30"/>
  <c r="Q17" i="30"/>
  <c r="Z17" i="30"/>
  <c r="H16" i="30"/>
  <c r="L17" i="30" s="1"/>
  <c r="G18" i="31" l="1"/>
  <c r="H18" i="31" s="1"/>
  <c r="I18" i="31" s="1"/>
  <c r="AK17" i="30"/>
  <c r="P17" i="30"/>
  <c r="AJ17" i="30"/>
  <c r="AI17" i="30"/>
  <c r="C17" i="31" s="1"/>
  <c r="E17" i="31" s="1"/>
  <c r="K17" i="31" s="1"/>
  <c r="AL17" i="30"/>
  <c r="AC17" i="30"/>
  <c r="AN17" i="30" l="1"/>
  <c r="AM17" i="30"/>
  <c r="AH17" i="30"/>
  <c r="B17" i="31" s="1"/>
  <c r="D17" i="31" s="1"/>
  <c r="J17" i="31" s="1"/>
  <c r="AF18" i="30"/>
  <c r="AG18" i="30" s="1"/>
  <c r="X18" i="30" l="1"/>
  <c r="AA18" i="30" s="1"/>
  <c r="AD18" i="30" s="1"/>
  <c r="Y18" i="30"/>
  <c r="AB18" i="30" s="1"/>
  <c r="W18" i="30"/>
  <c r="F17" i="30"/>
  <c r="J18" i="30" s="1"/>
  <c r="D18" i="30"/>
  <c r="E17" i="30"/>
  <c r="I18" i="30" s="1"/>
  <c r="C18" i="30"/>
  <c r="G17" i="30"/>
  <c r="K18" i="30" s="1"/>
  <c r="B18" i="30"/>
  <c r="AO18" i="30"/>
  <c r="AE18" i="30" l="1"/>
  <c r="Q18" i="30"/>
  <c r="M18" i="30"/>
  <c r="T18" i="30"/>
  <c r="N18" i="30"/>
  <c r="R18" i="30"/>
  <c r="U18" i="30"/>
  <c r="S18" i="30"/>
  <c r="O18" i="30"/>
  <c r="V18" i="30"/>
  <c r="Z18" i="30"/>
  <c r="H17" i="30"/>
  <c r="L18" i="30" s="1"/>
  <c r="AK18" i="30" l="1"/>
  <c r="G19" i="31"/>
  <c r="P18" i="30"/>
  <c r="AL18" i="30"/>
  <c r="AJ18" i="30"/>
  <c r="AI18" i="30"/>
  <c r="C18" i="31" s="1"/>
  <c r="E18" i="31" s="1"/>
  <c r="K18" i="31" s="1"/>
  <c r="AC18" i="30"/>
  <c r="AN18" i="30" l="1"/>
  <c r="AM18" i="30"/>
  <c r="AH18" i="30"/>
  <c r="B18" i="31" s="1"/>
  <c r="D18" i="31" s="1"/>
  <c r="J18" i="31" s="1"/>
  <c r="AF19" i="30"/>
  <c r="AG19" i="30" s="1"/>
  <c r="H19" i="31"/>
  <c r="I19" i="31" s="1"/>
  <c r="X19" i="30" l="1"/>
  <c r="AA19" i="30" s="1"/>
  <c r="AD19" i="30" s="1"/>
  <c r="Y19" i="30"/>
  <c r="AB19" i="30" s="1"/>
  <c r="W19" i="30"/>
  <c r="AO19" i="30"/>
  <c r="B19" i="30"/>
  <c r="G18" i="30"/>
  <c r="K19" i="30" s="1"/>
  <c r="C19" i="30"/>
  <c r="F18" i="30"/>
  <c r="J19" i="30" s="1"/>
  <c r="E18" i="30"/>
  <c r="I19" i="30" s="1"/>
  <c r="D19" i="30"/>
  <c r="AE19" i="30" l="1"/>
  <c r="M19" i="30"/>
  <c r="Q19" i="30"/>
  <c r="T19" i="30"/>
  <c r="S19" i="30"/>
  <c r="O19" i="30"/>
  <c r="V19" i="30"/>
  <c r="N19" i="30"/>
  <c r="R19" i="30"/>
  <c r="U19" i="30"/>
  <c r="Z19" i="30"/>
  <c r="H18" i="30"/>
  <c r="L19" i="30" s="1"/>
  <c r="AL19" i="30" l="1"/>
  <c r="AJ19" i="30"/>
  <c r="AI19" i="30"/>
  <c r="C19" i="31" s="1"/>
  <c r="E19" i="31" s="1"/>
  <c r="K19" i="31" s="1"/>
  <c r="AK19" i="30"/>
  <c r="G20" i="31"/>
  <c r="P19" i="30"/>
  <c r="AC19" i="30"/>
  <c r="AN19" i="30" l="1"/>
  <c r="AM19" i="30"/>
  <c r="AH19" i="30"/>
  <c r="B19" i="31" s="1"/>
  <c r="D19" i="31" s="1"/>
  <c r="J19" i="31" s="1"/>
  <c r="H20" i="31"/>
  <c r="I20" i="31" s="1"/>
  <c r="AF20" i="30"/>
  <c r="AG20" i="30" s="1"/>
  <c r="X20" i="30" l="1"/>
  <c r="AA20" i="30" s="1"/>
  <c r="AD20" i="30" s="1"/>
  <c r="Y20" i="30"/>
  <c r="AB20" i="30" s="1"/>
  <c r="W20" i="30"/>
  <c r="G19" i="30"/>
  <c r="K20" i="30" s="1"/>
  <c r="C20" i="30"/>
  <c r="E19" i="30"/>
  <c r="I20" i="30" s="1"/>
  <c r="B20" i="30"/>
  <c r="D20" i="30"/>
  <c r="F19" i="30"/>
  <c r="J20" i="30" s="1"/>
  <c r="AO20" i="30"/>
  <c r="AE20" i="30" l="1"/>
  <c r="T20" i="30"/>
  <c r="M20" i="30"/>
  <c r="Q20" i="30"/>
  <c r="O20" i="30"/>
  <c r="S20" i="30"/>
  <c r="V20" i="30"/>
  <c r="N20" i="30"/>
  <c r="R20" i="30"/>
  <c r="U20" i="30"/>
  <c r="Z20" i="30"/>
  <c r="H19" i="30"/>
  <c r="L20" i="30" s="1"/>
  <c r="AL20" i="30" l="1"/>
  <c r="AK20" i="30"/>
  <c r="P20" i="30"/>
  <c r="AJ20" i="30"/>
  <c r="AI20" i="30"/>
  <c r="C20" i="31" s="1"/>
  <c r="E20" i="31" s="1"/>
  <c r="K20" i="31" s="1"/>
  <c r="AC20" i="30"/>
  <c r="G21" i="31"/>
  <c r="H21" i="31" s="1"/>
  <c r="I21" i="31" s="1"/>
  <c r="AN20" i="30" l="1"/>
  <c r="AM20" i="30"/>
  <c r="AH20" i="30"/>
  <c r="B20" i="31" s="1"/>
  <c r="D20" i="31" s="1"/>
  <c r="J20" i="31" s="1"/>
  <c r="AF21" i="30"/>
  <c r="AG21" i="30" s="1"/>
  <c r="X21" i="30" l="1"/>
  <c r="AA21" i="30" s="1"/>
  <c r="AD21" i="30" s="1"/>
  <c r="Y21" i="30"/>
  <c r="AB21" i="30" s="1"/>
  <c r="W21" i="30"/>
  <c r="F20" i="30"/>
  <c r="J21" i="30" s="1"/>
  <c r="G20" i="30"/>
  <c r="K21" i="30" s="1"/>
  <c r="D21" i="30"/>
  <c r="B21" i="30"/>
  <c r="C21" i="30"/>
  <c r="E20" i="30"/>
  <c r="I21" i="30" s="1"/>
  <c r="AO21" i="30"/>
  <c r="AE21" i="30" l="1"/>
  <c r="T21" i="30"/>
  <c r="Q21" i="30"/>
  <c r="M21" i="30"/>
  <c r="N21" i="30"/>
  <c r="R21" i="30"/>
  <c r="U21" i="30"/>
  <c r="S21" i="30"/>
  <c r="V21" i="30"/>
  <c r="O21" i="30"/>
  <c r="Z21" i="30"/>
  <c r="H20" i="30"/>
  <c r="L21" i="30" s="1"/>
  <c r="AL21" i="30" l="1"/>
  <c r="AJ21" i="30"/>
  <c r="AI21" i="30"/>
  <c r="C21" i="31" s="1"/>
  <c r="E21" i="31" s="1"/>
  <c r="K21" i="31" s="1"/>
  <c r="P21" i="30"/>
  <c r="AK21" i="30"/>
  <c r="G22" i="31"/>
  <c r="AC21" i="30"/>
  <c r="H22" i="31" l="1"/>
  <c r="I22" i="31" s="1"/>
  <c r="AN21" i="30"/>
  <c r="AM21" i="30"/>
  <c r="AH21" i="30"/>
  <c r="B21" i="31" s="1"/>
  <c r="D21" i="31" s="1"/>
  <c r="J21" i="31" s="1"/>
  <c r="AF22" i="30"/>
  <c r="AG22" i="30" s="1"/>
  <c r="X22" i="30" l="1"/>
  <c r="AA22" i="30" s="1"/>
  <c r="AD22" i="30" s="1"/>
  <c r="Y22" i="30"/>
  <c r="AB22" i="30" s="1"/>
  <c r="W22" i="30"/>
  <c r="E21" i="30"/>
  <c r="I22" i="30" s="1"/>
  <c r="D22" i="30"/>
  <c r="B22" i="30"/>
  <c r="G21" i="30"/>
  <c r="K22" i="30" s="1"/>
  <c r="F21" i="30"/>
  <c r="J22" i="30" s="1"/>
  <c r="C22" i="30"/>
  <c r="AO22" i="30"/>
  <c r="AE22" i="30" l="1"/>
  <c r="V22" i="30"/>
  <c r="S22" i="30"/>
  <c r="O22" i="30"/>
  <c r="T22" i="30"/>
  <c r="Q22" i="30"/>
  <c r="M22" i="30"/>
  <c r="N22" i="30"/>
  <c r="R22" i="30"/>
  <c r="U22" i="30"/>
  <c r="Z22" i="30"/>
  <c r="H21" i="30"/>
  <c r="L22" i="30" s="1"/>
  <c r="AK22" i="30" l="1"/>
  <c r="AI22" i="30"/>
  <c r="C22" i="31" s="1"/>
  <c r="E22" i="31" s="1"/>
  <c r="K22" i="31" s="1"/>
  <c r="AJ22" i="30"/>
  <c r="AL22" i="30"/>
  <c r="G23" i="31"/>
  <c r="P22" i="30"/>
  <c r="AC22" i="30"/>
  <c r="AN22" i="30" l="1"/>
  <c r="AM22" i="30"/>
  <c r="AH22" i="30"/>
  <c r="B22" i="31" s="1"/>
  <c r="D22" i="31" s="1"/>
  <c r="J22" i="31" s="1"/>
  <c r="AF23" i="30"/>
  <c r="AG23" i="30" s="1"/>
  <c r="H23" i="31"/>
  <c r="I23" i="31" s="1"/>
  <c r="X23" i="30" l="1"/>
  <c r="AA23" i="30" s="1"/>
  <c r="AD23" i="30" s="1"/>
  <c r="Y23" i="30"/>
  <c r="AB23" i="30" s="1"/>
  <c r="W23" i="30"/>
  <c r="D23" i="30"/>
  <c r="G22" i="30"/>
  <c r="K23" i="30" s="1"/>
  <c r="B23" i="30"/>
  <c r="E22" i="30"/>
  <c r="I23" i="30" s="1"/>
  <c r="F22" i="30"/>
  <c r="J23" i="30" s="1"/>
  <c r="C23" i="30"/>
  <c r="AO23" i="30"/>
  <c r="AE23" i="30" l="1"/>
  <c r="Q23" i="30"/>
  <c r="M23" i="30"/>
  <c r="T23" i="30"/>
  <c r="N23" i="30"/>
  <c r="U23" i="30"/>
  <c r="R23" i="30"/>
  <c r="S23" i="30"/>
  <c r="V23" i="30"/>
  <c r="O23" i="30"/>
  <c r="Z23" i="30"/>
  <c r="H22" i="30"/>
  <c r="L23" i="30" s="1"/>
  <c r="AL23" i="30" l="1"/>
  <c r="AK23" i="30"/>
  <c r="P23" i="30"/>
  <c r="G24" i="31"/>
  <c r="AC23" i="30"/>
  <c r="AJ23" i="30"/>
  <c r="AI23" i="30"/>
  <c r="C23" i="31" s="1"/>
  <c r="E23" i="31" s="1"/>
  <c r="K23" i="31" s="1"/>
  <c r="AN23" i="30" l="1"/>
  <c r="AM23" i="30"/>
  <c r="AH23" i="30"/>
  <c r="B23" i="31" s="1"/>
  <c r="D23" i="31" s="1"/>
  <c r="J23" i="31" s="1"/>
  <c r="AF24" i="30"/>
  <c r="AG24" i="30" s="1"/>
  <c r="H24" i="31"/>
  <c r="I24" i="31" s="1"/>
  <c r="X24" i="30" l="1"/>
  <c r="AA24" i="30" s="1"/>
  <c r="AD24" i="30" s="1"/>
  <c r="Y24" i="30"/>
  <c r="AB24" i="30" s="1"/>
  <c r="W24" i="30"/>
  <c r="AO24" i="30"/>
  <c r="G23" i="30"/>
  <c r="K24" i="30" s="1"/>
  <c r="B24" i="30"/>
  <c r="D24" i="30"/>
  <c r="F23" i="30"/>
  <c r="J24" i="30" s="1"/>
  <c r="C24" i="30"/>
  <c r="E23" i="30"/>
  <c r="I24" i="30" s="1"/>
  <c r="AE24" i="30" l="1"/>
  <c r="O24" i="30"/>
  <c r="V24" i="30"/>
  <c r="S24" i="30"/>
  <c r="M24" i="30"/>
  <c r="Q24" i="30"/>
  <c r="T24" i="30"/>
  <c r="R24" i="30"/>
  <c r="U24" i="30"/>
  <c r="N24" i="30"/>
  <c r="Z24" i="30"/>
  <c r="H23" i="30"/>
  <c r="L24" i="30" s="1"/>
  <c r="AL24" i="30" l="1"/>
  <c r="AK24" i="30"/>
  <c r="G25" i="31"/>
  <c r="J42" i="25" s="1"/>
  <c r="AI24" i="30"/>
  <c r="C24" i="31" s="1"/>
  <c r="E24" i="31" s="1"/>
  <c r="K24" i="31" s="1"/>
  <c r="AJ24" i="30"/>
  <c r="P24" i="30"/>
  <c r="AC24" i="30"/>
  <c r="H25" i="31" l="1"/>
  <c r="I25" i="31" s="1"/>
  <c r="AN24" i="30"/>
  <c r="AM24" i="30"/>
  <c r="AH24" i="30"/>
  <c r="B24" i="31" s="1"/>
  <c r="D24" i="31" s="1"/>
  <c r="J24" i="31" s="1"/>
  <c r="AF25" i="30"/>
  <c r="AG25" i="30" s="1"/>
  <c r="X25" i="30" l="1"/>
  <c r="AA25" i="30" s="1"/>
  <c r="AD25" i="30" s="1"/>
  <c r="Y25" i="30"/>
  <c r="AB25" i="30" s="1"/>
  <c r="W25" i="30"/>
  <c r="AO25" i="30"/>
  <c r="D25" i="30"/>
  <c r="G24" i="30"/>
  <c r="K25" i="30" s="1"/>
  <c r="B25" i="30"/>
  <c r="E24" i="30"/>
  <c r="I25" i="30" s="1"/>
  <c r="C25" i="30"/>
  <c r="F24" i="30"/>
  <c r="J25" i="30" s="1"/>
  <c r="AE25" i="30" l="1"/>
  <c r="Q25" i="30"/>
  <c r="T25" i="30"/>
  <c r="M25" i="30"/>
  <c r="R25" i="30"/>
  <c r="N25" i="30"/>
  <c r="U25" i="30"/>
  <c r="O25" i="30"/>
  <c r="S25" i="30"/>
  <c r="V25" i="30"/>
  <c r="Z25" i="30"/>
  <c r="H24" i="30"/>
  <c r="L25" i="30" s="1"/>
  <c r="AL25" i="30" l="1"/>
  <c r="AK25" i="30"/>
  <c r="G26" i="31"/>
  <c r="P25" i="30"/>
  <c r="AC25" i="30"/>
  <c r="AJ25" i="30"/>
  <c r="AI25" i="30"/>
  <c r="C25" i="31" s="1"/>
  <c r="E25" i="31" s="1"/>
  <c r="K25" i="31" s="1"/>
  <c r="AN25" i="30" l="1"/>
  <c r="AM25" i="30"/>
  <c r="AH25" i="30"/>
  <c r="B25" i="31" s="1"/>
  <c r="D25" i="31" s="1"/>
  <c r="J25" i="31" s="1"/>
  <c r="H26" i="31"/>
  <c r="I26" i="31" s="1"/>
  <c r="AF26" i="30"/>
  <c r="AG26" i="30" s="1"/>
  <c r="X26" i="30" l="1"/>
  <c r="AA26" i="30" s="1"/>
  <c r="AD26" i="30" s="1"/>
  <c r="Y26" i="30"/>
  <c r="AB26" i="30" s="1"/>
  <c r="W26" i="30"/>
  <c r="AO26" i="30"/>
  <c r="G25" i="30"/>
  <c r="K26" i="30" s="1"/>
  <c r="E25" i="30"/>
  <c r="I26" i="30" s="1"/>
  <c r="B26" i="30"/>
  <c r="C26" i="30"/>
  <c r="F25" i="30"/>
  <c r="J26" i="30" s="1"/>
  <c r="D26" i="30"/>
  <c r="AE26" i="30" l="1"/>
  <c r="V26" i="30"/>
  <c r="O26" i="30"/>
  <c r="S26" i="30"/>
  <c r="U26" i="30"/>
  <c r="N26" i="30"/>
  <c r="R26" i="30"/>
  <c r="Q26" i="30"/>
  <c r="M26" i="30"/>
  <c r="T26" i="30"/>
  <c r="Z26" i="30"/>
  <c r="H25" i="30"/>
  <c r="L26" i="30" s="1"/>
  <c r="AK26" i="30" l="1"/>
  <c r="AL26" i="30"/>
  <c r="AJ26" i="30"/>
  <c r="AI26" i="30"/>
  <c r="C26" i="31" s="1"/>
  <c r="E26" i="31" s="1"/>
  <c r="K26" i="31" s="1"/>
  <c r="AC26" i="30"/>
  <c r="P26" i="30"/>
  <c r="G27" i="31"/>
  <c r="AN26" i="30" l="1"/>
  <c r="AM26" i="30"/>
  <c r="AH26" i="30"/>
  <c r="B26" i="31" s="1"/>
  <c r="D26" i="31" s="1"/>
  <c r="J26" i="31" s="1"/>
  <c r="H27" i="31"/>
  <c r="I27" i="31" s="1"/>
  <c r="AF27" i="30"/>
  <c r="AG27" i="30" s="1"/>
  <c r="X27" i="30" l="1"/>
  <c r="AA27" i="30" s="1"/>
  <c r="AD27" i="30" s="1"/>
  <c r="Y27" i="30"/>
  <c r="AB27" i="30" s="1"/>
  <c r="W27" i="30"/>
  <c r="AO27" i="30"/>
  <c r="E26" i="30"/>
  <c r="I27" i="30" s="1"/>
  <c r="G26" i="30"/>
  <c r="K27" i="30" s="1"/>
  <c r="C27" i="30"/>
  <c r="B27" i="30"/>
  <c r="D27" i="30"/>
  <c r="F26" i="30"/>
  <c r="J27" i="30" s="1"/>
  <c r="AE27" i="30" l="1"/>
  <c r="Z27" i="30"/>
  <c r="H26" i="30"/>
  <c r="L27" i="30" s="1"/>
  <c r="Q27" i="30"/>
  <c r="N27" i="30"/>
  <c r="U27" i="30"/>
  <c r="R27" i="30"/>
  <c r="V27" i="30"/>
  <c r="M27" i="30" l="1"/>
  <c r="AJ27" i="30" s="1"/>
  <c r="AK27" i="30"/>
  <c r="T27" i="30"/>
  <c r="G28" i="31" s="1"/>
  <c r="S27" i="30"/>
  <c r="AI27" i="30" s="1"/>
  <c r="C27" i="31" s="1"/>
  <c r="E27" i="31" s="1"/>
  <c r="K27" i="31" s="1"/>
  <c r="O27" i="30"/>
  <c r="P27" i="30"/>
  <c r="AM27" i="30" s="1"/>
  <c r="AC27" i="30"/>
  <c r="AN27" i="30" l="1"/>
  <c r="AH27" i="30"/>
  <c r="B27" i="31" s="1"/>
  <c r="D27" i="31" s="1"/>
  <c r="J27" i="31" s="1"/>
  <c r="H28" i="31"/>
  <c r="I28" i="31" s="1"/>
  <c r="AF28" i="30"/>
  <c r="AG28" i="30" s="1"/>
  <c r="AL27" i="30"/>
  <c r="D28" i="30" l="1"/>
  <c r="C28" i="30"/>
  <c r="F27" i="30"/>
  <c r="G27" i="30"/>
  <c r="K28" i="30" s="1"/>
  <c r="E27" i="30"/>
  <c r="X28" i="30"/>
  <c r="AA28" i="30" s="1"/>
  <c r="AD28" i="30" s="1"/>
  <c r="Y28" i="30"/>
  <c r="AB28" i="30" s="1"/>
  <c r="W28" i="30"/>
  <c r="Z28" i="30" s="1"/>
  <c r="AC28" i="30" s="1"/>
  <c r="B28" i="30"/>
  <c r="AO28" i="30"/>
  <c r="H27" i="30"/>
  <c r="L28" i="30" s="1"/>
  <c r="I28" i="30" l="1"/>
  <c r="T28" i="30" s="1"/>
  <c r="J28" i="30"/>
  <c r="U28" i="30" s="1"/>
  <c r="AE28" i="30"/>
  <c r="AN28" i="30" s="1"/>
  <c r="S28" i="30"/>
  <c r="O28" i="30"/>
  <c r="P28" i="30"/>
  <c r="V28" i="30"/>
  <c r="Q28" i="30" l="1"/>
  <c r="M28" i="30"/>
  <c r="R28" i="30"/>
  <c r="N28" i="30"/>
  <c r="G29" i="31"/>
  <c r="H29" i="31" s="1"/>
  <c r="I29" i="31" s="1"/>
  <c r="AK28" i="30"/>
  <c r="AM28" i="30"/>
  <c r="AL28" i="30"/>
  <c r="AH28" i="30" l="1"/>
  <c r="B28" i="31" s="1"/>
  <c r="D28" i="31" s="1"/>
  <c r="J28" i="31" s="1"/>
  <c r="W29" i="30" s="1"/>
  <c r="AI28" i="30"/>
  <c r="C28" i="31" s="1"/>
  <c r="E28" i="31" s="1"/>
  <c r="K28" i="31" s="1"/>
  <c r="AF29" i="30" s="1"/>
  <c r="AG29" i="30" s="1"/>
  <c r="AO29" i="30" s="1"/>
  <c r="AJ28" i="30"/>
  <c r="Y29" i="30" l="1"/>
  <c r="AB29" i="30" s="1"/>
  <c r="AE29" i="30" s="1"/>
  <c r="X29" i="30"/>
  <c r="AA29" i="30" s="1"/>
  <c r="AD29" i="30" s="1"/>
  <c r="B29" i="30"/>
  <c r="C29" i="30"/>
  <c r="G28" i="30"/>
  <c r="K29" i="30" s="1"/>
  <c r="E28" i="30"/>
  <c r="I29" i="30" s="1"/>
  <c r="F28" i="30"/>
  <c r="J29" i="30" s="1"/>
  <c r="U29" i="30" s="1"/>
  <c r="D29" i="30"/>
  <c r="H28" i="30"/>
  <c r="L29" i="30" s="1"/>
  <c r="Z29" i="30"/>
  <c r="AC29" i="30" s="1"/>
  <c r="Q29" i="30" l="1"/>
  <c r="S29" i="30"/>
  <c r="T29" i="30"/>
  <c r="N29" i="30"/>
  <c r="R29" i="30"/>
  <c r="V29" i="30"/>
  <c r="O29" i="30"/>
  <c r="AL29" i="30" s="1"/>
  <c r="M29" i="30"/>
  <c r="P29" i="30"/>
  <c r="AN29" i="30"/>
  <c r="AK29" i="30" l="1"/>
  <c r="AI29" i="30"/>
  <c r="C29" i="31" s="1"/>
  <c r="E29" i="31" s="1"/>
  <c r="K29" i="31" s="1"/>
  <c r="AF30" i="30" s="1"/>
  <c r="AG30" i="30" s="1"/>
  <c r="AJ29" i="30"/>
  <c r="G30" i="31"/>
  <c r="H30" i="31" s="1"/>
  <c r="I30" i="31" s="1"/>
  <c r="AM29" i="30"/>
  <c r="AH29" i="30"/>
  <c r="B29" i="31" s="1"/>
  <c r="D29" i="31" s="1"/>
  <c r="J29" i="31" s="1"/>
  <c r="X30" i="30" l="1"/>
  <c r="AA30" i="30" s="1"/>
  <c r="AD30" i="30" s="1"/>
  <c r="W30" i="30"/>
  <c r="Y30" i="30"/>
  <c r="AB30" i="30" s="1"/>
  <c r="AO30" i="30"/>
  <c r="D30" i="30"/>
  <c r="E29" i="30"/>
  <c r="I30" i="30" s="1"/>
  <c r="G29" i="30"/>
  <c r="K30" i="30" s="1"/>
  <c r="B30" i="30"/>
  <c r="F29" i="30"/>
  <c r="J30" i="30" s="1"/>
  <c r="C30" i="30"/>
  <c r="AE30" i="30" l="1"/>
  <c r="U30" i="30"/>
  <c r="V30" i="30"/>
  <c r="H29" i="30"/>
  <c r="L30" i="30" s="1"/>
  <c r="Z30" i="30"/>
  <c r="AC30" i="30" s="1"/>
  <c r="Q30" i="30" l="1"/>
  <c r="M30" i="30"/>
  <c r="T30" i="30"/>
  <c r="G31" i="31" s="1"/>
  <c r="AN30" i="30"/>
  <c r="P30" i="30"/>
  <c r="AM30" i="30" s="1"/>
  <c r="N30" i="30"/>
  <c r="R30" i="30"/>
  <c r="O30" i="30"/>
  <c r="S30" i="30"/>
  <c r="AL30" i="30" l="1"/>
  <c r="AK30" i="30"/>
  <c r="H31" i="31"/>
  <c r="I31" i="31" s="1"/>
  <c r="AH30" i="30"/>
  <c r="B30" i="31" s="1"/>
  <c r="D30" i="31" s="1"/>
  <c r="J30" i="31" s="1"/>
  <c r="AI30" i="30"/>
  <c r="C30" i="31" s="1"/>
  <c r="E30" i="31" s="1"/>
  <c r="K30" i="31" s="1"/>
  <c r="AJ30" i="30"/>
  <c r="X31" i="30" l="1"/>
  <c r="AA31" i="30" s="1"/>
  <c r="AD31" i="30" s="1"/>
  <c r="W31" i="30"/>
  <c r="Y31" i="30"/>
  <c r="AB31" i="30" s="1"/>
  <c r="AF31" i="30"/>
  <c r="AG31" i="30" s="1"/>
  <c r="G30" i="30"/>
  <c r="K31" i="30" s="1"/>
  <c r="D31" i="30"/>
  <c r="C31" i="30"/>
  <c r="F30" i="30"/>
  <c r="J31" i="30" s="1"/>
  <c r="B31" i="30"/>
  <c r="E30" i="30"/>
  <c r="I31" i="30" s="1"/>
  <c r="AE31" i="30" l="1"/>
  <c r="S31" i="30"/>
  <c r="O31" i="30"/>
  <c r="V31" i="30"/>
  <c r="U31" i="30"/>
  <c r="N31" i="30"/>
  <c r="R31" i="30"/>
  <c r="AO31" i="30"/>
  <c r="H30" i="30"/>
  <c r="L31" i="30" s="1"/>
  <c r="Z31" i="30"/>
  <c r="AK31" i="30" l="1"/>
  <c r="M31" i="30"/>
  <c r="Q31" i="30"/>
  <c r="T31" i="30"/>
  <c r="G32" i="31" s="1"/>
  <c r="AC31" i="30"/>
  <c r="P31" i="30"/>
  <c r="AL31" i="30"/>
  <c r="AN31" i="30" l="1"/>
  <c r="AM31" i="30"/>
  <c r="AH31" i="30"/>
  <c r="B31" i="31" s="1"/>
  <c r="D31" i="31" s="1"/>
  <c r="J31" i="31" s="1"/>
  <c r="H32" i="31"/>
  <c r="I32" i="31" s="1"/>
  <c r="AJ31" i="30"/>
  <c r="AI31" i="30"/>
  <c r="C31" i="31" s="1"/>
  <c r="E31" i="31" s="1"/>
  <c r="K31" i="31" s="1"/>
  <c r="X32" i="30" l="1"/>
  <c r="AA32" i="30" s="1"/>
  <c r="Y32" i="30"/>
  <c r="AB32" i="30" s="1"/>
  <c r="AE32" i="30" s="1"/>
  <c r="W32" i="30"/>
  <c r="G31" i="30"/>
  <c r="K32" i="30" s="1"/>
  <c r="D32" i="30"/>
  <c r="B32" i="30"/>
  <c r="C32" i="30"/>
  <c r="E31" i="30"/>
  <c r="I32" i="30" s="1"/>
  <c r="F31" i="30"/>
  <c r="J32" i="30" s="1"/>
  <c r="AF32" i="30"/>
  <c r="AG32" i="30" s="1"/>
  <c r="AO32" i="30" l="1"/>
  <c r="T32" i="30"/>
  <c r="M32" i="30"/>
  <c r="Q32" i="30"/>
  <c r="V32" i="30"/>
  <c r="O32" i="30"/>
  <c r="S32" i="30"/>
  <c r="AD32" i="30"/>
  <c r="Z32" i="30"/>
  <c r="H31" i="30"/>
  <c r="L32" i="30" s="1"/>
  <c r="AL32" i="30" l="1"/>
  <c r="U32" i="30"/>
  <c r="G33" i="31" s="1"/>
  <c r="N32" i="30"/>
  <c r="R32" i="30"/>
  <c r="AI32" i="30" s="1"/>
  <c r="C32" i="31" s="1"/>
  <c r="E32" i="31" s="1"/>
  <c r="K32" i="31" s="1"/>
  <c r="P32" i="30"/>
  <c r="AM32" i="30" s="1"/>
  <c r="AC32" i="30"/>
  <c r="AJ32" i="30"/>
  <c r="AK32" i="30" l="1"/>
  <c r="AN32" i="30"/>
  <c r="AH32" i="30"/>
  <c r="B32" i="31" s="1"/>
  <c r="D32" i="31" s="1"/>
  <c r="J32" i="31" s="1"/>
  <c r="H33" i="31"/>
  <c r="I33" i="31" s="1"/>
  <c r="AF33" i="30"/>
  <c r="AG33" i="30" s="1"/>
  <c r="Y33" i="30" l="1"/>
  <c r="AB33" i="30" s="1"/>
  <c r="X33" i="30"/>
  <c r="AA33" i="30" s="1"/>
  <c r="AD33" i="30" s="1"/>
  <c r="W33" i="30"/>
  <c r="AO33" i="30"/>
  <c r="E32" i="30"/>
  <c r="I33" i="30" s="1"/>
  <c r="B33" i="30"/>
  <c r="G32" i="30"/>
  <c r="K33" i="30" s="1"/>
  <c r="D33" i="30"/>
  <c r="F32" i="30"/>
  <c r="J33" i="30" s="1"/>
  <c r="C33" i="30"/>
  <c r="AE33" i="30" l="1"/>
  <c r="T33" i="30"/>
  <c r="Q33" i="30"/>
  <c r="M33" i="30"/>
  <c r="R33" i="30"/>
  <c r="N33" i="30"/>
  <c r="U33" i="30"/>
  <c r="V33" i="30"/>
  <c r="S33" i="30"/>
  <c r="O33" i="30"/>
  <c r="Z33" i="30"/>
  <c r="H32" i="30"/>
  <c r="L33" i="30" s="1"/>
  <c r="AI33" i="30" l="1"/>
  <c r="C33" i="31" s="1"/>
  <c r="E33" i="31" s="1"/>
  <c r="K33" i="31" s="1"/>
  <c r="AJ33" i="30"/>
  <c r="AL33" i="30"/>
  <c r="AK33" i="30"/>
  <c r="P33" i="30"/>
  <c r="G34" i="31"/>
  <c r="AC33" i="30"/>
  <c r="AN33" i="30" l="1"/>
  <c r="AM33" i="30"/>
  <c r="AH33" i="30"/>
  <c r="B33" i="31" s="1"/>
  <c r="D33" i="31" s="1"/>
  <c r="J33" i="31" s="1"/>
  <c r="AF34" i="30"/>
  <c r="AG34" i="30" s="1"/>
  <c r="H34" i="31"/>
  <c r="I34" i="31" s="1"/>
  <c r="X34" i="30" l="1"/>
  <c r="AA34" i="30" s="1"/>
  <c r="AD34" i="30" s="1"/>
  <c r="Y34" i="30"/>
  <c r="AB34" i="30" s="1"/>
  <c r="W34" i="30"/>
  <c r="AO34" i="30"/>
  <c r="D34" i="30"/>
  <c r="E33" i="30"/>
  <c r="I34" i="30" s="1"/>
  <c r="F33" i="30"/>
  <c r="J34" i="30" s="1"/>
  <c r="G33" i="30"/>
  <c r="K34" i="30" s="1"/>
  <c r="B34" i="30"/>
  <c r="C34" i="30"/>
  <c r="AE34" i="30" l="1"/>
  <c r="Z34" i="30"/>
  <c r="H33" i="30"/>
  <c r="L34" i="30" s="1"/>
  <c r="V34" i="30"/>
  <c r="S34" i="30"/>
  <c r="O34" i="30"/>
  <c r="R34" i="30"/>
  <c r="N34" i="30"/>
  <c r="U34" i="30"/>
  <c r="M34" i="30"/>
  <c r="Q34" i="30"/>
  <c r="T34" i="30"/>
  <c r="AK34" i="30" l="1"/>
  <c r="P34" i="30"/>
  <c r="AC34" i="30"/>
  <c r="AL34" i="30"/>
  <c r="G35" i="31"/>
  <c r="J43" i="25" s="1"/>
  <c r="AJ34" i="30"/>
  <c r="AI34" i="30"/>
  <c r="C34" i="31" s="1"/>
  <c r="E34" i="31" s="1"/>
  <c r="K34" i="31" s="1"/>
  <c r="AN34" i="30" l="1"/>
  <c r="AM34" i="30"/>
  <c r="AH34" i="30"/>
  <c r="B34" i="31" s="1"/>
  <c r="D34" i="31" s="1"/>
  <c r="J34" i="31" s="1"/>
  <c r="AF35" i="30"/>
  <c r="AG35" i="30" s="1"/>
  <c r="H35" i="31"/>
  <c r="I35" i="31" s="1"/>
  <c r="X35" i="30" l="1"/>
  <c r="AA35" i="30" s="1"/>
  <c r="AD35" i="30" s="1"/>
  <c r="Y35" i="30"/>
  <c r="AB35" i="30" s="1"/>
  <c r="W35" i="30"/>
  <c r="AO35" i="30"/>
  <c r="B35" i="30"/>
  <c r="E34" i="30"/>
  <c r="I35" i="30" s="1"/>
  <c r="G34" i="30"/>
  <c r="K35" i="30" s="1"/>
  <c r="D35" i="30"/>
  <c r="C35" i="30"/>
  <c r="F34" i="30"/>
  <c r="J35" i="30" s="1"/>
  <c r="AE35" i="30" l="1"/>
  <c r="N35" i="30"/>
  <c r="U35" i="30"/>
  <c r="R35" i="30"/>
  <c r="T35" i="30"/>
  <c r="Q35" i="30"/>
  <c r="M35" i="30"/>
  <c r="Z35" i="30"/>
  <c r="H34" i="30"/>
  <c r="L35" i="30" s="1"/>
  <c r="AK35" i="30" l="1"/>
  <c r="AJ35" i="30"/>
  <c r="S35" i="30"/>
  <c r="O35" i="30"/>
  <c r="V35" i="30"/>
  <c r="G36" i="31" s="1"/>
  <c r="H36" i="31" s="1"/>
  <c r="I36" i="31" s="1"/>
  <c r="P35" i="30"/>
  <c r="AC35" i="30"/>
  <c r="AN35" i="30" l="1"/>
  <c r="AM35" i="30"/>
  <c r="AH35" i="30"/>
  <c r="B35" i="31" s="1"/>
  <c r="D35" i="31" s="1"/>
  <c r="J35" i="31" s="1"/>
  <c r="AL35" i="30"/>
  <c r="AI35" i="30"/>
  <c r="C35" i="31" s="1"/>
  <c r="E35" i="31" s="1"/>
  <c r="K35" i="31" s="1"/>
  <c r="X36" i="30" l="1"/>
  <c r="AA36" i="30" s="1"/>
  <c r="AD36" i="30" s="1"/>
  <c r="Y36" i="30"/>
  <c r="AB36" i="30" s="1"/>
  <c r="W36" i="30"/>
  <c r="AF36" i="30"/>
  <c r="AG36" i="30" s="1"/>
  <c r="AO36" i="30" s="1"/>
  <c r="D36" i="30"/>
  <c r="E35" i="30"/>
  <c r="I36" i="30" s="1"/>
  <c r="F35" i="30"/>
  <c r="J36" i="30" s="1"/>
  <c r="C36" i="30"/>
  <c r="B36" i="30"/>
  <c r="G35" i="30"/>
  <c r="K36" i="30" s="1"/>
  <c r="AE36" i="30" l="1"/>
  <c r="N36" i="30"/>
  <c r="U36" i="30"/>
  <c r="R36" i="30"/>
  <c r="Z36" i="30"/>
  <c r="H35" i="30"/>
  <c r="L36" i="30" s="1"/>
  <c r="S36" i="30"/>
  <c r="V36" i="30"/>
  <c r="O36" i="30"/>
  <c r="Q36" i="30"/>
  <c r="T36" i="30"/>
  <c r="G37" i="31" s="1"/>
  <c r="H37" i="31" s="1"/>
  <c r="I37" i="31" s="1"/>
  <c r="M36" i="30"/>
  <c r="AK36" i="30" l="1"/>
  <c r="AI36" i="30"/>
  <c r="C36" i="31" s="1"/>
  <c r="E36" i="31" s="1"/>
  <c r="K36" i="31" s="1"/>
  <c r="AJ36" i="30"/>
  <c r="AL36" i="30"/>
  <c r="P36" i="30"/>
  <c r="AC36" i="30"/>
  <c r="AN36" i="30" l="1"/>
  <c r="AM36" i="30"/>
  <c r="AH36" i="30"/>
  <c r="B36" i="31" s="1"/>
  <c r="D36" i="31" s="1"/>
  <c r="J36" i="31" s="1"/>
  <c r="AF37" i="30"/>
  <c r="AG37" i="30" s="1"/>
  <c r="X37" i="30" l="1"/>
  <c r="AA37" i="30" s="1"/>
  <c r="AD37" i="30" s="1"/>
  <c r="Y37" i="30"/>
  <c r="AB37" i="30" s="1"/>
  <c r="W37" i="30"/>
  <c r="AO37" i="30"/>
  <c r="E36" i="30"/>
  <c r="I37" i="30" s="1"/>
  <c r="G36" i="30"/>
  <c r="K37" i="30" s="1"/>
  <c r="C37" i="30"/>
  <c r="D37" i="30"/>
  <c r="F36" i="30"/>
  <c r="J37" i="30" s="1"/>
  <c r="B37" i="30"/>
  <c r="AE37" i="30" l="1"/>
  <c r="Q37" i="30"/>
  <c r="T37" i="30"/>
  <c r="M37" i="30"/>
  <c r="Z37" i="30"/>
  <c r="H36" i="30"/>
  <c r="L37" i="30" s="1"/>
  <c r="V37" i="30"/>
  <c r="O37" i="30"/>
  <c r="S37" i="30"/>
  <c r="U37" i="30"/>
  <c r="N37" i="30"/>
  <c r="R37" i="30"/>
  <c r="AL37" i="30" l="1"/>
  <c r="P37" i="30"/>
  <c r="AC37" i="30"/>
  <c r="G38" i="31"/>
  <c r="AJ37" i="30"/>
  <c r="AI37" i="30"/>
  <c r="C37" i="31" s="1"/>
  <c r="E37" i="31" s="1"/>
  <c r="K37" i="31" s="1"/>
  <c r="AK37" i="30"/>
  <c r="AN37" i="30" l="1"/>
  <c r="AM37" i="30"/>
  <c r="AH37" i="30"/>
  <c r="B37" i="31" s="1"/>
  <c r="D37" i="31" s="1"/>
  <c r="J37" i="31" s="1"/>
  <c r="H38" i="31"/>
  <c r="I38" i="31" s="1"/>
  <c r="AF38" i="30"/>
  <c r="AG38" i="30" s="1"/>
  <c r="X38" i="30" l="1"/>
  <c r="AA38" i="30" s="1"/>
  <c r="AD38" i="30" s="1"/>
  <c r="Y38" i="30"/>
  <c r="AB38" i="30" s="1"/>
  <c r="W38" i="30"/>
  <c r="AO38" i="30"/>
  <c r="G37" i="30"/>
  <c r="K38" i="30" s="1"/>
  <c r="D38" i="30"/>
  <c r="F37" i="30"/>
  <c r="J38" i="30" s="1"/>
  <c r="C38" i="30"/>
  <c r="E37" i="30"/>
  <c r="I38" i="30" s="1"/>
  <c r="B38" i="30"/>
  <c r="AE38" i="30" l="1"/>
  <c r="Q38" i="30"/>
  <c r="R38" i="30"/>
  <c r="U38" i="30"/>
  <c r="N38" i="30"/>
  <c r="T38" i="30"/>
  <c r="M38" i="30"/>
  <c r="V38" i="30"/>
  <c r="S38" i="30"/>
  <c r="O38" i="30"/>
  <c r="Z38" i="30"/>
  <c r="AC38" i="30" s="1"/>
  <c r="H37" i="30"/>
  <c r="L38" i="30" s="1"/>
  <c r="AL38" i="30" l="1"/>
  <c r="G39" i="31"/>
  <c r="H39" i="31" s="1"/>
  <c r="I39" i="31" s="1"/>
  <c r="AJ38" i="30"/>
  <c r="AK38" i="30"/>
  <c r="AN38" i="30"/>
  <c r="P38" i="30"/>
  <c r="AI38" i="30"/>
  <c r="C38" i="31" s="1"/>
  <c r="E38" i="31" s="1"/>
  <c r="K38" i="31" s="1"/>
  <c r="AM38" i="30" l="1"/>
  <c r="AH38" i="30"/>
  <c r="B38" i="31" s="1"/>
  <c r="D38" i="31" s="1"/>
  <c r="J38" i="31" s="1"/>
  <c r="AF39" i="30"/>
  <c r="AG39" i="30" s="1"/>
  <c r="X39" i="30" l="1"/>
  <c r="AA39" i="30" s="1"/>
  <c r="AD39" i="30" s="1"/>
  <c r="W39" i="30"/>
  <c r="Y39" i="30"/>
  <c r="AB39" i="30" s="1"/>
  <c r="AO39" i="30"/>
  <c r="E38" i="30"/>
  <c r="I39" i="30" s="1"/>
  <c r="C39" i="30"/>
  <c r="B39" i="30"/>
  <c r="F38" i="30"/>
  <c r="J39" i="30" s="1"/>
  <c r="G38" i="30"/>
  <c r="K39" i="30" s="1"/>
  <c r="D39" i="30"/>
  <c r="AE39" i="30" l="1"/>
  <c r="S39" i="30"/>
  <c r="V39" i="30"/>
  <c r="O39" i="30"/>
  <c r="M39" i="30"/>
  <c r="T39" i="30"/>
  <c r="Q39" i="30"/>
  <c r="H38" i="30"/>
  <c r="L39" i="30" s="1"/>
  <c r="Z39" i="30"/>
  <c r="U39" i="30"/>
  <c r="N39" i="30"/>
  <c r="R39" i="30"/>
  <c r="P39" i="30" l="1"/>
  <c r="AJ39" i="30"/>
  <c r="AI39" i="30"/>
  <c r="C39" i="31" s="1"/>
  <c r="E39" i="31" s="1"/>
  <c r="K39" i="31" s="1"/>
  <c r="G40" i="31"/>
  <c r="AC39" i="30"/>
  <c r="AK39" i="30"/>
  <c r="AL39" i="30"/>
  <c r="AN39" i="30" l="1"/>
  <c r="AM39" i="30"/>
  <c r="AH39" i="30"/>
  <c r="B39" i="31" s="1"/>
  <c r="D39" i="31" s="1"/>
  <c r="J39" i="31" s="1"/>
  <c r="AF40" i="30"/>
  <c r="AG40" i="30" s="1"/>
  <c r="H40" i="31"/>
  <c r="I40" i="31" s="1"/>
  <c r="X40" i="30" l="1"/>
  <c r="AA40" i="30" s="1"/>
  <c r="AD40" i="30" s="1"/>
  <c r="Y40" i="30"/>
  <c r="AB40" i="30" s="1"/>
  <c r="W40" i="30"/>
  <c r="AO40" i="30"/>
  <c r="F39" i="30"/>
  <c r="J40" i="30" s="1"/>
  <c r="C40" i="30"/>
  <c r="G39" i="30"/>
  <c r="K40" i="30" s="1"/>
  <c r="B40" i="30"/>
  <c r="D40" i="30"/>
  <c r="E39" i="30"/>
  <c r="I40" i="30" s="1"/>
  <c r="AE40" i="30" l="1"/>
  <c r="Q40" i="30"/>
  <c r="M40" i="30"/>
  <c r="T40" i="30"/>
  <c r="R40" i="30"/>
  <c r="U40" i="30"/>
  <c r="N40" i="30"/>
  <c r="V40" i="30"/>
  <c r="S40" i="30"/>
  <c r="O40" i="30"/>
  <c r="Z40" i="30"/>
  <c r="H39" i="30"/>
  <c r="L40" i="30" s="1"/>
  <c r="AL40" i="30" l="1"/>
  <c r="P40" i="30"/>
  <c r="AK40" i="30"/>
  <c r="AC40" i="30"/>
  <c r="G41" i="31"/>
  <c r="AJ40" i="30"/>
  <c r="AI40" i="30"/>
  <c r="C40" i="31" s="1"/>
  <c r="E40" i="31" s="1"/>
  <c r="K40" i="31" s="1"/>
  <c r="AN40" i="30" l="1"/>
  <c r="AM40" i="30"/>
  <c r="AH40" i="30"/>
  <c r="B40" i="31" s="1"/>
  <c r="D40" i="31" s="1"/>
  <c r="J40" i="31" s="1"/>
  <c r="AF41" i="30"/>
  <c r="AG41" i="30" s="1"/>
  <c r="AO41" i="30" s="1"/>
  <c r="H41" i="31"/>
  <c r="I41" i="31" s="1"/>
  <c r="X41" i="30" l="1"/>
  <c r="AA41" i="30" s="1"/>
  <c r="AD41" i="30" s="1"/>
  <c r="Y41" i="30"/>
  <c r="AB41" i="30" s="1"/>
  <c r="W41" i="30"/>
  <c r="E40" i="30"/>
  <c r="I41" i="30" s="1"/>
  <c r="F40" i="30"/>
  <c r="J41" i="30" s="1"/>
  <c r="C41" i="30"/>
  <c r="G40" i="30"/>
  <c r="K41" i="30" s="1"/>
  <c r="B41" i="30"/>
  <c r="D41" i="30"/>
  <c r="AE41" i="30" l="1"/>
  <c r="V41" i="30"/>
  <c r="S41" i="30"/>
  <c r="O41" i="30"/>
  <c r="U41" i="30"/>
  <c r="N41" i="30"/>
  <c r="R41" i="30"/>
  <c r="M41" i="30"/>
  <c r="T41" i="30"/>
  <c r="Q41" i="30"/>
  <c r="Z41" i="30"/>
  <c r="H40" i="30"/>
  <c r="L41" i="30" s="1"/>
  <c r="G42" i="31" l="1"/>
  <c r="H42" i="31" s="1"/>
  <c r="I42" i="31" s="1"/>
  <c r="AK41" i="30"/>
  <c r="P41" i="30"/>
  <c r="AC41" i="30"/>
  <c r="AL41" i="30"/>
  <c r="AJ41" i="30"/>
  <c r="AI41" i="30"/>
  <c r="C41" i="31" s="1"/>
  <c r="E41" i="31" s="1"/>
  <c r="K41" i="31" s="1"/>
  <c r="AN41" i="30" l="1"/>
  <c r="AM41" i="30"/>
  <c r="AH41" i="30"/>
  <c r="B41" i="31" s="1"/>
  <c r="D41" i="31" s="1"/>
  <c r="J41" i="31" s="1"/>
  <c r="AF42" i="30"/>
  <c r="AG42" i="30" s="1"/>
  <c r="X42" i="30" l="1"/>
  <c r="AA42" i="30" s="1"/>
  <c r="AD42" i="30" s="1"/>
  <c r="Y42" i="30"/>
  <c r="AB42" i="30" s="1"/>
  <c r="W42" i="30"/>
  <c r="AO42" i="30"/>
  <c r="G41" i="30"/>
  <c r="K42" i="30" s="1"/>
  <c r="B42" i="30"/>
  <c r="F41" i="30"/>
  <c r="J42" i="30" s="1"/>
  <c r="C42" i="30"/>
  <c r="D42" i="30"/>
  <c r="E41" i="30"/>
  <c r="I42" i="30" s="1"/>
  <c r="AE42" i="30" l="1"/>
  <c r="Z42" i="30"/>
  <c r="H41" i="30"/>
  <c r="L42" i="30" s="1"/>
  <c r="M42" i="30"/>
  <c r="T42" i="30"/>
  <c r="Q42" i="30"/>
  <c r="N42" i="30"/>
  <c r="R42" i="30"/>
  <c r="U42" i="30"/>
  <c r="S42" i="30"/>
  <c r="V42" i="30"/>
  <c r="O42" i="30"/>
  <c r="AK42" i="30" l="1"/>
  <c r="G43" i="31"/>
  <c r="H43" i="31" s="1"/>
  <c r="I43" i="31" s="1"/>
  <c r="AJ42" i="30"/>
  <c r="AI42" i="30"/>
  <c r="C42" i="31" s="1"/>
  <c r="E42" i="31" s="1"/>
  <c r="K42" i="31" s="1"/>
  <c r="P42" i="30"/>
  <c r="AL42" i="30"/>
  <c r="AC42" i="30"/>
  <c r="AN42" i="30" l="1"/>
  <c r="AM42" i="30"/>
  <c r="AH42" i="30"/>
  <c r="B42" i="31" s="1"/>
  <c r="D42" i="31" s="1"/>
  <c r="J42" i="31" s="1"/>
  <c r="AF43" i="30"/>
  <c r="AG43" i="30" s="1"/>
  <c r="X43" i="30" l="1"/>
  <c r="AA43" i="30" s="1"/>
  <c r="AD43" i="30" s="1"/>
  <c r="Y43" i="30"/>
  <c r="AB43" i="30" s="1"/>
  <c r="W43" i="30"/>
  <c r="AO43" i="30"/>
  <c r="G42" i="30"/>
  <c r="K43" i="30" s="1"/>
  <c r="C43" i="30"/>
  <c r="F42" i="30"/>
  <c r="J43" i="30" s="1"/>
  <c r="D43" i="30"/>
  <c r="B43" i="30"/>
  <c r="E42" i="30"/>
  <c r="I43" i="30" s="1"/>
  <c r="AE43" i="30" l="1"/>
  <c r="U43" i="30"/>
  <c r="N43" i="30"/>
  <c r="R43" i="30"/>
  <c r="Q43" i="30"/>
  <c r="T43" i="30"/>
  <c r="M43" i="30"/>
  <c r="O43" i="30"/>
  <c r="V43" i="30"/>
  <c r="S43" i="30"/>
  <c r="Z43" i="30"/>
  <c r="H42" i="30"/>
  <c r="L43" i="30" s="1"/>
  <c r="AL43" i="30" l="1"/>
  <c r="AK43" i="30"/>
  <c r="G44" i="31"/>
  <c r="H44" i="31" s="1"/>
  <c r="I44" i="31" s="1"/>
  <c r="AJ43" i="30"/>
  <c r="AI43" i="30"/>
  <c r="C43" i="31" s="1"/>
  <c r="E43" i="31" s="1"/>
  <c r="K43" i="31" s="1"/>
  <c r="P43" i="30"/>
  <c r="AC43" i="30"/>
  <c r="AM43" i="30" l="1"/>
  <c r="AH43" i="30"/>
  <c r="B43" i="31" s="1"/>
  <c r="D43" i="31" s="1"/>
  <c r="J43" i="31" s="1"/>
  <c r="AN43" i="30"/>
  <c r="AF44" i="30"/>
  <c r="AG44" i="30" s="1"/>
  <c r="AO44" i="30" s="1"/>
  <c r="X44" i="30" l="1"/>
  <c r="AA44" i="30" s="1"/>
  <c r="AD44" i="30" s="1"/>
  <c r="Y44" i="30"/>
  <c r="AB44" i="30" s="1"/>
  <c r="W44" i="30"/>
  <c r="G43" i="30"/>
  <c r="K44" i="30" s="1"/>
  <c r="F43" i="30"/>
  <c r="J44" i="30" s="1"/>
  <c r="E43" i="30"/>
  <c r="I44" i="30" s="1"/>
  <c r="D44" i="30"/>
  <c r="C44" i="30"/>
  <c r="B44" i="30"/>
  <c r="AE44" i="30" l="1"/>
  <c r="Q44" i="30"/>
  <c r="T44" i="30"/>
  <c r="M44" i="30"/>
  <c r="S44" i="30"/>
  <c r="O44" i="30"/>
  <c r="V44" i="30"/>
  <c r="N44" i="30"/>
  <c r="R44" i="30"/>
  <c r="U44" i="30"/>
  <c r="H43" i="30"/>
  <c r="L44" i="30" s="1"/>
  <c r="Z44" i="30"/>
  <c r="AK44" i="30" l="1"/>
  <c r="AL44" i="30"/>
  <c r="P44" i="30"/>
  <c r="G45" i="31"/>
  <c r="J44" i="25" s="1"/>
  <c r="AC44" i="30"/>
  <c r="AI44" i="30"/>
  <c r="C44" i="31" s="1"/>
  <c r="E44" i="31" s="1"/>
  <c r="K44" i="31" s="1"/>
  <c r="AJ44" i="30"/>
  <c r="AN44" i="30" l="1"/>
  <c r="AM44" i="30"/>
  <c r="AH44" i="30"/>
  <c r="B44" i="31" s="1"/>
  <c r="D44" i="31" s="1"/>
  <c r="J44" i="31" s="1"/>
  <c r="H45" i="31"/>
  <c r="I45" i="31" s="1"/>
  <c r="AF45" i="30"/>
  <c r="AG45" i="30" s="1"/>
  <c r="X45" i="30" l="1"/>
  <c r="AA45" i="30" s="1"/>
  <c r="AD45" i="30" s="1"/>
  <c r="Y45" i="30"/>
  <c r="AB45" i="30" s="1"/>
  <c r="AE45" i="30" s="1"/>
  <c r="W45" i="30"/>
  <c r="E44" i="30"/>
  <c r="I45" i="30" s="1"/>
  <c r="C45" i="30"/>
  <c r="F44" i="30"/>
  <c r="J45" i="30" s="1"/>
  <c r="G44" i="30"/>
  <c r="K45" i="30" s="1"/>
  <c r="D45" i="30"/>
  <c r="B45" i="30"/>
  <c r="AO45" i="30"/>
  <c r="R45" i="30" l="1"/>
  <c r="U45" i="30"/>
  <c r="N45" i="30"/>
  <c r="V45" i="30"/>
  <c r="O45" i="30"/>
  <c r="S45" i="30"/>
  <c r="T45" i="30"/>
  <c r="G46" i="31" s="1"/>
  <c r="Q45" i="30"/>
  <c r="M45" i="30"/>
  <c r="Z45" i="30"/>
  <c r="H44" i="30"/>
  <c r="L45" i="30" s="1"/>
  <c r="H46" i="31" l="1"/>
  <c r="I46" i="31" s="1"/>
  <c r="P45" i="30"/>
  <c r="AJ45" i="30"/>
  <c r="AI45" i="30"/>
  <c r="C45" i="31" s="1"/>
  <c r="E45" i="31" s="1"/>
  <c r="K45" i="31" s="1"/>
  <c r="AL45" i="30"/>
  <c r="AC45" i="30"/>
  <c r="AK45" i="30"/>
  <c r="AN45" i="30" l="1"/>
  <c r="AM45" i="30"/>
  <c r="AH45" i="30"/>
  <c r="B45" i="31" s="1"/>
  <c r="D45" i="31" s="1"/>
  <c r="J45" i="31" s="1"/>
  <c r="AF46" i="30"/>
  <c r="AG46" i="30" s="1"/>
  <c r="X46" i="30" l="1"/>
  <c r="AA46" i="30" s="1"/>
  <c r="AD46" i="30" s="1"/>
  <c r="Y46" i="30"/>
  <c r="AB46" i="30" s="1"/>
  <c r="W46" i="30"/>
  <c r="C46" i="30"/>
  <c r="F45" i="30"/>
  <c r="J46" i="30" s="1"/>
  <c r="B46" i="30"/>
  <c r="D46" i="30"/>
  <c r="G45" i="30"/>
  <c r="K46" i="30" s="1"/>
  <c r="E45" i="30"/>
  <c r="I46" i="30" s="1"/>
  <c r="AO46" i="30"/>
  <c r="AE46" i="30" l="1"/>
  <c r="T46" i="30"/>
  <c r="M46" i="30"/>
  <c r="Q46" i="30"/>
  <c r="O46" i="30"/>
  <c r="V46" i="30"/>
  <c r="S46" i="30"/>
  <c r="U46" i="30"/>
  <c r="N46" i="30"/>
  <c r="R46" i="30"/>
  <c r="Z46" i="30"/>
  <c r="H45" i="30"/>
  <c r="L46" i="30" s="1"/>
  <c r="AL46" i="30" l="1"/>
  <c r="AK46" i="30"/>
  <c r="AJ46" i="30"/>
  <c r="AI46" i="30"/>
  <c r="C46" i="31" s="1"/>
  <c r="E46" i="31" s="1"/>
  <c r="K46" i="31" s="1"/>
  <c r="P46" i="30"/>
  <c r="G47" i="31"/>
  <c r="AC46" i="30"/>
  <c r="AN46" i="30" l="1"/>
  <c r="AM46" i="30"/>
  <c r="AH46" i="30"/>
  <c r="B46" i="31" s="1"/>
  <c r="D46" i="31" s="1"/>
  <c r="J46" i="31" s="1"/>
  <c r="H47" i="31"/>
  <c r="I47" i="31" s="1"/>
  <c r="AF47" i="30"/>
  <c r="AG47" i="30" s="1"/>
  <c r="AO47" i="30" s="1"/>
  <c r="X47" i="30" l="1"/>
  <c r="AA47" i="30" s="1"/>
  <c r="AD47" i="30" s="1"/>
  <c r="Y47" i="30"/>
  <c r="AB47" i="30" s="1"/>
  <c r="W47" i="30"/>
  <c r="G46" i="30"/>
  <c r="K47" i="30" s="1"/>
  <c r="F46" i="30"/>
  <c r="J47" i="30" s="1"/>
  <c r="B47" i="30"/>
  <c r="C47" i="30"/>
  <c r="D47" i="30"/>
  <c r="E46" i="30"/>
  <c r="I47" i="30" s="1"/>
  <c r="AE47" i="30" l="1"/>
  <c r="Z47" i="30"/>
  <c r="H46" i="30"/>
  <c r="L47" i="30" s="1"/>
  <c r="AC47" i="30" l="1"/>
  <c r="P47" i="30"/>
  <c r="AM47" i="30" s="1"/>
  <c r="R47" i="30"/>
  <c r="N47" i="30"/>
  <c r="U47" i="30"/>
  <c r="Q47" i="30"/>
  <c r="M47" i="30"/>
  <c r="T47" i="30"/>
  <c r="O47" i="30"/>
  <c r="V47" i="30"/>
  <c r="S47" i="30"/>
  <c r="AN47" i="30" l="1"/>
  <c r="AL47" i="30"/>
  <c r="G48" i="31"/>
  <c r="H48" i="31" s="1"/>
  <c r="I48" i="31" s="1"/>
  <c r="AH47" i="30"/>
  <c r="B47" i="31" s="1"/>
  <c r="D47" i="31" s="1"/>
  <c r="J47" i="31" s="1"/>
  <c r="AI47" i="30"/>
  <c r="C47" i="31" s="1"/>
  <c r="E47" i="31" s="1"/>
  <c r="K47" i="31" s="1"/>
  <c r="AJ47" i="30"/>
  <c r="AK47" i="30"/>
  <c r="X48" i="30" l="1"/>
  <c r="AA48" i="30" s="1"/>
  <c r="AD48" i="30" s="1"/>
  <c r="Y48" i="30"/>
  <c r="AB48" i="30" s="1"/>
  <c r="W48" i="30"/>
  <c r="D48" i="30"/>
  <c r="C48" i="30"/>
  <c r="B48" i="30"/>
  <c r="E47" i="30"/>
  <c r="I48" i="30" s="1"/>
  <c r="G47" i="30"/>
  <c r="K48" i="30" s="1"/>
  <c r="F47" i="30"/>
  <c r="J48" i="30" s="1"/>
  <c r="AF48" i="30"/>
  <c r="AG48" i="30" s="1"/>
  <c r="AO48" i="30" s="1"/>
  <c r="AE48" i="30" l="1"/>
  <c r="R48" i="30"/>
  <c r="U48" i="30"/>
  <c r="N48" i="30"/>
  <c r="T48" i="30"/>
  <c r="Z48" i="30"/>
  <c r="H47" i="30"/>
  <c r="L48" i="30" s="1"/>
  <c r="Q48" i="30" l="1"/>
  <c r="M48" i="30"/>
  <c r="O48" i="30"/>
  <c r="S48" i="30"/>
  <c r="V48" i="30"/>
  <c r="G49" i="31" s="1"/>
  <c r="AK48" i="30"/>
  <c r="P48" i="30"/>
  <c r="AM48" i="30" s="1"/>
  <c r="AC48" i="30"/>
  <c r="AN48" i="30" l="1"/>
  <c r="H49" i="31"/>
  <c r="I49" i="31" s="1"/>
  <c r="AI48" i="30"/>
  <c r="C48" i="31" s="1"/>
  <c r="E48" i="31" s="1"/>
  <c r="K48" i="31" s="1"/>
  <c r="AJ48" i="30"/>
  <c r="AL48" i="30"/>
  <c r="AH48" i="30"/>
  <c r="B48" i="31" s="1"/>
  <c r="D48" i="31" s="1"/>
  <c r="J48" i="31" s="1"/>
  <c r="X49" i="30" l="1"/>
  <c r="AA49" i="30" s="1"/>
  <c r="Y49" i="30"/>
  <c r="AB49" i="30" s="1"/>
  <c r="AE49" i="30" s="1"/>
  <c r="W49" i="30"/>
  <c r="E48" i="30"/>
  <c r="I49" i="30" s="1"/>
  <c r="G48" i="30"/>
  <c r="K49" i="30" s="1"/>
  <c r="D49" i="30"/>
  <c r="C49" i="30"/>
  <c r="F48" i="30"/>
  <c r="J49" i="30" s="1"/>
  <c r="B49" i="30"/>
  <c r="AF49" i="30"/>
  <c r="AG49" i="30" s="1"/>
  <c r="AD49" i="30" l="1"/>
  <c r="AO49" i="30"/>
  <c r="O49" i="30"/>
  <c r="Z49" i="30"/>
  <c r="H48" i="30"/>
  <c r="L49" i="30" s="1"/>
  <c r="V49" i="30" l="1"/>
  <c r="R49" i="30"/>
  <c r="N49" i="30"/>
  <c r="P49" i="30"/>
  <c r="AM49" i="30" s="1"/>
  <c r="AC49" i="30"/>
  <c r="M49" i="30"/>
  <c r="Q49" i="30"/>
  <c r="S49" i="30"/>
  <c r="AL49" i="30" s="1"/>
  <c r="T49" i="30"/>
  <c r="U49" i="30"/>
  <c r="AN49" i="30" l="1"/>
  <c r="AH49" i="30"/>
  <c r="B49" i="31" s="1"/>
  <c r="D49" i="31" s="1"/>
  <c r="J49" i="31" s="1"/>
  <c r="G50" i="31"/>
  <c r="H50" i="31" s="1"/>
  <c r="I50" i="31" s="1"/>
  <c r="AJ49" i="30"/>
  <c r="AI49" i="30"/>
  <c r="C49" i="31" s="1"/>
  <c r="E49" i="31" s="1"/>
  <c r="K49" i="31" s="1"/>
  <c r="AK49" i="30"/>
  <c r="Y50" i="30" l="1"/>
  <c r="AB50" i="30" s="1"/>
  <c r="AE50" i="30" s="1"/>
  <c r="X50" i="30"/>
  <c r="AA50" i="30" s="1"/>
  <c r="AD50" i="30" s="1"/>
  <c r="W50" i="30"/>
  <c r="AF50" i="30"/>
  <c r="AG50" i="30" s="1"/>
  <c r="G49" i="30"/>
  <c r="K50" i="30" s="1"/>
  <c r="B50" i="30"/>
  <c r="C50" i="30"/>
  <c r="D50" i="30"/>
  <c r="E49" i="30"/>
  <c r="I50" i="30" s="1"/>
  <c r="F49" i="30"/>
  <c r="J50" i="30" s="1"/>
  <c r="Z50" i="30" l="1"/>
  <c r="H49" i="30"/>
  <c r="L50" i="30" s="1"/>
  <c r="T50" i="30"/>
  <c r="V50" i="30"/>
  <c r="O50" i="30"/>
  <c r="S50" i="30"/>
  <c r="AO50" i="30"/>
  <c r="M50" i="30" l="1"/>
  <c r="Q50" i="30"/>
  <c r="N50" i="30"/>
  <c r="U50" i="30"/>
  <c r="G51" i="31" s="1"/>
  <c r="H51" i="31" s="1"/>
  <c r="I51" i="31" s="1"/>
  <c r="R50" i="30"/>
  <c r="P50" i="30"/>
  <c r="AM50" i="30" s="1"/>
  <c r="AC50" i="30"/>
  <c r="AL50" i="30"/>
  <c r="AN50" i="30" l="1"/>
  <c r="AK50" i="30"/>
  <c r="AI50" i="30"/>
  <c r="C50" i="31" s="1"/>
  <c r="E50" i="31" s="1"/>
  <c r="K50" i="31" s="1"/>
  <c r="AJ50" i="30"/>
  <c r="AH50" i="30"/>
  <c r="B50" i="31" s="1"/>
  <c r="D50" i="31" s="1"/>
  <c r="J50" i="31" s="1"/>
  <c r="X51" i="30" l="1"/>
  <c r="AA51" i="30" s="1"/>
  <c r="AD51" i="30" s="1"/>
  <c r="Y51" i="30"/>
  <c r="AB51" i="30" s="1"/>
  <c r="W51" i="30"/>
  <c r="G50" i="30"/>
  <c r="K51" i="30" s="1"/>
  <c r="D51" i="30"/>
  <c r="F50" i="30"/>
  <c r="J51" i="30" s="1"/>
  <c r="E50" i="30"/>
  <c r="I51" i="30" s="1"/>
  <c r="B51" i="30"/>
  <c r="C51" i="30"/>
  <c r="AF51" i="30"/>
  <c r="AG51" i="30" s="1"/>
  <c r="AE51" i="30" l="1"/>
  <c r="N51" i="30"/>
  <c r="U51" i="30"/>
  <c r="R51" i="30"/>
  <c r="AO51" i="30"/>
  <c r="M51" i="30"/>
  <c r="Q51" i="30"/>
  <c r="T51" i="30"/>
  <c r="S51" i="30"/>
  <c r="V51" i="30"/>
  <c r="O51" i="30"/>
  <c r="Z51" i="30"/>
  <c r="H50" i="30"/>
  <c r="L51" i="30" s="1"/>
  <c r="AK51" i="30" l="1"/>
  <c r="G52" i="31"/>
  <c r="H52" i="31" s="1"/>
  <c r="I52" i="31" s="1"/>
  <c r="P51" i="30"/>
  <c r="AJ51" i="30"/>
  <c r="AI51" i="30"/>
  <c r="C51" i="31" s="1"/>
  <c r="E51" i="31" s="1"/>
  <c r="K51" i="31" s="1"/>
  <c r="AC51" i="30"/>
  <c r="AL51" i="30"/>
  <c r="AN51" i="30" l="1"/>
  <c r="AM51" i="30"/>
  <c r="AH51" i="30"/>
  <c r="B51" i="31" s="1"/>
  <c r="D51" i="31" s="1"/>
  <c r="J51" i="31" s="1"/>
  <c r="AF52" i="30"/>
  <c r="AG52" i="30" s="1"/>
  <c r="X52" i="30" l="1"/>
  <c r="AA52" i="30" s="1"/>
  <c r="AD52" i="30" s="1"/>
  <c r="Y52" i="30"/>
  <c r="AB52" i="30" s="1"/>
  <c r="W52" i="30"/>
  <c r="AO52" i="30"/>
  <c r="E51" i="30"/>
  <c r="I52" i="30" s="1"/>
  <c r="C52" i="30"/>
  <c r="B52" i="30"/>
  <c r="G51" i="30"/>
  <c r="K52" i="30" s="1"/>
  <c r="D52" i="30"/>
  <c r="F51" i="30"/>
  <c r="J52" i="30" s="1"/>
  <c r="AE52" i="30" l="1"/>
  <c r="S52" i="30"/>
  <c r="O52" i="30"/>
  <c r="V52" i="30"/>
  <c r="Q52" i="30"/>
  <c r="M52" i="30"/>
  <c r="T52" i="30"/>
  <c r="N52" i="30"/>
  <c r="U52" i="30"/>
  <c r="R52" i="30"/>
  <c r="Z52" i="30"/>
  <c r="H51" i="30"/>
  <c r="L52" i="30" s="1"/>
  <c r="G53" i="31" l="1"/>
  <c r="H53" i="31" s="1"/>
  <c r="I53" i="31" s="1"/>
  <c r="P52" i="30"/>
  <c r="AJ52" i="30"/>
  <c r="AI52" i="30"/>
  <c r="C52" i="31" s="1"/>
  <c r="E52" i="31" s="1"/>
  <c r="K52" i="31" s="1"/>
  <c r="AC52" i="30"/>
  <c r="AK52" i="30"/>
  <c r="AL52" i="30"/>
  <c r="AN52" i="30" l="1"/>
  <c r="AM52" i="30"/>
  <c r="AH52" i="30"/>
  <c r="B52" i="31" s="1"/>
  <c r="D52" i="31" s="1"/>
  <c r="J52" i="31" s="1"/>
  <c r="AF53" i="30"/>
  <c r="AG53" i="30" s="1"/>
  <c r="X53" i="30" l="1"/>
  <c r="AA53" i="30" s="1"/>
  <c r="AD53" i="30" s="1"/>
  <c r="Y53" i="30"/>
  <c r="AB53" i="30" s="1"/>
  <c r="AE53" i="30" s="1"/>
  <c r="W53" i="30"/>
  <c r="AO53" i="30"/>
  <c r="E52" i="30"/>
  <c r="I53" i="30" s="1"/>
  <c r="C53" i="30"/>
  <c r="F52" i="30"/>
  <c r="J53" i="30" s="1"/>
  <c r="D53" i="30"/>
  <c r="G52" i="30"/>
  <c r="K53" i="30" s="1"/>
  <c r="B53" i="30"/>
  <c r="S53" i="30" l="1"/>
  <c r="V53" i="30"/>
  <c r="O53" i="30"/>
  <c r="M53" i="30"/>
  <c r="Q53" i="30"/>
  <c r="T53" i="30"/>
  <c r="Z53" i="30"/>
  <c r="H52" i="30"/>
  <c r="L53" i="30" s="1"/>
  <c r="U53" i="30"/>
  <c r="N53" i="30"/>
  <c r="R53" i="30"/>
  <c r="AK53" i="30" l="1"/>
  <c r="G54" i="31"/>
  <c r="H54" i="31" s="1"/>
  <c r="I54" i="31" s="1"/>
  <c r="P53" i="30"/>
  <c r="AC53" i="30"/>
  <c r="AJ53" i="30"/>
  <c r="AI53" i="30"/>
  <c r="C53" i="31" s="1"/>
  <c r="E53" i="31" s="1"/>
  <c r="K53" i="31" s="1"/>
  <c r="AL53" i="30"/>
  <c r="AN53" i="30" l="1"/>
  <c r="AM53" i="30"/>
  <c r="AH53" i="30"/>
  <c r="B53" i="31" s="1"/>
  <c r="D53" i="31" s="1"/>
  <c r="J53" i="31" s="1"/>
  <c r="AF54" i="30"/>
  <c r="AG54" i="30" s="1"/>
  <c r="Y54" i="30" l="1"/>
  <c r="AB54" i="30" s="1"/>
  <c r="X54" i="30"/>
  <c r="AA54" i="30" s="1"/>
  <c r="AD54" i="30" s="1"/>
  <c r="W54" i="30"/>
  <c r="AO54" i="30"/>
  <c r="F53" i="30"/>
  <c r="J54" i="30" s="1"/>
  <c r="B54" i="30"/>
  <c r="D54" i="30"/>
  <c r="E53" i="30"/>
  <c r="I54" i="30" s="1"/>
  <c r="G53" i="30"/>
  <c r="K54" i="30" s="1"/>
  <c r="C54" i="30"/>
  <c r="AE54" i="30" l="1"/>
  <c r="S54" i="30"/>
  <c r="V54" i="30"/>
  <c r="O54" i="30"/>
  <c r="U54" i="30"/>
  <c r="R54" i="30"/>
  <c r="N54" i="30"/>
  <c r="Q54" i="30"/>
  <c r="T54" i="30"/>
  <c r="M54" i="30"/>
  <c r="Z54" i="30"/>
  <c r="H53" i="30"/>
  <c r="L54" i="30" s="1"/>
  <c r="G55" i="31" l="1"/>
  <c r="J45" i="25" s="1"/>
  <c r="AJ54" i="30"/>
  <c r="AI54" i="30"/>
  <c r="C54" i="31" s="1"/>
  <c r="E54" i="31" s="1"/>
  <c r="K54" i="31" s="1"/>
  <c r="P54" i="30"/>
  <c r="H55" i="31"/>
  <c r="I55" i="31" s="1"/>
  <c r="AK54" i="30"/>
  <c r="AL54" i="30"/>
  <c r="AC54" i="30"/>
  <c r="AN54" i="30" l="1"/>
  <c r="AM54" i="30"/>
  <c r="AH54" i="30"/>
  <c r="B54" i="31" s="1"/>
  <c r="D54" i="31" s="1"/>
  <c r="J54" i="31" s="1"/>
  <c r="AF55" i="30"/>
  <c r="AG55" i="30" s="1"/>
  <c r="X55" i="30" l="1"/>
  <c r="AA55" i="30" s="1"/>
  <c r="AD55" i="30" s="1"/>
  <c r="Y55" i="30"/>
  <c r="AB55" i="30" s="1"/>
  <c r="W55" i="30"/>
  <c r="AO55" i="30"/>
  <c r="B55" i="30"/>
  <c r="G54" i="30"/>
  <c r="K55" i="30" s="1"/>
  <c r="E54" i="30"/>
  <c r="I55" i="30" s="1"/>
  <c r="F54" i="30"/>
  <c r="J55" i="30" s="1"/>
  <c r="C55" i="30"/>
  <c r="D55" i="30"/>
  <c r="AE55" i="30" l="1"/>
  <c r="V55" i="30"/>
  <c r="O55" i="30"/>
  <c r="S55" i="30"/>
  <c r="U55" i="30"/>
  <c r="R55" i="30"/>
  <c r="N55" i="30"/>
  <c r="T55" i="30"/>
  <c r="M55" i="30"/>
  <c r="Q55" i="30"/>
  <c r="Z55" i="30"/>
  <c r="H54" i="30"/>
  <c r="L55" i="30" s="1"/>
  <c r="G56" i="31" l="1"/>
  <c r="H56" i="31" s="1"/>
  <c r="I56" i="31" s="1"/>
  <c r="AL55" i="30"/>
  <c r="AK55" i="30"/>
  <c r="P55" i="30"/>
  <c r="AC55" i="30"/>
  <c r="AJ55" i="30"/>
  <c r="AI55" i="30"/>
  <c r="C55" i="31" s="1"/>
  <c r="E55" i="31" s="1"/>
  <c r="K55" i="31" s="1"/>
  <c r="AN55" i="30" l="1"/>
  <c r="AM55" i="30"/>
  <c r="AH55" i="30"/>
  <c r="B55" i="31" s="1"/>
  <c r="D55" i="31" s="1"/>
  <c r="J55" i="31" s="1"/>
  <c r="AF56" i="30"/>
  <c r="AG56" i="30" s="1"/>
  <c r="X56" i="30" l="1"/>
  <c r="AA56" i="30" s="1"/>
  <c r="AD56" i="30" s="1"/>
  <c r="Y56" i="30"/>
  <c r="AB56" i="30" s="1"/>
  <c r="AE56" i="30" s="1"/>
  <c r="W56" i="30"/>
  <c r="E55" i="30"/>
  <c r="I56" i="30" s="1"/>
  <c r="F55" i="30"/>
  <c r="J56" i="30" s="1"/>
  <c r="C56" i="30"/>
  <c r="B56" i="30"/>
  <c r="G55" i="30"/>
  <c r="K56" i="30" s="1"/>
  <c r="D56" i="30"/>
  <c r="AO56" i="30"/>
  <c r="T56" i="30" l="1"/>
  <c r="V56" i="30"/>
  <c r="O56" i="30"/>
  <c r="S56" i="30"/>
  <c r="Z56" i="30"/>
  <c r="H55" i="30"/>
  <c r="L56" i="30" s="1"/>
  <c r="AC56" i="30" l="1"/>
  <c r="AL56" i="30"/>
  <c r="N56" i="30"/>
  <c r="R56" i="30"/>
  <c r="U56" i="30"/>
  <c r="G57" i="31" s="1"/>
  <c r="Q56" i="30"/>
  <c r="M56" i="30"/>
  <c r="P56" i="30"/>
  <c r="AM56" i="30" s="1"/>
  <c r="AK56" i="30" l="1"/>
  <c r="AN56" i="30"/>
  <c r="H57" i="31"/>
  <c r="I57" i="31" s="1"/>
  <c r="AH56" i="30"/>
  <c r="B56" i="31" s="1"/>
  <c r="D56" i="31" s="1"/>
  <c r="J56" i="31" s="1"/>
  <c r="AJ56" i="30"/>
  <c r="AI56" i="30"/>
  <c r="C56" i="31" s="1"/>
  <c r="E56" i="31" s="1"/>
  <c r="K56" i="31" s="1"/>
  <c r="Y57" i="30" l="1"/>
  <c r="AB57" i="30" s="1"/>
  <c r="X57" i="30"/>
  <c r="AA57" i="30" s="1"/>
  <c r="AD57" i="30" s="1"/>
  <c r="W57" i="30"/>
  <c r="G56" i="30"/>
  <c r="K57" i="30" s="1"/>
  <c r="D57" i="30"/>
  <c r="B57" i="30"/>
  <c r="F56" i="30"/>
  <c r="J57" i="30" s="1"/>
  <c r="C57" i="30"/>
  <c r="E56" i="30"/>
  <c r="I57" i="30" s="1"/>
  <c r="AF57" i="30"/>
  <c r="AG57" i="30" s="1"/>
  <c r="AE57" i="30" l="1"/>
  <c r="AO57" i="30"/>
  <c r="T57" i="30"/>
  <c r="Q57" i="30"/>
  <c r="M57" i="30"/>
  <c r="V57" i="30"/>
  <c r="Z57" i="30"/>
  <c r="H56" i="30"/>
  <c r="L57" i="30" s="1"/>
  <c r="N57" i="30" l="1"/>
  <c r="R57" i="30"/>
  <c r="AJ57" i="30"/>
  <c r="P57" i="30"/>
  <c r="U57" i="30"/>
  <c r="G58" i="31" s="1"/>
  <c r="AC57" i="30"/>
  <c r="O57" i="30"/>
  <c r="S57" i="30"/>
  <c r="AK57" i="30" l="1"/>
  <c r="AN57" i="30"/>
  <c r="AM57" i="30"/>
  <c r="AH57" i="30"/>
  <c r="B57" i="31" s="1"/>
  <c r="D57" i="31" s="1"/>
  <c r="J57" i="31" s="1"/>
  <c r="H58" i="31"/>
  <c r="I58" i="31" s="1"/>
  <c r="AL57" i="30"/>
  <c r="AI57" i="30"/>
  <c r="C57" i="31" s="1"/>
  <c r="E57" i="31" s="1"/>
  <c r="K57" i="31" s="1"/>
  <c r="X58" i="30" l="1"/>
  <c r="AA58" i="30" s="1"/>
  <c r="Y58" i="30"/>
  <c r="AB58" i="30" s="1"/>
  <c r="AE58" i="30" s="1"/>
  <c r="W58" i="30"/>
  <c r="AF58" i="30"/>
  <c r="AG58" i="30" s="1"/>
  <c r="E57" i="30"/>
  <c r="I58" i="30" s="1"/>
  <c r="F57" i="30"/>
  <c r="J58" i="30" s="1"/>
  <c r="B58" i="30"/>
  <c r="D58" i="30"/>
  <c r="G57" i="30"/>
  <c r="K58" i="30" s="1"/>
  <c r="C58" i="30"/>
  <c r="U58" i="30" l="1"/>
  <c r="R58" i="30"/>
  <c r="N58" i="30"/>
  <c r="T58" i="30"/>
  <c r="Q58" i="30"/>
  <c r="M58" i="30"/>
  <c r="Z58" i="30"/>
  <c r="AC58" i="30" s="1"/>
  <c r="H57" i="30"/>
  <c r="L58" i="30" s="1"/>
  <c r="V58" i="30"/>
  <c r="O58" i="30"/>
  <c r="S58" i="30"/>
  <c r="AO58" i="30"/>
  <c r="AD58" i="30"/>
  <c r="AN58" i="30" l="1"/>
  <c r="G59" i="31"/>
  <c r="H59" i="31" s="1"/>
  <c r="I59" i="31" s="1"/>
  <c r="AI58" i="30"/>
  <c r="C58" i="31" s="1"/>
  <c r="E58" i="31" s="1"/>
  <c r="K58" i="31" s="1"/>
  <c r="AJ58" i="30"/>
  <c r="AL58" i="30"/>
  <c r="P58" i="30"/>
  <c r="AM58" i="30" s="1"/>
  <c r="AK58" i="30"/>
  <c r="AH58" i="30" l="1"/>
  <c r="B58" i="31" s="1"/>
  <c r="D58" i="31" s="1"/>
  <c r="J58" i="31" s="1"/>
  <c r="AF59" i="30"/>
  <c r="AG59" i="30" s="1"/>
  <c r="Y59" i="30" l="1"/>
  <c r="AB59" i="30" s="1"/>
  <c r="W59" i="30"/>
  <c r="X59" i="30"/>
  <c r="AA59" i="30" s="1"/>
  <c r="AD59" i="30" s="1"/>
  <c r="AO59" i="30"/>
  <c r="G58" i="30"/>
  <c r="K59" i="30" s="1"/>
  <c r="E58" i="30"/>
  <c r="I59" i="30" s="1"/>
  <c r="B59" i="30"/>
  <c r="F58" i="30"/>
  <c r="J59" i="30" s="1"/>
  <c r="C59" i="30"/>
  <c r="D59" i="30"/>
  <c r="AE59" i="30" l="1"/>
  <c r="T59" i="30"/>
  <c r="M59" i="30"/>
  <c r="Q59" i="30"/>
  <c r="N59" i="30"/>
  <c r="R59" i="30"/>
  <c r="U59" i="30"/>
  <c r="V59" i="30"/>
  <c r="S59" i="30"/>
  <c r="O59" i="30"/>
  <c r="Z59" i="30"/>
  <c r="H58" i="30"/>
  <c r="L59" i="30" s="1"/>
  <c r="AK59" i="30" l="1"/>
  <c r="AL59" i="30"/>
  <c r="AJ59" i="30"/>
  <c r="AI59" i="30"/>
  <c r="C59" i="31" s="1"/>
  <c r="E59" i="31" s="1"/>
  <c r="K59" i="31" s="1"/>
  <c r="P59" i="30"/>
  <c r="G60" i="31"/>
  <c r="AC59" i="30"/>
  <c r="AN59" i="30" l="1"/>
  <c r="AM59" i="30"/>
  <c r="AH59" i="30"/>
  <c r="B59" i="31" s="1"/>
  <c r="D59" i="31" s="1"/>
  <c r="J59" i="31" s="1"/>
  <c r="H60" i="31"/>
  <c r="I60" i="31" s="1"/>
  <c r="AF60" i="30"/>
  <c r="AG60" i="30" s="1"/>
  <c r="X60" i="30" l="1"/>
  <c r="AA60" i="30" s="1"/>
  <c r="AD60" i="30" s="1"/>
  <c r="Y60" i="30"/>
  <c r="AB60" i="30" s="1"/>
  <c r="W60" i="30"/>
  <c r="AO60" i="30"/>
  <c r="G59" i="30"/>
  <c r="K60" i="30" s="1"/>
  <c r="D60" i="30"/>
  <c r="C60" i="30"/>
  <c r="E59" i="30"/>
  <c r="I60" i="30" s="1"/>
  <c r="B60" i="30"/>
  <c r="F59" i="30"/>
  <c r="J60" i="30" s="1"/>
  <c r="AE60" i="30" l="1"/>
  <c r="U60" i="30"/>
  <c r="N60" i="30"/>
  <c r="R60" i="30"/>
  <c r="Z60" i="30"/>
  <c r="H59" i="30"/>
  <c r="L60" i="30" s="1"/>
  <c r="O60" i="30"/>
  <c r="S60" i="30"/>
  <c r="V60" i="30"/>
  <c r="AK60" i="30" l="1"/>
  <c r="AC60" i="30"/>
  <c r="P60" i="30"/>
  <c r="AM60" i="30" s="1"/>
  <c r="M60" i="30"/>
  <c r="T60" i="30"/>
  <c r="G61" i="31" s="1"/>
  <c r="Q60" i="30"/>
  <c r="AL60" i="30"/>
  <c r="AN60" i="30" l="1"/>
  <c r="H61" i="31"/>
  <c r="I61" i="31" s="1"/>
  <c r="AI60" i="30"/>
  <c r="C60" i="31" s="1"/>
  <c r="E60" i="31" s="1"/>
  <c r="K60" i="31" s="1"/>
  <c r="AJ60" i="30"/>
  <c r="AH60" i="30"/>
  <c r="B60" i="31" s="1"/>
  <c r="D60" i="31" s="1"/>
  <c r="J60" i="31" s="1"/>
  <c r="X61" i="30" l="1"/>
  <c r="AA61" i="30" s="1"/>
  <c r="Y61" i="30"/>
  <c r="AB61" i="30" s="1"/>
  <c r="W61" i="30"/>
  <c r="AF61" i="30"/>
  <c r="AG61" i="30" s="1"/>
  <c r="G60" i="30"/>
  <c r="K61" i="30" s="1"/>
  <c r="B61" i="30"/>
  <c r="C61" i="30"/>
  <c r="E60" i="30"/>
  <c r="I61" i="30" s="1"/>
  <c r="F60" i="30"/>
  <c r="J61" i="30" s="1"/>
  <c r="D61" i="30"/>
  <c r="AE61" i="30" l="1"/>
  <c r="S61" i="30"/>
  <c r="O61" i="30"/>
  <c r="V61" i="30"/>
  <c r="R61" i="30"/>
  <c r="N61" i="30"/>
  <c r="U61" i="30"/>
  <c r="Z61" i="30"/>
  <c r="H60" i="30"/>
  <c r="L61" i="30" s="1"/>
  <c r="Q61" i="30"/>
  <c r="M61" i="30"/>
  <c r="T61" i="30"/>
  <c r="AD61" i="30"/>
  <c r="AO61" i="30"/>
  <c r="AC61" i="30" l="1"/>
  <c r="P61" i="30"/>
  <c r="AI61" i="30"/>
  <c r="C61" i="31" s="1"/>
  <c r="E61" i="31" s="1"/>
  <c r="K61" i="31" s="1"/>
  <c r="AJ61" i="30"/>
  <c r="AK61" i="30"/>
  <c r="AL61" i="30"/>
  <c r="G62" i="31"/>
  <c r="AN61" i="30" l="1"/>
  <c r="AM61" i="30"/>
  <c r="AH61" i="30"/>
  <c r="B61" i="31" s="1"/>
  <c r="D61" i="31" s="1"/>
  <c r="J61" i="31" s="1"/>
  <c r="H62" i="31"/>
  <c r="I62" i="31" s="1"/>
  <c r="AF62" i="30"/>
  <c r="AG62" i="30" s="1"/>
  <c r="X62" i="30" l="1"/>
  <c r="AA62" i="30" s="1"/>
  <c r="AD62" i="30" s="1"/>
  <c r="Y62" i="30"/>
  <c r="AB62" i="30" s="1"/>
  <c r="W62" i="30"/>
  <c r="AO62" i="30"/>
  <c r="B62" i="30"/>
  <c r="C62" i="30"/>
  <c r="F61" i="30"/>
  <c r="J62" i="30" s="1"/>
  <c r="G61" i="30"/>
  <c r="K62" i="30" s="1"/>
  <c r="E61" i="30"/>
  <c r="I62" i="30" s="1"/>
  <c r="D62" i="30"/>
  <c r="AE62" i="30" l="1"/>
  <c r="V62" i="30"/>
  <c r="S62" i="30"/>
  <c r="O62" i="30"/>
  <c r="M62" i="30"/>
  <c r="T62" i="30"/>
  <c r="Q62" i="30"/>
  <c r="R62" i="30"/>
  <c r="N62" i="30"/>
  <c r="U62" i="30"/>
  <c r="Z62" i="30"/>
  <c r="H61" i="30"/>
  <c r="L62" i="30" s="1"/>
  <c r="G63" i="31" l="1"/>
  <c r="H63" i="31" s="1"/>
  <c r="I63" i="31" s="1"/>
  <c r="AK62" i="30"/>
  <c r="AJ62" i="30"/>
  <c r="AI62" i="30"/>
  <c r="C62" i="31" s="1"/>
  <c r="E62" i="31" s="1"/>
  <c r="K62" i="31" s="1"/>
  <c r="P62" i="30"/>
  <c r="AC62" i="30"/>
  <c r="AL62" i="30"/>
  <c r="AN62" i="30" l="1"/>
  <c r="AM62" i="30"/>
  <c r="AH62" i="30"/>
  <c r="B62" i="31" s="1"/>
  <c r="D62" i="31" s="1"/>
  <c r="J62" i="31" s="1"/>
  <c r="AF63" i="30"/>
  <c r="AG63" i="30" s="1"/>
  <c r="X63" i="30" l="1"/>
  <c r="AA63" i="30" s="1"/>
  <c r="AD63" i="30" s="1"/>
  <c r="Y63" i="30"/>
  <c r="AB63" i="30" s="1"/>
  <c r="W63" i="30"/>
  <c r="AO63" i="30"/>
  <c r="F62" i="30"/>
  <c r="J63" i="30" s="1"/>
  <c r="E62" i="30"/>
  <c r="I63" i="30" s="1"/>
  <c r="B63" i="30"/>
  <c r="G62" i="30"/>
  <c r="K63" i="30" s="1"/>
  <c r="C63" i="30"/>
  <c r="D63" i="30"/>
  <c r="AE63" i="30" l="1"/>
  <c r="Q63" i="30"/>
  <c r="M63" i="30"/>
  <c r="T63" i="30"/>
  <c r="N63" i="30"/>
  <c r="R63" i="30"/>
  <c r="U63" i="30"/>
  <c r="S63" i="30"/>
  <c r="O63" i="30"/>
  <c r="V63" i="30"/>
  <c r="Z63" i="30"/>
  <c r="H62" i="30"/>
  <c r="L63" i="30" s="1"/>
  <c r="AK63" i="30" l="1"/>
  <c r="P63" i="30"/>
  <c r="AL63" i="30"/>
  <c r="G64" i="31"/>
  <c r="AC63" i="30"/>
  <c r="AJ63" i="30"/>
  <c r="AI63" i="30"/>
  <c r="C63" i="31" s="1"/>
  <c r="E63" i="31" s="1"/>
  <c r="K63" i="31" s="1"/>
  <c r="AN63" i="30" l="1"/>
  <c r="AM63" i="30"/>
  <c r="AH63" i="30"/>
  <c r="B63" i="31" s="1"/>
  <c r="D63" i="31" s="1"/>
  <c r="J63" i="31" s="1"/>
  <c r="AF64" i="30"/>
  <c r="AG64" i="30" s="1"/>
  <c r="H64" i="31"/>
  <c r="I64" i="31" s="1"/>
  <c r="X64" i="30" l="1"/>
  <c r="AA64" i="30" s="1"/>
  <c r="AD64" i="30" s="1"/>
  <c r="Y64" i="30"/>
  <c r="AB64" i="30" s="1"/>
  <c r="W64" i="30"/>
  <c r="AO64" i="30"/>
  <c r="B64" i="30"/>
  <c r="F63" i="30"/>
  <c r="J64" i="30" s="1"/>
  <c r="C64" i="30"/>
  <c r="E63" i="30"/>
  <c r="I64" i="30" s="1"/>
  <c r="G63" i="30"/>
  <c r="K64" i="30" s="1"/>
  <c r="D64" i="30"/>
  <c r="AE64" i="30" l="1"/>
  <c r="V64" i="30"/>
  <c r="S64" i="30"/>
  <c r="O64" i="30"/>
  <c r="Q64" i="30"/>
  <c r="M64" i="30"/>
  <c r="T64" i="30"/>
  <c r="U64" i="30"/>
  <c r="R64" i="30"/>
  <c r="N64" i="30"/>
  <c r="Z64" i="30"/>
  <c r="H63" i="30"/>
  <c r="L64" i="30" s="1"/>
  <c r="AC64" i="30" l="1"/>
  <c r="AK64" i="30"/>
  <c r="P64" i="30"/>
  <c r="G65" i="31"/>
  <c r="J46" i="25" s="1"/>
  <c r="AJ64" i="30"/>
  <c r="AI64" i="30"/>
  <c r="C64" i="31" s="1"/>
  <c r="E64" i="31" s="1"/>
  <c r="K64" i="31" s="1"/>
  <c r="AL64" i="30"/>
  <c r="AN64" i="30" l="1"/>
  <c r="AM64" i="30"/>
  <c r="AH64" i="30"/>
  <c r="B64" i="31" s="1"/>
  <c r="D64" i="31" s="1"/>
  <c r="J64" i="31" s="1"/>
  <c r="H65" i="31"/>
  <c r="I65" i="31" s="1"/>
  <c r="AF65" i="30"/>
  <c r="AG65" i="30" s="1"/>
  <c r="X65" i="30" l="1"/>
  <c r="AA65" i="30" s="1"/>
  <c r="AD65" i="30" s="1"/>
  <c r="Y65" i="30"/>
  <c r="AB65" i="30" s="1"/>
  <c r="W65" i="30"/>
  <c r="AO65" i="30"/>
  <c r="F64" i="30"/>
  <c r="J65" i="30" s="1"/>
  <c r="E64" i="30"/>
  <c r="I65" i="30" s="1"/>
  <c r="G64" i="30"/>
  <c r="K65" i="30" s="1"/>
  <c r="D65" i="30"/>
  <c r="C65" i="30"/>
  <c r="B65" i="30"/>
  <c r="AE65" i="30" l="1"/>
  <c r="T65" i="30"/>
  <c r="M65" i="30"/>
  <c r="Q65" i="30"/>
  <c r="U65" i="30"/>
  <c r="R65" i="30"/>
  <c r="N65" i="30"/>
  <c r="V65" i="30"/>
  <c r="O65" i="30"/>
  <c r="S65" i="30"/>
  <c r="Z65" i="30"/>
  <c r="AC65" i="30" s="1"/>
  <c r="H64" i="30"/>
  <c r="L65" i="30" s="1"/>
  <c r="AL65" i="30" l="1"/>
  <c r="G66" i="31"/>
  <c r="H66" i="31" s="1"/>
  <c r="I66" i="31" s="1"/>
  <c r="AJ65" i="30"/>
  <c r="AI65" i="30"/>
  <c r="C65" i="31" s="1"/>
  <c r="E65" i="31" s="1"/>
  <c r="K65" i="31" s="1"/>
  <c r="AK65" i="30"/>
  <c r="P65" i="30"/>
  <c r="AN65" i="30"/>
  <c r="AM65" i="30" l="1"/>
  <c r="AH65" i="30"/>
  <c r="B65" i="31" s="1"/>
  <c r="D65" i="31" s="1"/>
  <c r="J65" i="31" s="1"/>
  <c r="AF66" i="30"/>
  <c r="AG66" i="30" s="1"/>
  <c r="X66" i="30" l="1"/>
  <c r="AA66" i="30" s="1"/>
  <c r="AD66" i="30" s="1"/>
  <c r="W66" i="30"/>
  <c r="Y66" i="30"/>
  <c r="AB66" i="30" s="1"/>
  <c r="AO66" i="30"/>
  <c r="E65" i="30"/>
  <c r="I66" i="30" s="1"/>
  <c r="F65" i="30"/>
  <c r="J66" i="30" s="1"/>
  <c r="B66" i="30"/>
  <c r="G65" i="30"/>
  <c r="K66" i="30" s="1"/>
  <c r="C66" i="30"/>
  <c r="D66" i="30"/>
  <c r="AE66" i="30" l="1"/>
  <c r="Q66" i="30"/>
  <c r="R66" i="30"/>
  <c r="N66" i="30"/>
  <c r="U66" i="30"/>
  <c r="H65" i="30"/>
  <c r="L66" i="30" s="1"/>
  <c r="Z66" i="30"/>
  <c r="T66" i="30"/>
  <c r="M66" i="30"/>
  <c r="AJ66" i="30" l="1"/>
  <c r="AC66" i="30"/>
  <c r="P66" i="30"/>
  <c r="AM66" i="30" s="1"/>
  <c r="AK66" i="30"/>
  <c r="O66" i="30"/>
  <c r="V66" i="30"/>
  <c r="G67" i="31" s="1"/>
  <c r="S66" i="30"/>
  <c r="AL66" i="30" l="1"/>
  <c r="AH66" i="30"/>
  <c r="B66" i="31" s="1"/>
  <c r="D66" i="31" s="1"/>
  <c r="J66" i="31" s="1"/>
  <c r="X67" i="30" s="1"/>
  <c r="AA67" i="30" s="1"/>
  <c r="AI66" i="30"/>
  <c r="C66" i="31" s="1"/>
  <c r="E66" i="31" s="1"/>
  <c r="K66" i="31" s="1"/>
  <c r="AF67" i="30" s="1"/>
  <c r="AG67" i="30" s="1"/>
  <c r="H67" i="31"/>
  <c r="I67" i="31" s="1"/>
  <c r="AN66" i="30"/>
  <c r="H66" i="30" l="1"/>
  <c r="L67" i="30" s="1"/>
  <c r="P67" i="30" s="1"/>
  <c r="AM67" i="30" s="1"/>
  <c r="Y67" i="30"/>
  <c r="AB67" i="30" s="1"/>
  <c r="AE67" i="30" s="1"/>
  <c r="W67" i="30"/>
  <c r="Z67" i="30" s="1"/>
  <c r="AC67" i="30" s="1"/>
  <c r="E66" i="30"/>
  <c r="C67" i="30"/>
  <c r="G66" i="30"/>
  <c r="F66" i="30"/>
  <c r="J67" i="30" s="1"/>
  <c r="D67" i="30"/>
  <c r="B67" i="30"/>
  <c r="AO67" i="30"/>
  <c r="AD67" i="30"/>
  <c r="I67" i="30" l="1"/>
  <c r="T67" i="30" s="1"/>
  <c r="K67" i="30"/>
  <c r="O67" i="30" s="1"/>
  <c r="R67" i="30"/>
  <c r="U67" i="30"/>
  <c r="N67" i="30"/>
  <c r="AN67" i="30"/>
  <c r="Q67" i="30" l="1"/>
  <c r="AK67" i="30"/>
  <c r="M67" i="30"/>
  <c r="V67" i="30"/>
  <c r="G68" i="31" s="1"/>
  <c r="H68" i="31" s="1"/>
  <c r="I68" i="31" s="1"/>
  <c r="S67" i="30"/>
  <c r="AL67" i="30" s="1"/>
  <c r="AJ67" i="30" l="1"/>
  <c r="AH67" i="30"/>
  <c r="B67" i="31" s="1"/>
  <c r="D67" i="31" s="1"/>
  <c r="J67" i="31" s="1"/>
  <c r="Y68" i="30" s="1"/>
  <c r="AB68" i="30" s="1"/>
  <c r="AE68" i="30" s="1"/>
  <c r="AI67" i="30"/>
  <c r="C67" i="31" s="1"/>
  <c r="E67" i="31" s="1"/>
  <c r="K67" i="31" s="1"/>
  <c r="AF68" i="30" s="1"/>
  <c r="AG68" i="30" s="1"/>
  <c r="AO68" i="30" s="1"/>
  <c r="H67" i="30" l="1"/>
  <c r="L68" i="30" s="1"/>
  <c r="P68" i="30" s="1"/>
  <c r="G67" i="30"/>
  <c r="K68" i="30" s="1"/>
  <c r="X68" i="30"/>
  <c r="AA68" i="30" s="1"/>
  <c r="AD68" i="30" s="1"/>
  <c r="D68" i="30"/>
  <c r="W68" i="30"/>
  <c r="Z68" i="30" s="1"/>
  <c r="AC68" i="30" s="1"/>
  <c r="E67" i="30"/>
  <c r="I68" i="30" s="1"/>
  <c r="T68" i="30" s="1"/>
  <c r="C68" i="30"/>
  <c r="F67" i="30"/>
  <c r="J68" i="30" s="1"/>
  <c r="U68" i="30" s="1"/>
  <c r="B68" i="30"/>
  <c r="S68" i="30" l="1"/>
  <c r="V68" i="30"/>
  <c r="G69" i="31" s="1"/>
  <c r="H69" i="31" s="1"/>
  <c r="I69" i="31" s="1"/>
  <c r="O68" i="30"/>
  <c r="M68" i="30"/>
  <c r="Q68" i="30"/>
  <c r="AN68" i="30"/>
  <c r="R68" i="30"/>
  <c r="N68" i="30"/>
  <c r="AM68" i="30"/>
  <c r="AL68" i="30" l="1"/>
  <c r="AI68" i="30"/>
  <c r="C68" i="31" s="1"/>
  <c r="E68" i="31" s="1"/>
  <c r="K68" i="31" s="1"/>
  <c r="AF69" i="30" s="1"/>
  <c r="AG69" i="30" s="1"/>
  <c r="AO69" i="30" s="1"/>
  <c r="AH68" i="30"/>
  <c r="B68" i="31" s="1"/>
  <c r="D68" i="31" s="1"/>
  <c r="J68" i="31" s="1"/>
  <c r="X69" i="30" s="1"/>
  <c r="AA69" i="30" s="1"/>
  <c r="AD69" i="30" s="1"/>
  <c r="AK68" i="30"/>
  <c r="AJ68" i="30"/>
  <c r="D69" i="30" l="1"/>
  <c r="Y69" i="30"/>
  <c r="AB69" i="30" s="1"/>
  <c r="AE69" i="30" s="1"/>
  <c r="W69" i="30"/>
  <c r="B69" i="30"/>
  <c r="F68" i="30"/>
  <c r="J69" i="30" s="1"/>
  <c r="C69" i="30"/>
  <c r="E68" i="30"/>
  <c r="I69" i="30" s="1"/>
  <c r="T69" i="30" s="1"/>
  <c r="G68" i="30"/>
  <c r="K69" i="30" s="1"/>
  <c r="S69" i="30" s="1"/>
  <c r="H68" i="30"/>
  <c r="L69" i="30" s="1"/>
  <c r="Z69" i="30"/>
  <c r="AC69" i="30" s="1"/>
  <c r="M69" i="30" l="1"/>
  <c r="Q69" i="30"/>
  <c r="P69" i="30"/>
  <c r="AM69" i="30" s="1"/>
  <c r="R69" i="30"/>
  <c r="U69" i="30"/>
  <c r="N69" i="30"/>
  <c r="O69" i="30"/>
  <c r="AL69" i="30" s="1"/>
  <c r="V69" i="30"/>
  <c r="AN69" i="30"/>
  <c r="AJ69" i="30" l="1"/>
  <c r="G70" i="31"/>
  <c r="H70" i="31" s="1"/>
  <c r="I70" i="31" s="1"/>
  <c r="AH69" i="30"/>
  <c r="B69" i="31" s="1"/>
  <c r="D69" i="31" s="1"/>
  <c r="J69" i="31" s="1"/>
  <c r="AK69" i="30"/>
  <c r="AI69" i="30"/>
  <c r="C69" i="31" s="1"/>
  <c r="E69" i="31" s="1"/>
  <c r="K69" i="31" s="1"/>
  <c r="X70" i="30" l="1"/>
  <c r="AA70" i="30" s="1"/>
  <c r="W70" i="30"/>
  <c r="Z70" i="30" s="1"/>
  <c r="Y70" i="30"/>
  <c r="AB70" i="30" s="1"/>
  <c r="G69" i="30"/>
  <c r="K70" i="30" s="1"/>
  <c r="AF70" i="30"/>
  <c r="AG70" i="30" s="1"/>
  <c r="F69" i="30"/>
  <c r="J70" i="30" s="1"/>
  <c r="C70" i="30"/>
  <c r="D70" i="30"/>
  <c r="E69" i="30"/>
  <c r="I70" i="30" s="1"/>
  <c r="B70" i="30"/>
  <c r="H69" i="30"/>
  <c r="L70" i="30" s="1"/>
  <c r="AE70" i="30" l="1"/>
  <c r="AC70" i="30"/>
  <c r="P70" i="30"/>
  <c r="AM70" i="30" s="1"/>
  <c r="AD70" i="30"/>
  <c r="AO70" i="30"/>
  <c r="O70" i="30"/>
  <c r="AN70" i="30" l="1"/>
  <c r="Q70" i="30"/>
  <c r="M70" i="30"/>
  <c r="T70" i="30"/>
  <c r="V70" i="30"/>
  <c r="S70" i="30"/>
  <c r="AL70" i="30" s="1"/>
  <c r="U70" i="30"/>
  <c r="R70" i="30"/>
  <c r="N70" i="30"/>
  <c r="AK70" i="30" l="1"/>
  <c r="G71" i="31"/>
  <c r="AH70" i="30"/>
  <c r="B70" i="31" s="1"/>
  <c r="D70" i="31" s="1"/>
  <c r="J70" i="31" s="1"/>
  <c r="AJ70" i="30"/>
  <c r="AI70" i="30"/>
  <c r="C70" i="31" s="1"/>
  <c r="E70" i="31" s="1"/>
  <c r="K70" i="31" s="1"/>
  <c r="X71" i="30" l="1"/>
  <c r="AA71" i="30" s="1"/>
  <c r="W71" i="30"/>
  <c r="Y71" i="30"/>
  <c r="AB71" i="30" s="1"/>
  <c r="AE71" i="30" s="1"/>
  <c r="AF71" i="30"/>
  <c r="AG71" i="30" s="1"/>
  <c r="E70" i="30"/>
  <c r="I71" i="30" s="1"/>
  <c r="B71" i="30"/>
  <c r="F70" i="30"/>
  <c r="J71" i="30" s="1"/>
  <c r="G70" i="30"/>
  <c r="K71" i="30" s="1"/>
  <c r="D71" i="30"/>
  <c r="C71" i="30"/>
  <c r="H71" i="31"/>
  <c r="I71" i="31" s="1"/>
  <c r="V71" i="30" l="1"/>
  <c r="O71" i="30"/>
  <c r="S71" i="30"/>
  <c r="T71" i="30"/>
  <c r="Q71" i="30"/>
  <c r="M71" i="30"/>
  <c r="Z71" i="30"/>
  <c r="H70" i="30"/>
  <c r="L71" i="30" s="1"/>
  <c r="AD71" i="30"/>
  <c r="N71" i="30"/>
  <c r="R71" i="30"/>
  <c r="U71" i="30"/>
  <c r="AO71" i="30"/>
  <c r="AK71" i="30" l="1"/>
  <c r="AL71" i="30"/>
  <c r="G72" i="31"/>
  <c r="AC71" i="30"/>
  <c r="AJ71" i="30"/>
  <c r="AI71" i="30"/>
  <c r="C71" i="31" s="1"/>
  <c r="E71" i="31" s="1"/>
  <c r="K71" i="31" s="1"/>
  <c r="P71" i="30"/>
  <c r="H72" i="31" l="1"/>
  <c r="I72" i="31" s="1"/>
  <c r="AN71" i="30"/>
  <c r="AM71" i="30"/>
  <c r="AH71" i="30"/>
  <c r="B71" i="31" s="1"/>
  <c r="D71" i="31" s="1"/>
  <c r="J71" i="31" s="1"/>
  <c r="AF72" i="30"/>
  <c r="AG72" i="30" s="1"/>
  <c r="Y72" i="30" l="1"/>
  <c r="AB72" i="30" s="1"/>
  <c r="X72" i="30"/>
  <c r="AA72" i="30" s="1"/>
  <c r="AD72" i="30" s="1"/>
  <c r="W72" i="30"/>
  <c r="AO72" i="30"/>
  <c r="E71" i="30"/>
  <c r="I72" i="30" s="1"/>
  <c r="B72" i="30"/>
  <c r="D72" i="30"/>
  <c r="G71" i="30"/>
  <c r="K72" i="30" s="1"/>
  <c r="C72" i="30"/>
  <c r="F71" i="30"/>
  <c r="J72" i="30" s="1"/>
  <c r="AE72" i="30" l="1"/>
  <c r="T72" i="30"/>
  <c r="M72" i="30"/>
  <c r="Q72" i="30"/>
  <c r="N72" i="30"/>
  <c r="R72" i="30"/>
  <c r="U72" i="30"/>
  <c r="O72" i="30"/>
  <c r="V72" i="30"/>
  <c r="S72" i="30"/>
  <c r="Z72" i="30"/>
  <c r="AC72" i="30" s="1"/>
  <c r="H71" i="30"/>
  <c r="L72" i="30" s="1"/>
  <c r="AL72" i="30" l="1"/>
  <c r="AI72" i="30"/>
  <c r="C72" i="31" s="1"/>
  <c r="E72" i="31" s="1"/>
  <c r="K72" i="31" s="1"/>
  <c r="AJ72" i="30"/>
  <c r="P72" i="30"/>
  <c r="AK72" i="30"/>
  <c r="G73" i="31"/>
  <c r="H73" i="31" s="1"/>
  <c r="I73" i="31" s="1"/>
  <c r="AN72" i="30"/>
  <c r="AM72" i="30" l="1"/>
  <c r="AH72" i="30"/>
  <c r="B72" i="31" s="1"/>
  <c r="D72" i="31" s="1"/>
  <c r="J72" i="31" s="1"/>
  <c r="AF73" i="30"/>
  <c r="AG73" i="30" s="1"/>
  <c r="AO73" i="30" s="1"/>
  <c r="X73" i="30" l="1"/>
  <c r="AA73" i="30" s="1"/>
  <c r="AD73" i="30" s="1"/>
  <c r="W73" i="30"/>
  <c r="Y73" i="30"/>
  <c r="AB73" i="30" s="1"/>
  <c r="C73" i="30"/>
  <c r="F72" i="30"/>
  <c r="J73" i="30" s="1"/>
  <c r="B73" i="30"/>
  <c r="D73" i="30"/>
  <c r="E72" i="30"/>
  <c r="I73" i="30" s="1"/>
  <c r="G72" i="30"/>
  <c r="K73" i="30" s="1"/>
  <c r="AE73" i="30" l="1"/>
  <c r="R73" i="30"/>
  <c r="U73" i="30"/>
  <c r="N73" i="30"/>
  <c r="M73" i="30"/>
  <c r="H72" i="30"/>
  <c r="L73" i="30" s="1"/>
  <c r="Z73" i="30"/>
  <c r="Q73" i="30" l="1"/>
  <c r="T73" i="30"/>
  <c r="AC73" i="30"/>
  <c r="P73" i="30"/>
  <c r="AM73" i="30" s="1"/>
  <c r="O73" i="30"/>
  <c r="V73" i="30"/>
  <c r="S73" i="30"/>
  <c r="AK73" i="30"/>
  <c r="AN73" i="30" l="1"/>
  <c r="AL73" i="30"/>
  <c r="G74" i="31"/>
  <c r="AI73" i="30"/>
  <c r="C73" i="31" s="1"/>
  <c r="E73" i="31" s="1"/>
  <c r="K73" i="31" s="1"/>
  <c r="AJ73" i="30"/>
  <c r="AH73" i="30"/>
  <c r="B73" i="31" s="1"/>
  <c r="D73" i="31" s="1"/>
  <c r="J73" i="31" s="1"/>
  <c r="X74" i="30" l="1"/>
  <c r="AA74" i="30" s="1"/>
  <c r="Y74" i="30"/>
  <c r="AB74" i="30" s="1"/>
  <c r="W74" i="30"/>
  <c r="F73" i="30"/>
  <c r="J74" i="30" s="1"/>
  <c r="G73" i="30"/>
  <c r="K74" i="30" s="1"/>
  <c r="D74" i="30"/>
  <c r="E73" i="30"/>
  <c r="I74" i="30" s="1"/>
  <c r="B74" i="30"/>
  <c r="C74" i="30"/>
  <c r="AF74" i="30"/>
  <c r="AG74" i="30" s="1"/>
  <c r="H74" i="31"/>
  <c r="I74" i="31" s="1"/>
  <c r="AE74" i="30" l="1"/>
  <c r="T74" i="30"/>
  <c r="M74" i="30"/>
  <c r="Q74" i="30"/>
  <c r="AD74" i="30"/>
  <c r="AO74" i="30"/>
  <c r="O74" i="30"/>
  <c r="S74" i="30"/>
  <c r="V74" i="30"/>
  <c r="Z74" i="30"/>
  <c r="H73" i="30"/>
  <c r="L74" i="30" s="1"/>
  <c r="AJ74" i="30" l="1"/>
  <c r="P74" i="30"/>
  <c r="AM74" i="30" s="1"/>
  <c r="AC74" i="30"/>
  <c r="N74" i="30"/>
  <c r="U74" i="30"/>
  <c r="G75" i="31" s="1"/>
  <c r="J47" i="25" s="1"/>
  <c r="R74" i="30"/>
  <c r="AL74" i="30"/>
  <c r="AK74" i="30" l="1"/>
  <c r="AN74" i="30"/>
  <c r="AH74" i="30"/>
  <c r="B74" i="31" s="1"/>
  <c r="D74" i="31" s="1"/>
  <c r="J74" i="31" s="1"/>
  <c r="H75" i="31"/>
  <c r="I75" i="31" s="1"/>
  <c r="AI74" i="30"/>
  <c r="C74" i="31" s="1"/>
  <c r="E74" i="31" s="1"/>
  <c r="K74" i="31" s="1"/>
  <c r="X75" i="30" l="1"/>
  <c r="AA75" i="30" s="1"/>
  <c r="Y75" i="30"/>
  <c r="AB75" i="30" s="1"/>
  <c r="W75" i="30"/>
  <c r="Z75" i="30" s="1"/>
  <c r="F74" i="30"/>
  <c r="J75" i="30" s="1"/>
  <c r="H74" i="30"/>
  <c r="L75" i="30" s="1"/>
  <c r="D75" i="30"/>
  <c r="AF75" i="30"/>
  <c r="AG75" i="30" s="1"/>
  <c r="B75" i="30"/>
  <c r="G74" i="30"/>
  <c r="K75" i="30" s="1"/>
  <c r="E74" i="30"/>
  <c r="I75" i="30" s="1"/>
  <c r="C75" i="30"/>
  <c r="AE75" i="30" l="1"/>
  <c r="T75" i="30"/>
  <c r="Q75" i="30"/>
  <c r="M75" i="30"/>
  <c r="AD75" i="30"/>
  <c r="P75" i="30"/>
  <c r="AM75" i="30" s="1"/>
  <c r="AC75" i="30"/>
  <c r="S75" i="30"/>
  <c r="O75" i="30"/>
  <c r="V75" i="30"/>
  <c r="AO75" i="30"/>
  <c r="R75" i="30"/>
  <c r="U75" i="30"/>
  <c r="N75" i="30"/>
  <c r="AN75" i="30" l="1"/>
  <c r="AK75" i="30"/>
  <c r="AJ75" i="30"/>
  <c r="AI75" i="30"/>
  <c r="C75" i="31" s="1"/>
  <c r="E75" i="31" s="1"/>
  <c r="K75" i="31" s="1"/>
  <c r="AL75" i="30"/>
  <c r="AH75" i="30"/>
  <c r="B75" i="31" s="1"/>
  <c r="D75" i="31" s="1"/>
  <c r="J75" i="31" s="1"/>
  <c r="W76" i="30" s="1"/>
  <c r="G76" i="31"/>
  <c r="Y76" i="30" l="1"/>
  <c r="AB76" i="30" s="1"/>
  <c r="X76" i="30"/>
  <c r="AA76" i="30" s="1"/>
  <c r="AD76" i="30" s="1"/>
  <c r="H76" i="31"/>
  <c r="I76" i="31" s="1"/>
  <c r="B76" i="30"/>
  <c r="E75" i="30"/>
  <c r="I76" i="30" s="1"/>
  <c r="G75" i="30"/>
  <c r="K76" i="30" s="1"/>
  <c r="C76" i="30"/>
  <c r="F75" i="30"/>
  <c r="J76" i="30" s="1"/>
  <c r="D76" i="30"/>
  <c r="AF76" i="30"/>
  <c r="AG76" i="30" s="1"/>
  <c r="AE76" i="30" l="1"/>
  <c r="O76" i="30"/>
  <c r="V76" i="30"/>
  <c r="S76" i="30"/>
  <c r="M76" i="30"/>
  <c r="Q76" i="30"/>
  <c r="T76" i="30"/>
  <c r="AO76" i="30"/>
  <c r="R76" i="30"/>
  <c r="N76" i="30"/>
  <c r="U76" i="30"/>
  <c r="Z76" i="30"/>
  <c r="H75" i="30"/>
  <c r="L76" i="30" s="1"/>
  <c r="G77" i="31" l="1"/>
  <c r="AJ76" i="30"/>
  <c r="AI76" i="30"/>
  <c r="C76" i="31" s="1"/>
  <c r="E76" i="31" s="1"/>
  <c r="K76" i="31" s="1"/>
  <c r="AC76" i="30"/>
  <c r="AL76" i="30"/>
  <c r="AK76" i="30"/>
  <c r="P76" i="30"/>
  <c r="AN76" i="30" l="1"/>
  <c r="AM76" i="30"/>
  <c r="AH76" i="30"/>
  <c r="B76" i="31" s="1"/>
  <c r="D76" i="31" s="1"/>
  <c r="J76" i="31" s="1"/>
  <c r="AF77" i="30"/>
  <c r="AG77" i="30" s="1"/>
  <c r="H77" i="31"/>
  <c r="I77" i="31" s="1"/>
  <c r="X77" i="30" l="1"/>
  <c r="AA77" i="30" s="1"/>
  <c r="AD77" i="30" s="1"/>
  <c r="Y77" i="30"/>
  <c r="AB77" i="30" s="1"/>
  <c r="W77" i="30"/>
  <c r="AO77" i="30"/>
  <c r="D77" i="30"/>
  <c r="G76" i="30"/>
  <c r="K77" i="30" s="1"/>
  <c r="F76" i="30"/>
  <c r="J77" i="30" s="1"/>
  <c r="B77" i="30"/>
  <c r="C77" i="30"/>
  <c r="E76" i="30"/>
  <c r="I77" i="30" s="1"/>
  <c r="AE77" i="30" l="1"/>
  <c r="U77" i="30"/>
  <c r="R77" i="30"/>
  <c r="N77" i="30"/>
  <c r="M77" i="30"/>
  <c r="Q77" i="30"/>
  <c r="T77" i="30"/>
  <c r="V77" i="30"/>
  <c r="O77" i="30"/>
  <c r="S77" i="30"/>
  <c r="Z77" i="30"/>
  <c r="H76" i="30"/>
  <c r="L77" i="30" s="1"/>
  <c r="G78" i="31" l="1"/>
  <c r="H78" i="31" s="1"/>
  <c r="I78" i="31" s="1"/>
  <c r="AK77" i="30"/>
  <c r="P77" i="30"/>
  <c r="AJ77" i="30"/>
  <c r="AI77" i="30"/>
  <c r="C77" i="31" s="1"/>
  <c r="E77" i="31" s="1"/>
  <c r="K77" i="31" s="1"/>
  <c r="AC77" i="30"/>
  <c r="AL77" i="30"/>
  <c r="AN77" i="30" l="1"/>
  <c r="AM77" i="30"/>
  <c r="AH77" i="30"/>
  <c r="B77" i="31" s="1"/>
  <c r="D77" i="31" s="1"/>
  <c r="J77" i="31" s="1"/>
  <c r="AF78" i="30"/>
  <c r="AG78" i="30" s="1"/>
  <c r="AO78" i="30" s="1"/>
  <c r="X78" i="30" l="1"/>
  <c r="AA78" i="30" s="1"/>
  <c r="AD78" i="30" s="1"/>
  <c r="Y78" i="30"/>
  <c r="AB78" i="30" s="1"/>
  <c r="W78" i="30"/>
  <c r="F77" i="30"/>
  <c r="J78" i="30" s="1"/>
  <c r="C78" i="30"/>
  <c r="D78" i="30"/>
  <c r="G77" i="30"/>
  <c r="K78" i="30" s="1"/>
  <c r="E77" i="30"/>
  <c r="I78" i="30" s="1"/>
  <c r="B78" i="30"/>
  <c r="AE78" i="30" l="1"/>
  <c r="V78" i="30"/>
  <c r="S78" i="30"/>
  <c r="O78" i="30"/>
  <c r="T78" i="30"/>
  <c r="Q78" i="30"/>
  <c r="M78" i="30"/>
  <c r="N78" i="30"/>
  <c r="U78" i="30"/>
  <c r="R78" i="30"/>
  <c r="Z78" i="30"/>
  <c r="H77" i="30"/>
  <c r="L78" i="30" s="1"/>
  <c r="AJ78" i="30" l="1"/>
  <c r="AI78" i="30"/>
  <c r="C78" i="31" s="1"/>
  <c r="E78" i="31" s="1"/>
  <c r="K78" i="31" s="1"/>
  <c r="G79" i="31"/>
  <c r="AL78" i="30"/>
  <c r="P78" i="30"/>
  <c r="AC78" i="30"/>
  <c r="AK78" i="30"/>
  <c r="AN78" i="30" l="1"/>
  <c r="AM78" i="30"/>
  <c r="AH78" i="30"/>
  <c r="B78" i="31" s="1"/>
  <c r="D78" i="31" s="1"/>
  <c r="J78" i="31" s="1"/>
  <c r="H79" i="31"/>
  <c r="I79" i="31" s="1"/>
  <c r="AF79" i="30"/>
  <c r="AG79" i="30" s="1"/>
  <c r="X79" i="30" l="1"/>
  <c r="AA79" i="30" s="1"/>
  <c r="AD79" i="30" s="1"/>
  <c r="Y79" i="30"/>
  <c r="AB79" i="30" s="1"/>
  <c r="W79" i="30"/>
  <c r="AO79" i="30"/>
  <c r="E78" i="30"/>
  <c r="I79" i="30" s="1"/>
  <c r="B79" i="30"/>
  <c r="C79" i="30"/>
  <c r="F78" i="30"/>
  <c r="J79" i="30" s="1"/>
  <c r="D79" i="30"/>
  <c r="G78" i="30"/>
  <c r="K79" i="30" s="1"/>
  <c r="AE79" i="30" l="1"/>
  <c r="Q79" i="30"/>
  <c r="M79" i="30"/>
  <c r="T79" i="30"/>
  <c r="S79" i="30"/>
  <c r="O79" i="30"/>
  <c r="V79" i="30"/>
  <c r="R79" i="30"/>
  <c r="N79" i="30"/>
  <c r="U79" i="30"/>
  <c r="Z79" i="30"/>
  <c r="H78" i="30"/>
  <c r="L79" i="30" s="1"/>
  <c r="AJ79" i="30" l="1"/>
  <c r="AI79" i="30"/>
  <c r="C79" i="31" s="1"/>
  <c r="E79" i="31" s="1"/>
  <c r="K79" i="31" s="1"/>
  <c r="AL79" i="30"/>
  <c r="AK79" i="30"/>
  <c r="G80" i="31"/>
  <c r="P79" i="30"/>
  <c r="AC79" i="30"/>
  <c r="AN79" i="30" l="1"/>
  <c r="AM79" i="30"/>
  <c r="AH79" i="30"/>
  <c r="B79" i="31" s="1"/>
  <c r="D79" i="31" s="1"/>
  <c r="J79" i="31" s="1"/>
  <c r="H80" i="31"/>
  <c r="I80" i="31" s="1"/>
  <c r="AF80" i="30"/>
  <c r="AG80" i="30" s="1"/>
  <c r="X80" i="30" l="1"/>
  <c r="AA80" i="30" s="1"/>
  <c r="AD80" i="30" s="1"/>
  <c r="Y80" i="30"/>
  <c r="AB80" i="30" s="1"/>
  <c r="AE80" i="30" s="1"/>
  <c r="W80" i="30"/>
  <c r="AO80" i="30"/>
  <c r="F79" i="30"/>
  <c r="J80" i="30" s="1"/>
  <c r="B80" i="30"/>
  <c r="C80" i="30"/>
  <c r="D80" i="30"/>
  <c r="E79" i="30"/>
  <c r="I80" i="30" s="1"/>
  <c r="G79" i="30"/>
  <c r="K80" i="30" s="1"/>
  <c r="M80" i="30" l="1"/>
  <c r="Q80" i="30"/>
  <c r="T80" i="30"/>
  <c r="V80" i="30"/>
  <c r="O80" i="30"/>
  <c r="S80" i="30"/>
  <c r="R80" i="30"/>
  <c r="N80" i="30"/>
  <c r="U80" i="30"/>
  <c r="Z80" i="30"/>
  <c r="AC80" i="30" s="1"/>
  <c r="H79" i="30"/>
  <c r="L80" i="30" s="1"/>
  <c r="AL80" i="30" l="1"/>
  <c r="AK80" i="30"/>
  <c r="G81" i="31"/>
  <c r="H81" i="31" s="1"/>
  <c r="I81" i="31" s="1"/>
  <c r="AJ80" i="30"/>
  <c r="AI80" i="30"/>
  <c r="C80" i="31" s="1"/>
  <c r="E80" i="31" s="1"/>
  <c r="K80" i="31" s="1"/>
  <c r="P80" i="30"/>
  <c r="AN80" i="30"/>
  <c r="AM80" i="30" l="1"/>
  <c r="AH80" i="30"/>
  <c r="B80" i="31" s="1"/>
  <c r="D80" i="31" s="1"/>
  <c r="J80" i="31" s="1"/>
  <c r="AF81" i="30"/>
  <c r="AG81" i="30" s="1"/>
  <c r="Y81" i="30" l="1"/>
  <c r="AB81" i="30" s="1"/>
  <c r="X81" i="30"/>
  <c r="AA81" i="30" s="1"/>
  <c r="AD81" i="30" s="1"/>
  <c r="W81" i="30"/>
  <c r="AO81" i="30"/>
  <c r="C81" i="30"/>
  <c r="E80" i="30"/>
  <c r="I81" i="30" s="1"/>
  <c r="G80" i="30"/>
  <c r="K81" i="30" s="1"/>
  <c r="F80" i="30"/>
  <c r="J81" i="30" s="1"/>
  <c r="B81" i="30"/>
  <c r="D81" i="30"/>
  <c r="AE81" i="30" l="1"/>
  <c r="M81" i="30"/>
  <c r="Q81" i="30"/>
  <c r="T81" i="30"/>
  <c r="O81" i="30"/>
  <c r="N81" i="30"/>
  <c r="R81" i="30"/>
  <c r="U81" i="30"/>
  <c r="H80" i="30"/>
  <c r="L81" i="30" s="1"/>
  <c r="Z81" i="30"/>
  <c r="AC81" i="30" s="1"/>
  <c r="AK81" i="30" l="1"/>
  <c r="P81" i="30"/>
  <c r="V81" i="30"/>
  <c r="G82" i="31" s="1"/>
  <c r="S81" i="30"/>
  <c r="AL81" i="30" s="1"/>
  <c r="AJ81" i="30"/>
  <c r="AN81" i="30"/>
  <c r="AI81" i="30" l="1"/>
  <c r="C81" i="31" s="1"/>
  <c r="E81" i="31" s="1"/>
  <c r="K81" i="31" s="1"/>
  <c r="AF82" i="30" s="1"/>
  <c r="AG82" i="30" s="1"/>
  <c r="AO82" i="30" s="1"/>
  <c r="H82" i="31"/>
  <c r="I82" i="31" s="1"/>
  <c r="J48" i="25"/>
  <c r="AM81" i="30"/>
  <c r="AH81" i="30"/>
  <c r="B81" i="31" s="1"/>
  <c r="D81" i="31" s="1"/>
  <c r="J81" i="31" s="1"/>
  <c r="X82" i="30" l="1"/>
  <c r="AA82" i="30" s="1"/>
  <c r="AD82" i="30" s="1"/>
  <c r="W82" i="30"/>
  <c r="Y82" i="30"/>
  <c r="AB82" i="30" s="1"/>
  <c r="AE82" i="30" s="1"/>
  <c r="C82" i="30"/>
  <c r="B82" i="30"/>
  <c r="E81" i="30"/>
  <c r="I82" i="30" s="1"/>
  <c r="F81" i="30"/>
  <c r="J82" i="30" s="1"/>
  <c r="G81" i="30"/>
  <c r="K82" i="30" s="1"/>
  <c r="D82" i="30"/>
  <c r="N82" i="30" l="1"/>
  <c r="R82" i="30"/>
  <c r="U82" i="30"/>
  <c r="T82" i="30"/>
  <c r="M82" i="30"/>
  <c r="Q82" i="30"/>
  <c r="AJ82" i="30" s="1"/>
  <c r="O82" i="30"/>
  <c r="V82" i="30"/>
  <c r="S82" i="30"/>
  <c r="H81" i="30"/>
  <c r="L82" i="30" s="1"/>
  <c r="P82" i="30" s="1"/>
  <c r="AM82" i="30" s="1"/>
  <c r="Z82" i="30"/>
  <c r="AC82" i="30" s="1"/>
  <c r="AN82" i="30" s="1"/>
  <c r="AL82" i="30" l="1"/>
  <c r="AK82" i="30"/>
  <c r="AI82" i="30"/>
  <c r="C82" i="31" s="1"/>
  <c r="E82" i="31" s="1"/>
  <c r="K82" i="31" s="1"/>
  <c r="AH82" i="30"/>
  <c r="B82" i="31" s="1"/>
  <c r="D82" i="31" s="1"/>
  <c r="J82" i="31" s="1"/>
  <c r="E82" i="30" l="1"/>
  <c r="H82" i="30"/>
  <c r="G82" i="30"/>
  <c r="F82" i="30"/>
</calcChain>
</file>

<file path=xl/sharedStrings.xml><?xml version="1.0" encoding="utf-8"?>
<sst xmlns="http://schemas.openxmlformats.org/spreadsheetml/2006/main" count="209" uniqueCount="120">
  <si>
    <t>Oil</t>
  </si>
  <si>
    <t>Gas</t>
  </si>
  <si>
    <t>Coal</t>
  </si>
  <si>
    <t>Year</t>
  </si>
  <si>
    <t>Population</t>
  </si>
  <si>
    <t>EJ/yr</t>
  </si>
  <si>
    <t>Wind</t>
  </si>
  <si>
    <t>Solar</t>
  </si>
  <si>
    <t>Hydro</t>
  </si>
  <si>
    <t>TOTAL</t>
  </si>
  <si>
    <t>Value</t>
  </si>
  <si>
    <t>Climate intervention</t>
  </si>
  <si>
    <t>Per-capita activity</t>
  </si>
  <si>
    <t>Nuclear</t>
  </si>
  <si>
    <t>Industry</t>
  </si>
  <si>
    <t>Transport</t>
  </si>
  <si>
    <t>Residential</t>
  </si>
  <si>
    <t>Commercial and Public Services</t>
  </si>
  <si>
    <t>Agriculture / Forestry</t>
  </si>
  <si>
    <t>Fishing</t>
  </si>
  <si>
    <t>Other non-specified</t>
  </si>
  <si>
    <t>EJ</t>
  </si>
  <si>
    <r>
      <t xml:space="preserve">Demand sector, </t>
    </r>
    <r>
      <rPr>
        <b/>
        <i/>
        <sz val="10"/>
        <color rgb="FF000000"/>
        <rFont val="Palatino Linotype"/>
        <family val="1"/>
      </rPr>
      <t>i</t>
    </r>
  </si>
  <si>
    <r>
      <t xml:space="preserve">Initial proportion electric, </t>
    </r>
    <r>
      <rPr>
        <b/>
        <i/>
        <sz val="10"/>
        <color rgb="FF000000"/>
        <rFont val="Palatino Linotype"/>
        <family val="1"/>
      </rPr>
      <t>L</t>
    </r>
    <r>
      <rPr>
        <b/>
        <i/>
        <vertAlign val="subscript"/>
        <sz val="10"/>
        <color rgb="FF000000"/>
        <rFont val="Palatino Linotype"/>
        <family val="1"/>
      </rPr>
      <t>i</t>
    </r>
    <r>
      <rPr>
        <b/>
        <sz val="10"/>
        <color rgb="FF000000"/>
        <rFont val="Palatino Linotype"/>
        <family val="1"/>
      </rPr>
      <t xml:space="preserve"> (</t>
    </r>
    <r>
      <rPr>
        <b/>
        <i/>
        <sz val="10"/>
        <color rgb="FF000000"/>
        <rFont val="Palatino Linotype"/>
        <family val="1"/>
      </rPr>
      <t>t</t>
    </r>
    <r>
      <rPr>
        <b/>
        <sz val="10"/>
        <color rgb="FF000000"/>
        <rFont val="Palatino Linotype"/>
        <family val="1"/>
      </rPr>
      <t>=0)</t>
    </r>
  </si>
  <si>
    <r>
      <t xml:space="preserve">Efficiency gain from electrification, </t>
    </r>
    <r>
      <rPr>
        <b/>
        <i/>
        <sz val="10"/>
        <color rgb="FF000000"/>
        <rFont val="Palatino Linotype"/>
        <family val="1"/>
      </rPr>
      <t>Eff</t>
    </r>
    <r>
      <rPr>
        <b/>
        <i/>
        <vertAlign val="subscript"/>
        <sz val="10"/>
        <color rgb="FF000000"/>
        <rFont val="Palatino Linotype"/>
        <family val="1"/>
      </rPr>
      <t>i</t>
    </r>
  </si>
  <si>
    <r>
      <t>Share of per-capita activity, A</t>
    </r>
    <r>
      <rPr>
        <b/>
        <vertAlign val="subscript"/>
        <sz val="10"/>
        <color rgb="FF000000"/>
        <rFont val="Palatino Linotype"/>
        <family val="1"/>
      </rPr>
      <t>PC,i</t>
    </r>
    <r>
      <rPr>
        <b/>
        <sz val="10"/>
        <color rgb="FF000000"/>
        <rFont val="Palatino Linotype"/>
        <family val="1"/>
      </rPr>
      <t xml:space="preserve"> / A</t>
    </r>
    <r>
      <rPr>
        <b/>
        <vertAlign val="subscript"/>
        <sz val="10"/>
        <color rgb="FF000000"/>
        <rFont val="Palatino Linotype"/>
        <family val="1"/>
      </rPr>
      <t>PC</t>
    </r>
    <r>
      <rPr>
        <b/>
        <sz val="10"/>
        <color rgb="FF000000"/>
        <rFont val="Palatino Linotype"/>
        <family val="1"/>
      </rPr>
      <t xml:space="preserve"> (%)</t>
    </r>
  </si>
  <si>
    <r>
      <t>Table 2.</t>
    </r>
    <r>
      <rPr>
        <sz val="10"/>
        <color rgb="FF000000"/>
        <rFont val="Palatino Linotype"/>
        <family val="1"/>
      </rPr>
      <t xml:space="preserve"> Non-renewable energy parameters</t>
    </r>
  </si>
  <si>
    <r>
      <t xml:space="preserve">Table 1. </t>
    </r>
    <r>
      <rPr>
        <sz val="10"/>
        <color theme="1"/>
        <rFont val="Palatino Linotype"/>
        <family val="1"/>
      </rPr>
      <t>Sectoral demand profiles</t>
    </r>
  </si>
  <si>
    <t>Model parameter</t>
  </si>
  <si>
    <t>Units</t>
  </si>
  <si>
    <t>%</t>
  </si>
  <si>
    <r>
      <t xml:space="preserve">Initial production rate, </t>
    </r>
    <r>
      <rPr>
        <i/>
        <sz val="10"/>
        <color rgb="FF000000"/>
        <rFont val="Palatino Linotype"/>
        <family val="1"/>
      </rPr>
      <t>NR</t>
    </r>
    <r>
      <rPr>
        <i/>
        <vertAlign val="subscript"/>
        <sz val="10"/>
        <color rgb="FF000000"/>
        <rFont val="Palatino Linotype"/>
        <family val="1"/>
      </rPr>
      <t>j</t>
    </r>
    <r>
      <rPr>
        <i/>
        <sz val="10"/>
        <color rgb="FF000000"/>
        <rFont val="Palatino Linotype"/>
        <family val="1"/>
      </rPr>
      <t xml:space="preserve"> </t>
    </r>
    <r>
      <rPr>
        <sz val="10"/>
        <color rgb="FF000000"/>
        <rFont val="Palatino Linotype"/>
        <family val="1"/>
      </rPr>
      <t>(</t>
    </r>
    <r>
      <rPr>
        <i/>
        <sz val="10"/>
        <color rgb="FF000000"/>
        <rFont val="Palatino Linotype"/>
        <family val="1"/>
      </rPr>
      <t>t</t>
    </r>
    <r>
      <rPr>
        <sz val="10"/>
        <color rgb="FF000000"/>
        <rFont val="Palatino Linotype"/>
        <family val="1"/>
      </rPr>
      <t>=0)</t>
    </r>
  </si>
  <si>
    <r>
      <t xml:space="preserve">Remaining resource, </t>
    </r>
    <r>
      <rPr>
        <i/>
        <sz val="10"/>
        <color rgb="FF000000"/>
        <rFont val="Palatino Linotype"/>
        <family val="1"/>
      </rPr>
      <t>RR</t>
    </r>
    <r>
      <rPr>
        <i/>
        <vertAlign val="subscript"/>
        <sz val="10"/>
        <color rgb="FF000000"/>
        <rFont val="Palatino Linotype"/>
        <family val="1"/>
      </rPr>
      <t>j</t>
    </r>
  </si>
  <si>
    <t>% p.a.</t>
  </si>
  <si>
    <r>
      <t xml:space="preserve">Carbon intensity of fossil fuels, </t>
    </r>
    <r>
      <rPr>
        <i/>
        <sz val="10"/>
        <color rgb="FF000000"/>
        <rFont val="Palatino Linotype"/>
        <family val="1"/>
      </rPr>
      <t>C</t>
    </r>
    <r>
      <rPr>
        <i/>
        <vertAlign val="subscript"/>
        <sz val="10"/>
        <color rgb="FF000000"/>
        <rFont val="Palatino Linotype"/>
        <family val="1"/>
      </rPr>
      <t>j</t>
    </r>
  </si>
  <si>
    <r>
      <t>MtCO</t>
    </r>
    <r>
      <rPr>
        <vertAlign val="subscript"/>
        <sz val="10"/>
        <color rgb="FF000000"/>
        <rFont val="Palatino Linotype"/>
        <family val="1"/>
      </rPr>
      <t>2</t>
    </r>
    <r>
      <rPr>
        <sz val="10"/>
        <color rgb="FF000000"/>
        <rFont val="Palatino Linotype"/>
        <family val="1"/>
      </rPr>
      <t>/EJ</t>
    </r>
  </si>
  <si>
    <t>-</t>
  </si>
  <si>
    <r>
      <t xml:space="preserve">Initial fraction diverted to electricity, </t>
    </r>
    <r>
      <rPr>
        <i/>
        <sz val="10"/>
        <color rgb="FF000000"/>
        <rFont val="Palatino Linotype"/>
        <family val="1"/>
      </rPr>
      <t>NRF</t>
    </r>
    <r>
      <rPr>
        <i/>
        <vertAlign val="subscript"/>
        <sz val="10"/>
        <color rgb="FF000000"/>
        <rFont val="Palatino Linotype"/>
        <family val="1"/>
      </rPr>
      <t>j</t>
    </r>
    <r>
      <rPr>
        <i/>
        <sz val="10"/>
        <color rgb="FF000000"/>
        <rFont val="Palatino Linotype"/>
        <family val="1"/>
      </rPr>
      <t xml:space="preserve"> </t>
    </r>
    <r>
      <rPr>
        <sz val="10"/>
        <color rgb="FF000000"/>
        <rFont val="Palatino Linotype"/>
        <family val="1"/>
      </rPr>
      <t>(</t>
    </r>
    <r>
      <rPr>
        <i/>
        <sz val="10"/>
        <color rgb="FF000000"/>
        <rFont val="Palatino Linotype"/>
        <family val="1"/>
      </rPr>
      <t>t</t>
    </r>
    <r>
      <rPr>
        <sz val="10"/>
        <color rgb="FF000000"/>
        <rFont val="Palatino Linotype"/>
        <family val="1"/>
      </rPr>
      <t>=0)</t>
    </r>
  </si>
  <si>
    <r>
      <t xml:space="preserve">Efficiency of electricity conversion, </t>
    </r>
    <r>
      <rPr>
        <i/>
        <sz val="10"/>
        <color rgb="FF000000"/>
        <rFont val="Palatino Linotype"/>
        <family val="1"/>
      </rPr>
      <t>NRE</t>
    </r>
    <r>
      <rPr>
        <i/>
        <vertAlign val="subscript"/>
        <sz val="10"/>
        <color rgb="FF000000"/>
        <rFont val="Palatino Linotype"/>
        <family val="1"/>
      </rPr>
      <t>j</t>
    </r>
  </si>
  <si>
    <r>
      <t xml:space="preserve">Initial growth rate of fossil fuels &amp; nuclear, </t>
    </r>
    <r>
      <rPr>
        <i/>
        <sz val="10"/>
        <color rgb="FF000000"/>
        <rFont val="Palatino Linotype"/>
        <family val="1"/>
      </rPr>
      <t>r</t>
    </r>
    <r>
      <rPr>
        <i/>
        <vertAlign val="subscript"/>
        <sz val="10"/>
        <color rgb="FF000000"/>
        <rFont val="Palatino Linotype"/>
        <family val="1"/>
      </rPr>
      <t>j</t>
    </r>
    <r>
      <rPr>
        <i/>
        <sz val="10"/>
        <color rgb="FF000000"/>
        <rFont val="Palatino Linotype"/>
        <family val="1"/>
      </rPr>
      <t xml:space="preserve"> </t>
    </r>
    <r>
      <rPr>
        <sz val="10"/>
        <color rgb="FF000000"/>
        <rFont val="Palatino Linotype"/>
        <family val="1"/>
      </rPr>
      <t>(</t>
    </r>
    <r>
      <rPr>
        <i/>
        <sz val="10"/>
        <color rgb="FF000000"/>
        <rFont val="Palatino Linotype"/>
        <family val="1"/>
      </rPr>
      <t>t</t>
    </r>
    <r>
      <rPr>
        <sz val="10"/>
        <color rgb="FF000000"/>
        <rFont val="Palatino Linotype"/>
        <family val="1"/>
      </rPr>
      <t>=0)</t>
    </r>
  </si>
  <si>
    <r>
      <t>Table 3.</t>
    </r>
    <r>
      <rPr>
        <sz val="10"/>
        <color rgb="FF000000"/>
        <rFont val="Palatino Linotype"/>
        <family val="1"/>
      </rPr>
      <t xml:space="preserve"> Renewable electricity parameters</t>
    </r>
  </si>
  <si>
    <r>
      <t xml:space="preserve">Initial renewable electricity supply, </t>
    </r>
    <r>
      <rPr>
        <i/>
        <sz val="10"/>
        <color rgb="FF000000"/>
        <rFont val="Palatino Linotype"/>
        <family val="1"/>
      </rPr>
      <t>RE</t>
    </r>
    <r>
      <rPr>
        <i/>
        <vertAlign val="subscript"/>
        <sz val="10"/>
        <color rgb="FF000000"/>
        <rFont val="Palatino Linotype"/>
        <family val="1"/>
      </rPr>
      <t>k,net</t>
    </r>
    <r>
      <rPr>
        <i/>
        <sz val="10"/>
        <color rgb="FF000000"/>
        <rFont val="Palatino Linotype"/>
        <family val="1"/>
      </rPr>
      <t xml:space="preserve"> </t>
    </r>
    <r>
      <rPr>
        <sz val="10"/>
        <color rgb="FF000000"/>
        <rFont val="Palatino Linotype"/>
        <family val="1"/>
      </rPr>
      <t>(</t>
    </r>
    <r>
      <rPr>
        <i/>
        <sz val="10"/>
        <color rgb="FF000000"/>
        <rFont val="Palatino Linotype"/>
        <family val="1"/>
      </rPr>
      <t>t</t>
    </r>
    <r>
      <rPr>
        <sz val="10"/>
        <color rgb="FF000000"/>
        <rFont val="Palatino Linotype"/>
        <family val="1"/>
      </rPr>
      <t>=0)</t>
    </r>
  </si>
  <si>
    <r>
      <t xml:space="preserve">Saturation potential of renewable electricity, </t>
    </r>
    <r>
      <rPr>
        <i/>
        <sz val="10"/>
        <color rgb="FF000000"/>
        <rFont val="Palatino Linotype"/>
        <family val="1"/>
      </rPr>
      <t>RE</t>
    </r>
    <r>
      <rPr>
        <i/>
        <vertAlign val="subscript"/>
        <sz val="10"/>
        <color rgb="FF000000"/>
        <rFont val="Palatino Linotype"/>
        <family val="1"/>
      </rPr>
      <t>k,max</t>
    </r>
  </si>
  <si>
    <r>
      <t xml:space="preserve">Energy return on investment of renewable electricity, </t>
    </r>
    <r>
      <rPr>
        <i/>
        <sz val="10"/>
        <color rgb="FF000000"/>
        <rFont val="Palatino Linotype"/>
        <family val="1"/>
      </rPr>
      <t>EROI</t>
    </r>
    <r>
      <rPr>
        <i/>
        <vertAlign val="subscript"/>
        <sz val="10"/>
        <color rgb="FF000000"/>
        <rFont val="Palatino Linotype"/>
        <family val="1"/>
      </rPr>
      <t>k</t>
    </r>
  </si>
  <si>
    <r>
      <t xml:space="preserve">Lifespan of renewable electricity, </t>
    </r>
    <r>
      <rPr>
        <i/>
        <sz val="10"/>
        <color rgb="FF000000"/>
        <rFont val="Palatino Linotype"/>
        <family val="1"/>
      </rPr>
      <t>T</t>
    </r>
    <r>
      <rPr>
        <i/>
        <vertAlign val="subscript"/>
        <sz val="10"/>
        <color rgb="FF000000"/>
        <rFont val="Palatino Linotype"/>
        <family val="1"/>
      </rPr>
      <t>k</t>
    </r>
  </si>
  <si>
    <t>yrs</t>
  </si>
  <si>
    <r>
      <t>Table 4.</t>
    </r>
    <r>
      <rPr>
        <sz val="10"/>
        <color rgb="FF000000"/>
        <rFont val="Palatino Linotype"/>
        <family val="1"/>
      </rPr>
      <t xml:space="preserve"> Biofuel parameters</t>
    </r>
  </si>
  <si>
    <r>
      <t xml:space="preserve">Initial biofuel supply, </t>
    </r>
    <r>
      <rPr>
        <i/>
        <sz val="10"/>
        <color rgb="FF000000"/>
        <rFont val="Palatino Linotype"/>
        <family val="1"/>
      </rPr>
      <t>RE</t>
    </r>
    <r>
      <rPr>
        <i/>
        <vertAlign val="subscript"/>
        <sz val="10"/>
        <color rgb="FF000000"/>
        <rFont val="Palatino Linotype"/>
        <family val="1"/>
      </rPr>
      <t>RF,net</t>
    </r>
    <r>
      <rPr>
        <i/>
        <sz val="10"/>
        <color rgb="FF000000"/>
        <rFont val="Palatino Linotype"/>
        <family val="1"/>
      </rPr>
      <t xml:space="preserve"> </t>
    </r>
    <r>
      <rPr>
        <sz val="10"/>
        <color rgb="FF000000"/>
        <rFont val="Palatino Linotype"/>
        <family val="1"/>
      </rPr>
      <t>(</t>
    </r>
    <r>
      <rPr>
        <i/>
        <sz val="10"/>
        <color rgb="FF000000"/>
        <rFont val="Palatino Linotype"/>
        <family val="1"/>
      </rPr>
      <t>t</t>
    </r>
    <r>
      <rPr>
        <sz val="10"/>
        <color rgb="FF000000"/>
        <rFont val="Palatino Linotype"/>
        <family val="1"/>
      </rPr>
      <t>=0)</t>
    </r>
  </si>
  <si>
    <r>
      <t xml:space="preserve">Saturation potential of biofuel, </t>
    </r>
    <r>
      <rPr>
        <i/>
        <sz val="10"/>
        <color rgb="FF000000"/>
        <rFont val="Palatino Linotype"/>
        <family val="1"/>
      </rPr>
      <t>RE</t>
    </r>
    <r>
      <rPr>
        <i/>
        <vertAlign val="subscript"/>
        <sz val="10"/>
        <color rgb="FF000000"/>
        <rFont val="Palatino Linotype"/>
        <family val="1"/>
      </rPr>
      <t>RF,max</t>
    </r>
  </si>
  <si>
    <r>
      <t xml:space="preserve">Energy return on investment of biofuel, </t>
    </r>
    <r>
      <rPr>
        <i/>
        <sz val="10"/>
        <color rgb="FF000000"/>
        <rFont val="Palatino Linotype"/>
        <family val="1"/>
      </rPr>
      <t>EROI</t>
    </r>
    <r>
      <rPr>
        <i/>
        <vertAlign val="subscript"/>
        <sz val="10"/>
        <color rgb="FF000000"/>
        <rFont val="Palatino Linotype"/>
        <family val="1"/>
      </rPr>
      <t>RF</t>
    </r>
  </si>
  <si>
    <r>
      <t xml:space="preserve">Fossil fuel emissions, </t>
    </r>
    <r>
      <rPr>
        <b/>
        <i/>
        <sz val="10"/>
        <color rgb="FF000000"/>
        <rFont val="Palatino Linotype"/>
        <family val="1"/>
      </rPr>
      <t>GHG</t>
    </r>
    <r>
      <rPr>
        <b/>
        <i/>
        <vertAlign val="subscript"/>
        <sz val="10"/>
        <color rgb="FF000000"/>
        <rFont val="Palatino Linotype"/>
        <family val="1"/>
      </rPr>
      <t>target</t>
    </r>
    <r>
      <rPr>
        <b/>
        <sz val="10"/>
        <color rgb="FF000000"/>
        <rFont val="Palatino Linotype"/>
        <family val="1"/>
      </rPr>
      <t xml:space="preserve"> (</t>
    </r>
    <r>
      <rPr>
        <b/>
        <i/>
        <sz val="10"/>
        <color rgb="FF000000"/>
        <rFont val="Palatino Linotype"/>
        <family val="1"/>
      </rPr>
      <t>t</t>
    </r>
    <r>
      <rPr>
        <b/>
        <sz val="10"/>
        <color rgb="FF000000"/>
        <rFont val="Palatino Linotype"/>
        <family val="1"/>
      </rPr>
      <t>)</t>
    </r>
  </si>
  <si>
    <t>Global Population (United Nations, 2024)</t>
  </si>
  <si>
    <t>Sectoral Electrification</t>
  </si>
  <si>
    <t>Transition duration (years)</t>
  </si>
  <si>
    <r>
      <t xml:space="preserve">Initial </t>
    </r>
    <r>
      <rPr>
        <b/>
        <i/>
        <sz val="10"/>
        <color rgb="FF000000"/>
        <rFont val="Palatino Linotype"/>
        <family val="1"/>
      </rPr>
      <t>L</t>
    </r>
    <r>
      <rPr>
        <b/>
        <i/>
        <vertAlign val="subscript"/>
        <sz val="10"/>
        <color rgb="FF000000"/>
        <rFont val="Palatino Linotype"/>
        <family val="1"/>
      </rPr>
      <t>i</t>
    </r>
  </si>
  <si>
    <t>Duration (years)</t>
  </si>
  <si>
    <r>
      <t xml:space="preserve">Electrification, </t>
    </r>
    <r>
      <rPr>
        <b/>
        <i/>
        <sz val="10"/>
        <color rgb="FF000000"/>
        <rFont val="Palatino Linotype"/>
        <family val="1"/>
      </rPr>
      <t>L</t>
    </r>
    <r>
      <rPr>
        <b/>
        <i/>
        <vertAlign val="subscript"/>
        <sz val="10"/>
        <color rgb="FF000000"/>
        <rFont val="Palatino Linotype"/>
        <family val="1"/>
      </rPr>
      <t>i</t>
    </r>
  </si>
  <si>
    <r>
      <t xml:space="preserve">Efficiency gain, </t>
    </r>
    <r>
      <rPr>
        <b/>
        <i/>
        <sz val="10"/>
        <color rgb="FF000000"/>
        <rFont val="Palatino Linotype"/>
        <family val="1"/>
      </rPr>
      <t>Eff</t>
    </r>
    <r>
      <rPr>
        <b/>
        <i/>
        <vertAlign val="subscript"/>
        <sz val="10"/>
        <color rgb="FF000000"/>
        <rFont val="Palatino Linotype"/>
        <family val="1"/>
      </rPr>
      <t>i</t>
    </r>
  </si>
  <si>
    <t>Per-Capita Demand</t>
  </si>
  <si>
    <t>Electrification</t>
  </si>
  <si>
    <t>Proportion of maximum</t>
  </si>
  <si>
    <t>1 - Low</t>
  </si>
  <si>
    <t>2 - Medium</t>
  </si>
  <si>
    <t>3 - High</t>
  </si>
  <si>
    <t>1 - Degrowth (0.5x current)</t>
  </si>
  <si>
    <t>2 - Static</t>
  </si>
  <si>
    <t>3 - Medium (1.5x current)</t>
  </si>
  <si>
    <t>4 - High (2x current)</t>
  </si>
  <si>
    <r>
      <t xml:space="preserve">Electricity Demand, </t>
    </r>
    <r>
      <rPr>
        <b/>
        <i/>
        <sz val="10"/>
        <color theme="1"/>
        <rFont val="Palatino Linotype"/>
        <family val="1"/>
      </rPr>
      <t>ED</t>
    </r>
    <r>
      <rPr>
        <b/>
        <i/>
        <vertAlign val="subscript"/>
        <sz val="10"/>
        <color theme="1"/>
        <rFont val="Palatino Linotype"/>
        <family val="1"/>
      </rPr>
      <t>PC,i</t>
    </r>
    <r>
      <rPr>
        <b/>
        <i/>
        <sz val="10"/>
        <color theme="1"/>
        <rFont val="Palatino Linotype"/>
        <family val="1"/>
      </rPr>
      <t xml:space="preserve"> </t>
    </r>
    <r>
      <rPr>
        <b/>
        <sz val="10"/>
        <color theme="1"/>
        <rFont val="Palatino Linotype"/>
        <family val="1"/>
      </rPr>
      <t>(EJ)</t>
    </r>
  </si>
  <si>
    <r>
      <t xml:space="preserve">Fuel Demand, </t>
    </r>
    <r>
      <rPr>
        <b/>
        <i/>
        <sz val="10"/>
        <color theme="1"/>
        <rFont val="Palatino Linotype"/>
        <family val="1"/>
      </rPr>
      <t>FD</t>
    </r>
    <r>
      <rPr>
        <b/>
        <i/>
        <vertAlign val="subscript"/>
        <sz val="10"/>
        <color theme="1"/>
        <rFont val="Palatino Linotype"/>
        <family val="1"/>
      </rPr>
      <t>PC,i</t>
    </r>
    <r>
      <rPr>
        <b/>
        <i/>
        <sz val="10"/>
        <color theme="1"/>
        <rFont val="Palatino Linotype"/>
        <family val="1"/>
      </rPr>
      <t xml:space="preserve"> </t>
    </r>
    <r>
      <rPr>
        <b/>
        <sz val="10"/>
        <color theme="1"/>
        <rFont val="Palatino Linotype"/>
        <family val="1"/>
      </rPr>
      <t>(EJ)</t>
    </r>
  </si>
  <si>
    <r>
      <t xml:space="preserve">Production, </t>
    </r>
    <r>
      <rPr>
        <b/>
        <i/>
        <sz val="10"/>
        <color theme="1"/>
        <rFont val="Palatino Linotype"/>
        <family val="1"/>
      </rPr>
      <t>NR</t>
    </r>
    <r>
      <rPr>
        <b/>
        <i/>
        <vertAlign val="subscript"/>
        <sz val="10"/>
        <color theme="1"/>
        <rFont val="Palatino Linotype"/>
        <family val="1"/>
      </rPr>
      <t>j</t>
    </r>
    <r>
      <rPr>
        <b/>
        <i/>
        <sz val="10"/>
        <color theme="1"/>
        <rFont val="Palatino Linotype"/>
        <family val="1"/>
      </rPr>
      <t xml:space="preserve"> </t>
    </r>
    <r>
      <rPr>
        <b/>
        <sz val="10"/>
        <color theme="1"/>
        <rFont val="Palatino Linotype"/>
        <family val="1"/>
      </rPr>
      <t>(EJ)</t>
    </r>
  </si>
  <si>
    <t>Electricity (EJ)</t>
  </si>
  <si>
    <t>Fuel (EJ)</t>
  </si>
  <si>
    <r>
      <t xml:space="preserve">Final </t>
    </r>
    <r>
      <rPr>
        <b/>
        <i/>
        <sz val="10"/>
        <color rgb="FF000000"/>
        <rFont val="Palatino Linotype"/>
        <family val="1"/>
      </rPr>
      <t>L</t>
    </r>
    <r>
      <rPr>
        <b/>
        <i/>
        <vertAlign val="subscript"/>
        <sz val="10"/>
        <color rgb="FF000000"/>
        <rFont val="Palatino Linotype"/>
        <family val="1"/>
      </rPr>
      <t>i</t>
    </r>
    <r>
      <rPr>
        <b/>
        <sz val="10"/>
        <color rgb="FF000000"/>
        <rFont val="Palatino Linotype"/>
        <family val="1"/>
      </rPr>
      <t xml:space="preserve"> (scenario)</t>
    </r>
  </si>
  <si>
    <r>
      <t xml:space="preserve">New build, </t>
    </r>
    <r>
      <rPr>
        <b/>
        <i/>
        <sz val="10"/>
        <color theme="1"/>
        <rFont val="Palatino Linotype"/>
        <family val="1"/>
      </rPr>
      <t>RE</t>
    </r>
    <r>
      <rPr>
        <b/>
        <i/>
        <vertAlign val="subscript"/>
        <sz val="10"/>
        <color theme="1"/>
        <rFont val="Palatino Linotype"/>
        <family val="1"/>
      </rPr>
      <t>k,build</t>
    </r>
    <r>
      <rPr>
        <b/>
        <i/>
        <sz val="10"/>
        <color theme="1"/>
        <rFont val="Palatino Linotype"/>
        <family val="1"/>
      </rPr>
      <t xml:space="preserve"> </t>
    </r>
    <r>
      <rPr>
        <b/>
        <sz val="10"/>
        <color theme="1"/>
        <rFont val="Palatino Linotype"/>
        <family val="1"/>
      </rPr>
      <t>(EJ)</t>
    </r>
  </si>
  <si>
    <r>
      <t xml:space="preserve">Installed, </t>
    </r>
    <r>
      <rPr>
        <b/>
        <i/>
        <sz val="10"/>
        <color theme="1"/>
        <rFont val="Palatino Linotype"/>
        <family val="1"/>
      </rPr>
      <t>RE</t>
    </r>
    <r>
      <rPr>
        <b/>
        <i/>
        <vertAlign val="subscript"/>
        <sz val="10"/>
        <color theme="1"/>
        <rFont val="Palatino Linotype"/>
        <family val="1"/>
      </rPr>
      <t>k,installed</t>
    </r>
    <r>
      <rPr>
        <b/>
        <i/>
        <sz val="10"/>
        <color theme="1"/>
        <rFont val="Palatino Linotype"/>
        <family val="1"/>
      </rPr>
      <t xml:space="preserve"> </t>
    </r>
    <r>
      <rPr>
        <b/>
        <sz val="10"/>
        <color theme="1"/>
        <rFont val="Palatino Linotype"/>
        <family val="1"/>
      </rPr>
      <t>(EJ)</t>
    </r>
  </si>
  <si>
    <r>
      <t xml:space="preserve">Net supply, </t>
    </r>
    <r>
      <rPr>
        <b/>
        <i/>
        <sz val="10"/>
        <color theme="1"/>
        <rFont val="Palatino Linotype"/>
        <family val="1"/>
      </rPr>
      <t>RE</t>
    </r>
    <r>
      <rPr>
        <b/>
        <i/>
        <vertAlign val="subscript"/>
        <sz val="10"/>
        <color theme="1"/>
        <rFont val="Palatino Linotype"/>
        <family val="1"/>
      </rPr>
      <t>k,net</t>
    </r>
    <r>
      <rPr>
        <b/>
        <i/>
        <sz val="10"/>
        <color theme="1"/>
        <rFont val="Palatino Linotype"/>
        <family val="1"/>
      </rPr>
      <t xml:space="preserve"> </t>
    </r>
    <r>
      <rPr>
        <b/>
        <sz val="10"/>
        <color theme="1"/>
        <rFont val="Palatino Linotype"/>
        <family val="1"/>
      </rPr>
      <t>(EJ)</t>
    </r>
  </si>
  <si>
    <r>
      <t xml:space="preserve">Renewable electricity resources, </t>
    </r>
    <r>
      <rPr>
        <b/>
        <i/>
        <sz val="10"/>
        <color rgb="FF000000"/>
        <rFont val="Palatino Linotype"/>
        <family val="1"/>
      </rPr>
      <t>k</t>
    </r>
  </si>
  <si>
    <r>
      <t xml:space="preserve">Non-renewable resources, </t>
    </r>
    <r>
      <rPr>
        <b/>
        <i/>
        <sz val="10"/>
        <color rgb="FF000000"/>
        <rFont val="Palatino Linotype"/>
        <family val="1"/>
      </rPr>
      <t>j</t>
    </r>
  </si>
  <si>
    <r>
      <t xml:space="preserve">Fraction electricity, </t>
    </r>
    <r>
      <rPr>
        <b/>
        <i/>
        <sz val="10"/>
        <color theme="1"/>
        <rFont val="Palatino Linotype"/>
        <family val="1"/>
      </rPr>
      <t>NRF</t>
    </r>
    <r>
      <rPr>
        <b/>
        <i/>
        <vertAlign val="subscript"/>
        <sz val="10"/>
        <color theme="1"/>
        <rFont val="Palatino Linotype"/>
        <family val="1"/>
      </rPr>
      <t>j</t>
    </r>
    <r>
      <rPr>
        <b/>
        <i/>
        <sz val="10"/>
        <color theme="1"/>
        <rFont val="Palatino Linotype"/>
        <family val="1"/>
      </rPr>
      <t xml:space="preserve"> </t>
    </r>
    <r>
      <rPr>
        <b/>
        <sz val="10"/>
        <color theme="1"/>
        <rFont val="Palatino Linotype"/>
        <family val="1"/>
      </rPr>
      <t>(%)</t>
    </r>
  </si>
  <si>
    <t>Emissions (GtC)</t>
  </si>
  <si>
    <t>Scarcity signal</t>
  </si>
  <si>
    <t>Absolute scarcity</t>
  </si>
  <si>
    <t>Growth rates - renewable</t>
  </si>
  <si>
    <t>Climate Policy Setting (0 to 1)</t>
  </si>
  <si>
    <r>
      <t xml:space="preserve">Electricity, </t>
    </r>
    <r>
      <rPr>
        <b/>
        <i/>
        <sz val="10"/>
        <color theme="1"/>
        <rFont val="Palatino Linotype"/>
        <family val="1"/>
      </rPr>
      <t>EC</t>
    </r>
  </si>
  <si>
    <r>
      <t xml:space="preserve">Fuel, </t>
    </r>
    <r>
      <rPr>
        <b/>
        <i/>
        <sz val="10"/>
        <color theme="1"/>
        <rFont val="Palatino Linotype"/>
        <family val="1"/>
      </rPr>
      <t>FC</t>
    </r>
  </si>
  <si>
    <r>
      <t xml:space="preserve">Electricity, </t>
    </r>
    <r>
      <rPr>
        <b/>
        <i/>
        <sz val="10"/>
        <color theme="1"/>
        <rFont val="Palatino Linotype"/>
        <family val="1"/>
      </rPr>
      <t>s</t>
    </r>
    <r>
      <rPr>
        <b/>
        <i/>
        <vertAlign val="subscript"/>
        <sz val="10"/>
        <color theme="1"/>
        <rFont val="Palatino Linotype"/>
        <family val="1"/>
      </rPr>
      <t>E</t>
    </r>
  </si>
  <si>
    <r>
      <t xml:space="preserve">Fuel, </t>
    </r>
    <r>
      <rPr>
        <b/>
        <i/>
        <sz val="10"/>
        <color theme="1"/>
        <rFont val="Palatino Linotype"/>
        <family val="1"/>
      </rPr>
      <t>s</t>
    </r>
    <r>
      <rPr>
        <b/>
        <i/>
        <vertAlign val="subscript"/>
        <sz val="10"/>
        <color theme="1"/>
        <rFont val="Palatino Linotype"/>
        <family val="1"/>
      </rPr>
      <t>F</t>
    </r>
  </si>
  <si>
    <r>
      <t xml:space="preserve">Cumulative emissions - target, </t>
    </r>
    <r>
      <rPr>
        <b/>
        <i/>
        <sz val="10"/>
        <color theme="1"/>
        <rFont val="Palatino Linotype"/>
        <family val="1"/>
      </rPr>
      <t>GHG</t>
    </r>
    <r>
      <rPr>
        <b/>
        <i/>
        <vertAlign val="subscript"/>
        <sz val="10"/>
        <color theme="1"/>
        <rFont val="Palatino Linotype"/>
        <family val="1"/>
      </rPr>
      <t>target</t>
    </r>
  </si>
  <si>
    <r>
      <t xml:space="preserve">Cumulative emissions, </t>
    </r>
    <r>
      <rPr>
        <b/>
        <i/>
        <sz val="10"/>
        <color theme="1"/>
        <rFont val="Palatino Linotype"/>
        <family val="1"/>
      </rPr>
      <t>GHG</t>
    </r>
    <r>
      <rPr>
        <b/>
        <i/>
        <vertAlign val="subscript"/>
        <sz val="10"/>
        <color theme="1"/>
        <rFont val="Palatino Linotype"/>
        <family val="1"/>
      </rPr>
      <t>model</t>
    </r>
  </si>
  <si>
    <r>
      <t>CI</t>
    </r>
    <r>
      <rPr>
        <b/>
        <i/>
        <vertAlign val="subscript"/>
        <sz val="10"/>
        <color theme="1"/>
        <rFont val="Palatino Linotype"/>
        <family val="1"/>
      </rPr>
      <t>required</t>
    </r>
  </si>
  <si>
    <r>
      <t>CI</t>
    </r>
    <r>
      <rPr>
        <b/>
        <i/>
        <vertAlign val="subscript"/>
        <sz val="10"/>
        <color theme="1"/>
        <rFont val="Palatino Linotype"/>
        <family val="1"/>
      </rPr>
      <t>actual</t>
    </r>
  </si>
  <si>
    <r>
      <t xml:space="preserve">Electricity, </t>
    </r>
    <r>
      <rPr>
        <b/>
        <i/>
        <sz val="10"/>
        <color theme="1"/>
        <rFont val="Palatino Linotype"/>
        <family val="1"/>
      </rPr>
      <t>r</t>
    </r>
    <r>
      <rPr>
        <b/>
        <i/>
        <vertAlign val="subscript"/>
        <sz val="10"/>
        <color theme="1"/>
        <rFont val="Palatino Linotype"/>
        <family val="1"/>
      </rPr>
      <t>k</t>
    </r>
  </si>
  <si>
    <r>
      <t xml:space="preserve">Fuel, </t>
    </r>
    <r>
      <rPr>
        <b/>
        <i/>
        <sz val="10"/>
        <color theme="1"/>
        <rFont val="Palatino Linotype"/>
        <family val="1"/>
      </rPr>
      <t>r</t>
    </r>
    <r>
      <rPr>
        <b/>
        <i/>
        <vertAlign val="subscript"/>
        <sz val="10"/>
        <color theme="1"/>
        <rFont val="Palatino Linotype"/>
        <family val="1"/>
      </rPr>
      <t>RF</t>
    </r>
  </si>
  <si>
    <r>
      <t xml:space="preserve">New build, </t>
    </r>
    <r>
      <rPr>
        <b/>
        <i/>
        <sz val="10"/>
        <color theme="1"/>
        <rFont val="Palatino Linotype"/>
        <family val="1"/>
      </rPr>
      <t>RF</t>
    </r>
    <r>
      <rPr>
        <b/>
        <i/>
        <vertAlign val="subscript"/>
        <sz val="10"/>
        <color theme="1"/>
        <rFont val="Palatino Linotype"/>
        <family val="1"/>
      </rPr>
      <t>build</t>
    </r>
    <r>
      <rPr>
        <b/>
        <sz val="10"/>
        <color theme="1"/>
        <rFont val="Palatino Linotype"/>
        <family val="1"/>
      </rPr>
      <t xml:space="preserve"> (EJ)</t>
    </r>
  </si>
  <si>
    <r>
      <t xml:space="preserve">Net supply, </t>
    </r>
    <r>
      <rPr>
        <b/>
        <i/>
        <sz val="10"/>
        <color theme="1"/>
        <rFont val="Palatino Linotype"/>
        <family val="1"/>
      </rPr>
      <t>RF</t>
    </r>
    <r>
      <rPr>
        <b/>
        <i/>
        <vertAlign val="subscript"/>
        <sz val="10"/>
        <color theme="1"/>
        <rFont val="Palatino Linotype"/>
        <family val="1"/>
      </rPr>
      <t>net</t>
    </r>
    <r>
      <rPr>
        <b/>
        <sz val="10"/>
        <color theme="1"/>
        <rFont val="Palatino Linotype"/>
        <family val="1"/>
      </rPr>
      <t xml:space="preserve"> (EJ)</t>
    </r>
  </si>
  <si>
    <r>
      <t xml:space="preserve">Electricity, </t>
    </r>
    <r>
      <rPr>
        <b/>
        <i/>
        <sz val="10"/>
        <color theme="1"/>
        <rFont val="Palatino Linotype"/>
        <family val="1"/>
      </rPr>
      <t>ES</t>
    </r>
    <r>
      <rPr>
        <b/>
        <sz val="10"/>
        <color theme="1"/>
        <rFont val="Palatino Linotype"/>
        <family val="1"/>
      </rPr>
      <t xml:space="preserve"> (EJ)</t>
    </r>
  </si>
  <si>
    <r>
      <t xml:space="preserve">Fuel, </t>
    </r>
    <r>
      <rPr>
        <b/>
        <i/>
        <sz val="10"/>
        <color theme="1"/>
        <rFont val="Palatino Linotype"/>
        <family val="1"/>
      </rPr>
      <t>FS</t>
    </r>
    <r>
      <rPr>
        <b/>
        <sz val="10"/>
        <color theme="1"/>
        <rFont val="Palatino Linotype"/>
        <family val="1"/>
      </rPr>
      <t xml:space="preserve"> (EJ)</t>
    </r>
  </si>
  <si>
    <t>Annual (GtC / yr)</t>
  </si>
  <si>
    <t>Cumulative (GtC)</t>
  </si>
  <si>
    <r>
      <t>Table 5.</t>
    </r>
    <r>
      <rPr>
        <sz val="10"/>
        <color rgb="FF000000"/>
        <rFont val="Palatino Linotype"/>
        <family val="1"/>
      </rPr>
      <t xml:space="preserve"> Target emissions pathway (for 1.5°C). NOTE: adapted from published version to provide yearly values and converted to GtC.</t>
    </r>
  </si>
  <si>
    <r>
      <t xml:space="preserve">Growth rate, </t>
    </r>
    <r>
      <rPr>
        <b/>
        <i/>
        <sz val="10"/>
        <color theme="1"/>
        <rFont val="Palatino Linotype"/>
        <family val="1"/>
      </rPr>
      <t>r</t>
    </r>
    <r>
      <rPr>
        <b/>
        <i/>
        <vertAlign val="subscript"/>
        <sz val="10"/>
        <color theme="1"/>
        <rFont val="Palatino Linotype"/>
        <family val="1"/>
      </rPr>
      <t>j</t>
    </r>
    <r>
      <rPr>
        <b/>
        <i/>
        <sz val="10"/>
        <color theme="1"/>
        <rFont val="Palatino Linotype"/>
        <family val="1"/>
      </rPr>
      <t xml:space="preserve"> </t>
    </r>
    <r>
      <rPr>
        <b/>
        <sz val="10"/>
        <color theme="1"/>
        <rFont val="Palatino Linotype"/>
        <family val="1"/>
      </rPr>
      <t>(%)</t>
    </r>
  </si>
  <si>
    <r>
      <t xml:space="preserve">Final </t>
    </r>
    <r>
      <rPr>
        <b/>
        <i/>
        <sz val="10"/>
        <color rgb="FF000000"/>
        <rFont val="Palatino Linotype"/>
        <family val="1"/>
      </rPr>
      <t>L</t>
    </r>
    <r>
      <rPr>
        <b/>
        <i/>
        <vertAlign val="subscript"/>
        <sz val="10"/>
        <color rgb="FF000000"/>
        <rFont val="Palatino Linotype"/>
        <family val="1"/>
      </rPr>
      <t>i</t>
    </r>
    <r>
      <rPr>
        <b/>
        <sz val="10"/>
        <color rgb="FF000000"/>
        <rFont val="Palatino Linotype"/>
        <family val="1"/>
      </rPr>
      <t xml:space="preserve"> (max.)</t>
    </r>
  </si>
  <si>
    <t>Max. growth rate:</t>
  </si>
  <si>
    <t>Final Consumption</t>
  </si>
  <si>
    <t>Renewable Electricity</t>
  </si>
  <si>
    <t>Renewable Fuel</t>
  </si>
  <si>
    <t>Total (Electricity + Fuel)</t>
  </si>
  <si>
    <t>1.5°C</t>
  </si>
  <si>
    <t>Comparative scenarios - cumulative emissions (GtC)</t>
  </si>
  <si>
    <t>RCP2.6 minus 1.5C</t>
  </si>
  <si>
    <t>RCP4.5 minus RCP2.6</t>
  </si>
  <si>
    <t>RCP6.0 minus RCP4.5</t>
  </si>
  <si>
    <t>Modelled scenario:</t>
  </si>
  <si>
    <t>Chosen Scenario</t>
  </si>
  <si>
    <t>Climate</t>
  </si>
  <si>
    <t>Dropdown links (for front end)</t>
  </si>
  <si>
    <r>
      <t xml:space="preserve">Per-capita activity, </t>
    </r>
    <r>
      <rPr>
        <b/>
        <i/>
        <sz val="10"/>
        <color rgb="FF000000"/>
        <rFont val="Palatino Linotype"/>
        <family val="1"/>
      </rPr>
      <t>A</t>
    </r>
    <r>
      <rPr>
        <b/>
        <i/>
        <vertAlign val="subscript"/>
        <sz val="10"/>
        <color rgb="FF000000"/>
        <rFont val="Palatino Linotype"/>
        <family val="1"/>
      </rPr>
      <t>PC</t>
    </r>
    <r>
      <rPr>
        <b/>
        <sz val="10"/>
        <color rgb="FF000000"/>
        <rFont val="Palatino Linotype"/>
        <family val="1"/>
      </rPr>
      <t xml:space="preserve"> (GJ/yr)</t>
    </r>
  </si>
  <si>
    <r>
      <t xml:space="preserve">Renewable Fuel, </t>
    </r>
    <r>
      <rPr>
        <b/>
        <i/>
        <sz val="10"/>
        <color rgb="FF000000"/>
        <rFont val="Palatino Linotype"/>
        <family val="1"/>
      </rPr>
      <t>RF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</si>
</sst>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6" formatCode="0.000"/>
    <numFmt numFmtId="170" formatCode="0.0"/>
    <numFmt numFmtId="171" formatCode="_-* #,##0_-;\-* #,##0_-;_-* &quot;-&quot;??_-;_-@_-"/>
  </numFmts>
  <fonts count="19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b/>
      <i/>
      <sz val="10"/>
      <color rgb="FF000000"/>
      <name val="Palatino Linotype"/>
      <family val="1"/>
    </font>
    <font>
      <b/>
      <i/>
      <vertAlign val="subscript"/>
      <sz val="10"/>
      <color rgb="FF000000"/>
      <name val="Palatino Linotype"/>
      <family val="1"/>
    </font>
    <font>
      <b/>
      <vertAlign val="subscript"/>
      <sz val="10"/>
      <color rgb="FF000000"/>
      <name val="Palatino Linotype"/>
      <family val="1"/>
    </font>
    <font>
      <sz val="10"/>
      <color theme="1"/>
      <name val="Palatino Linotype"/>
      <family val="1"/>
    </font>
    <font>
      <b/>
      <sz val="10"/>
      <color theme="1"/>
      <name val="Palatino Linotype"/>
      <family val="1"/>
    </font>
    <font>
      <i/>
      <sz val="10"/>
      <color rgb="FF000000"/>
      <name val="Palatino Linotype"/>
      <family val="1"/>
    </font>
    <font>
      <i/>
      <vertAlign val="subscript"/>
      <sz val="10"/>
      <color rgb="FF000000"/>
      <name val="Palatino Linotype"/>
      <family val="1"/>
    </font>
    <font>
      <vertAlign val="subscript"/>
      <sz val="10"/>
      <color rgb="FF000000"/>
      <name val="Palatino Linotype"/>
      <family val="1"/>
    </font>
    <font>
      <b/>
      <i/>
      <sz val="10"/>
      <color theme="1"/>
      <name val="Palatino Linotype"/>
      <family val="1"/>
    </font>
    <font>
      <b/>
      <i/>
      <vertAlign val="subscript"/>
      <sz val="10"/>
      <color theme="1"/>
      <name val="Palatino Linotype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4" fillId="0" borderId="0"/>
    <xf numFmtId="9" fontId="3" fillId="0" borderId="0" applyFont="0" applyFill="0" applyBorder="0" applyAlignment="0" applyProtection="0"/>
    <xf numFmtId="0" fontId="1" fillId="0" borderId="0"/>
    <xf numFmtId="0" fontId="5" fillId="0" borderId="0"/>
    <xf numFmtId="0" fontId="5" fillId="0" borderId="0"/>
    <xf numFmtId="0" fontId="6" fillId="0" borderId="0" applyFill="0" applyBorder="0"/>
    <xf numFmtId="43" fontId="3" fillId="0" borderId="0" applyFont="0" applyFill="0" applyBorder="0" applyAlignment="0" applyProtection="0"/>
  </cellStyleXfs>
  <cellXfs count="92">
    <xf numFmtId="0" fontId="0" fillId="0" borderId="0" xfId="0"/>
    <xf numFmtId="0" fontId="0" fillId="2" borderId="0" xfId="0" applyFill="1"/>
    <xf numFmtId="0" fontId="8" fillId="0" borderId="0" xfId="0" applyFont="1"/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0" fontId="7" fillId="0" borderId="1" xfId="0" applyNumberFormat="1" applyFont="1" applyBorder="1" applyAlignment="1">
      <alignment horizontal="center" vertical="center" wrapText="1"/>
    </xf>
    <xf numFmtId="9" fontId="7" fillId="0" borderId="1" xfId="0" applyNumberFormat="1" applyFont="1" applyBorder="1" applyAlignment="1">
      <alignment horizontal="center" vertical="center" wrapText="1"/>
    </xf>
    <xf numFmtId="0" fontId="12" fillId="0" borderId="0" xfId="0" applyFont="1"/>
    <xf numFmtId="0" fontId="13" fillId="0" borderId="0" xfId="0" applyFont="1"/>
    <xf numFmtId="3" fontId="7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43" fontId="0" fillId="0" borderId="0" xfId="0" applyNumberFormat="1"/>
    <xf numFmtId="9" fontId="7" fillId="0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70" fontId="7" fillId="0" borderId="1" xfId="8" applyNumberFormat="1" applyFont="1" applyBorder="1" applyAlignment="1">
      <alignment horizontal="center"/>
    </xf>
    <xf numFmtId="171" fontId="7" fillId="0" borderId="1" xfId="8" applyNumberFormat="1" applyFont="1" applyBorder="1" applyAlignment="1">
      <alignment horizontal="center"/>
    </xf>
    <xf numFmtId="0" fontId="13" fillId="0" borderId="1" xfId="0" applyFont="1" applyBorder="1"/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9" fontId="12" fillId="0" borderId="1" xfId="0" applyNumberFormat="1" applyFont="1" applyBorder="1"/>
    <xf numFmtId="2" fontId="7" fillId="0" borderId="1" xfId="0" applyNumberFormat="1" applyFont="1" applyBorder="1" applyAlignment="1">
      <alignment horizontal="center"/>
    </xf>
    <xf numFmtId="0" fontId="8" fillId="0" borderId="9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2" fontId="7" fillId="0" borderId="11" xfId="0" applyNumberFormat="1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2" fontId="7" fillId="0" borderId="1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2" fontId="8" fillId="0" borderId="9" xfId="0" applyNumberFormat="1" applyFont="1" applyBorder="1" applyAlignment="1">
      <alignment horizontal="center"/>
    </xf>
    <xf numFmtId="2" fontId="8" fillId="0" borderId="12" xfId="0" applyNumberFormat="1" applyFont="1" applyBorder="1" applyAlignment="1">
      <alignment horizontal="center"/>
    </xf>
    <xf numFmtId="0" fontId="8" fillId="0" borderId="15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2" fillId="0" borderId="0" xfId="0" applyFont="1" applyBorder="1"/>
    <xf numFmtId="2" fontId="8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2" fontId="12" fillId="0" borderId="1" xfId="0" applyNumberFormat="1" applyFont="1" applyBorder="1" applyAlignment="1">
      <alignment horizontal="center"/>
    </xf>
    <xf numFmtId="9" fontId="12" fillId="0" borderId="0" xfId="0" applyNumberFormat="1" applyFont="1"/>
    <xf numFmtId="2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170" fontId="12" fillId="0" borderId="1" xfId="0" applyNumberFormat="1" applyFont="1" applyBorder="1"/>
    <xf numFmtId="0" fontId="13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Fill="1" applyBorder="1"/>
    <xf numFmtId="0" fontId="13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171" fontId="7" fillId="0" borderId="9" xfId="8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71" fontId="7" fillId="0" borderId="11" xfId="8" applyNumberFormat="1" applyFont="1" applyBorder="1" applyAlignment="1">
      <alignment horizontal="center"/>
    </xf>
    <xf numFmtId="171" fontId="7" fillId="0" borderId="12" xfId="8" applyNumberFormat="1" applyFont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170" fontId="0" fillId="0" borderId="9" xfId="0" applyNumberFormat="1" applyBorder="1" applyAlignment="1">
      <alignment horizontal="center"/>
    </xf>
    <xf numFmtId="170" fontId="7" fillId="0" borderId="11" xfId="8" applyNumberFormat="1" applyFont="1" applyBorder="1" applyAlignment="1">
      <alignment horizontal="center"/>
    </xf>
    <xf numFmtId="170" fontId="0" fillId="0" borderId="12" xfId="0" applyNumberFormat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2" fontId="12" fillId="0" borderId="9" xfId="0" applyNumberFormat="1" applyFont="1" applyBorder="1" applyAlignment="1">
      <alignment horizontal="center"/>
    </xf>
    <xf numFmtId="2" fontId="12" fillId="0" borderId="12" xfId="0" applyNumberFormat="1" applyFont="1" applyBorder="1" applyAlignment="1">
      <alignment horizontal="center"/>
    </xf>
    <xf numFmtId="171" fontId="12" fillId="0" borderId="8" xfId="8" applyNumberFormat="1" applyFont="1" applyBorder="1" applyAlignment="1">
      <alignment horizontal="center"/>
    </xf>
    <xf numFmtId="171" fontId="12" fillId="0" borderId="10" xfId="8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12" fillId="0" borderId="1" xfId="0" applyNumberFormat="1" applyFont="1" applyBorder="1"/>
    <xf numFmtId="166" fontId="12" fillId="0" borderId="1" xfId="0" applyNumberFormat="1" applyFont="1" applyBorder="1"/>
    <xf numFmtId="0" fontId="8" fillId="0" borderId="2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horizontal="center"/>
    </xf>
  </cellXfs>
  <cellStyles count="9">
    <cellStyle name="Comma" xfId="8" builtinId="3"/>
    <cellStyle name="Normal" xfId="0" builtinId="0"/>
    <cellStyle name="Normal 10" xfId="5" xr:uid="{9ABCE4FF-E86E-4D44-8369-B7FC0AFA15B1}"/>
    <cellStyle name="Normal 13" xfId="6" xr:uid="{07BF209A-F3D9-4028-8E05-DBB3B2BB71A4}"/>
    <cellStyle name="Normal 2" xfId="1" xr:uid="{D7C89502-988E-4456-80B0-5B6BEBC8B1B4}"/>
    <cellStyle name="Normal 2 2 3" xfId="7" xr:uid="{6C837CAE-D012-4199-B124-9944E05A17F3}"/>
    <cellStyle name="Normal 3" xfId="2" xr:uid="{6AD6FCE4-829D-4A36-BD3A-7F6B9D59AD89}"/>
    <cellStyle name="Normal 4" xfId="4" xr:uid="{27000182-CBB9-47A4-8985-6AE7301F17BC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AU"/>
              <a:t>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452751658469879"/>
          <c:y val="0.33220440733498918"/>
          <c:w val="0.73642178222867771"/>
          <c:h val="0.4770275326322464"/>
        </c:manualLayout>
      </c:layout>
      <c:scatterChart>
        <c:scatterStyle val="lineMarker"/>
        <c:varyColors val="0"/>
        <c:ser>
          <c:idx val="0"/>
          <c:order val="0"/>
          <c:tx>
            <c:v>Population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'Growth Scenarios'!$A$3:$A$80</c:f>
              <c:numCache>
                <c:formatCode>General</c:formatCode>
                <c:ptCount val="7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</c:numCache>
            </c:numRef>
          </c:xVal>
          <c:yVal>
            <c:numRef>
              <c:f>'Growth Scenarios'!$J$3:$J$80</c:f>
              <c:numCache>
                <c:formatCode>_-* #,##0_-;\-* #,##0_-;_-* "-"??_-;_-@_-</c:formatCode>
                <c:ptCount val="78"/>
                <c:pt idx="0">
                  <c:v>8056505564</c:v>
                </c:pt>
                <c:pt idx="1">
                  <c:v>8126964296</c:v>
                </c:pt>
                <c:pt idx="2">
                  <c:v>8196980849</c:v>
                </c:pt>
                <c:pt idx="3">
                  <c:v>8266245291</c:v>
                </c:pt>
                <c:pt idx="4">
                  <c:v>8335111500</c:v>
                </c:pt>
                <c:pt idx="5">
                  <c:v>8403077188.999999</c:v>
                </c:pt>
                <c:pt idx="6">
                  <c:v>8470160584.000001</c:v>
                </c:pt>
                <c:pt idx="7">
                  <c:v>8536410062.000001</c:v>
                </c:pt>
                <c:pt idx="8">
                  <c:v>8601839760</c:v>
                </c:pt>
                <c:pt idx="9">
                  <c:v>8666398907</c:v>
                </c:pt>
                <c:pt idx="10">
                  <c:v>8730060717</c:v>
                </c:pt>
                <c:pt idx="11">
                  <c:v>8792837445</c:v>
                </c:pt>
                <c:pt idx="12">
                  <c:v>8854732372</c:v>
                </c:pt>
                <c:pt idx="13">
                  <c:v>8915687990</c:v>
                </c:pt>
                <c:pt idx="14">
                  <c:v>8975685239</c:v>
                </c:pt>
                <c:pt idx="15">
                  <c:v>9034620009</c:v>
                </c:pt>
                <c:pt idx="16">
                  <c:v>9092525843</c:v>
                </c:pt>
                <c:pt idx="17">
                  <c:v>9149330917</c:v>
                </c:pt>
                <c:pt idx="18">
                  <c:v>9205049488</c:v>
                </c:pt>
                <c:pt idx="19">
                  <c:v>9259513662</c:v>
                </c:pt>
                <c:pt idx="20">
                  <c:v>9312707079</c:v>
                </c:pt>
                <c:pt idx="21">
                  <c:v>9364615549</c:v>
                </c:pt>
                <c:pt idx="22">
                  <c:v>9415131838</c:v>
                </c:pt>
                <c:pt idx="23">
                  <c:v>9464147498</c:v>
                </c:pt>
                <c:pt idx="24">
                  <c:v>9511631710</c:v>
                </c:pt>
                <c:pt idx="25">
                  <c:v>9557460245</c:v>
                </c:pt>
                <c:pt idx="26">
                  <c:v>9601611841</c:v>
                </c:pt>
                <c:pt idx="27">
                  <c:v>9644036216</c:v>
                </c:pt>
                <c:pt idx="28">
                  <c:v>9684720958</c:v>
                </c:pt>
                <c:pt idx="29">
                  <c:v>9723663649</c:v>
                </c:pt>
                <c:pt idx="30">
                  <c:v>9760865381</c:v>
                </c:pt>
                <c:pt idx="31">
                  <c:v>9796363847</c:v>
                </c:pt>
                <c:pt idx="32">
                  <c:v>9830139471</c:v>
                </c:pt>
                <c:pt idx="33">
                  <c:v>9862335670</c:v>
                </c:pt>
                <c:pt idx="34">
                  <c:v>9893025114</c:v>
                </c:pt>
                <c:pt idx="35">
                  <c:v>9922249272</c:v>
                </c:pt>
                <c:pt idx="36">
                  <c:v>9950079486</c:v>
                </c:pt>
                <c:pt idx="37">
                  <c:v>9976594679</c:v>
                </c:pt>
                <c:pt idx="38">
                  <c:v>10001869905</c:v>
                </c:pt>
                <c:pt idx="39">
                  <c:v>10025962521</c:v>
                </c:pt>
                <c:pt idx="40">
                  <c:v>10048970678</c:v>
                </c:pt>
                <c:pt idx="41">
                  <c:v>10070929392</c:v>
                </c:pt>
                <c:pt idx="42">
                  <c:v>10091876081</c:v>
                </c:pt>
                <c:pt idx="43">
                  <c:v>10111823041</c:v>
                </c:pt>
                <c:pt idx="44">
                  <c:v>10130811174</c:v>
                </c:pt>
                <c:pt idx="45">
                  <c:v>10148805547</c:v>
                </c:pt>
                <c:pt idx="46">
                  <c:v>10165798334</c:v>
                </c:pt>
                <c:pt idx="47">
                  <c:v>10181765935</c:v>
                </c:pt>
                <c:pt idx="48">
                  <c:v>10196717983</c:v>
                </c:pt>
                <c:pt idx="49">
                  <c:v>10210645154</c:v>
                </c:pt>
                <c:pt idx="50">
                  <c:v>10223465184</c:v>
                </c:pt>
                <c:pt idx="51">
                  <c:v>10235190464</c:v>
                </c:pt>
                <c:pt idx="52">
                  <c:v>10245779647</c:v>
                </c:pt>
                <c:pt idx="53">
                  <c:v>10255213216</c:v>
                </c:pt>
                <c:pt idx="54">
                  <c:v>10263489648</c:v>
                </c:pt>
                <c:pt idx="55">
                  <c:v>10270600397</c:v>
                </c:pt>
                <c:pt idx="56">
                  <c:v>10276512248</c:v>
                </c:pt>
                <c:pt idx="57">
                  <c:v>10281262698</c:v>
                </c:pt>
                <c:pt idx="58">
                  <c:v>10284893359</c:v>
                </c:pt>
                <c:pt idx="59">
                  <c:v>10287430111</c:v>
                </c:pt>
                <c:pt idx="60">
                  <c:v>10288979989</c:v>
                </c:pt>
                <c:pt idx="61">
                  <c:v>10289514658</c:v>
                </c:pt>
                <c:pt idx="62">
                  <c:v>10289115830</c:v>
                </c:pt>
                <c:pt idx="63">
                  <c:v>10287797368</c:v>
                </c:pt>
                <c:pt idx="64">
                  <c:v>10285619351</c:v>
                </c:pt>
                <c:pt idx="65">
                  <c:v>10282603396</c:v>
                </c:pt>
                <c:pt idx="66">
                  <c:v>10278805749</c:v>
                </c:pt>
                <c:pt idx="67">
                  <c:v>10274230810</c:v>
                </c:pt>
                <c:pt idx="68">
                  <c:v>10268899331</c:v>
                </c:pt>
                <c:pt idx="69">
                  <c:v>10262824096</c:v>
                </c:pt>
                <c:pt idx="70">
                  <c:v>10255992655</c:v>
                </c:pt>
                <c:pt idx="71">
                  <c:v>10248376862</c:v>
                </c:pt>
                <c:pt idx="72">
                  <c:v>10239994812</c:v>
                </c:pt>
                <c:pt idx="73">
                  <c:v>10230812389</c:v>
                </c:pt>
                <c:pt idx="74">
                  <c:v>10220889358</c:v>
                </c:pt>
                <c:pt idx="75">
                  <c:v>10210209263</c:v>
                </c:pt>
                <c:pt idx="76">
                  <c:v>10198770461</c:v>
                </c:pt>
                <c:pt idx="77">
                  <c:v>10186607670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2-4411-B750-454554378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246367"/>
        <c:axId val="640248287"/>
      </c:scatterChart>
      <c:valAx>
        <c:axId val="640246367"/>
        <c:scaling>
          <c:orientation val="minMax"/>
          <c:max val="2100"/>
          <c:min val="202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640248287"/>
        <c:crosses val="autoZero"/>
        <c:crossBetween val="midCat"/>
      </c:valAx>
      <c:valAx>
        <c:axId val="640248287"/>
        <c:scaling>
          <c:orientation val="minMax"/>
          <c:max val="20000000000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64024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AU"/>
              <a:t>Per-capita activity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34681457722942"/>
          <c:y val="0.35062070692927055"/>
          <c:w val="0.7166844251496608"/>
          <c:h val="0.4557986568309072"/>
        </c:manualLayout>
      </c:layout>
      <c:scatterChart>
        <c:scatterStyle val="lineMarker"/>
        <c:varyColors val="0"/>
        <c:ser>
          <c:idx val="1"/>
          <c:order val="0"/>
          <c:tx>
            <c:v>Per-capita energy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'Growth Scenarios'!$A$3:$A$80</c:f>
              <c:numCache>
                <c:formatCode>General</c:formatCode>
                <c:ptCount val="7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</c:numCache>
            </c:numRef>
          </c:xVal>
          <c:yVal>
            <c:numRef>
              <c:f>'Growth Scenarios'!$K$3:$K$80</c:f>
              <c:numCache>
                <c:formatCode>0.00</c:formatCode>
                <c:ptCount val="78"/>
                <c:pt idx="0">
                  <c:v>48.052327831985814</c:v>
                </c:pt>
                <c:pt idx="1">
                  <c:v>48.14411580848882</c:v>
                </c:pt>
                <c:pt idx="2">
                  <c:v>48.244545969259669</c:v>
                </c:pt>
                <c:pt idx="3">
                  <c:v>48.354157693622589</c:v>
                </c:pt>
                <c:pt idx="4">
                  <c:v>48.473491735851553</c:v>
                </c:pt>
                <c:pt idx="5">
                  <c:v>48.603086120423953</c:v>
                </c:pt>
                <c:pt idx="6">
                  <c:v>48.743471701939853</c:v>
                </c:pt>
                <c:pt idx="7">
                  <c:v>48.895167418195037</c:v>
                </c:pt>
                <c:pt idx="8">
                  <c:v>49.058675272125804</c:v>
                </c:pt>
                <c:pt idx="9">
                  <c:v>49.234475085535536</c:v>
                </c:pt>
                <c:pt idx="10">
                  <c:v>49.423019074514229</c:v>
                </c:pt>
                <c:pt idx="11">
                  <c:v>49.624726303112865</c:v>
                </c:pt>
                <c:pt idx="12">
                  <c:v>49.8399770779696</c:v>
                </c:pt>
                <c:pt idx="13">
                  <c:v>50.069107352038714</c:v>
                </c:pt>
                <c:pt idx="14">
                  <c:v>50.31240321018393</c:v>
                </c:pt>
                <c:pt idx="15">
                  <c:v>50.57009551301249</c:v>
                </c:pt>
                <c:pt idx="16">
                  <c:v>50.842354777802129</c:v>
                </c:pt>
                <c:pt idx="17">
                  <c:v>51.129286376587736</c:v>
                </c:pt>
                <c:pt idx="18">
                  <c:v>51.430926131323673</c:v>
                </c:pt>
                <c:pt idx="19">
                  <c:v>51.747236384444221</c:v>
                </c:pt>
                <c:pt idx="20">
                  <c:v>52.078102620060825</c:v>
                </c:pt>
                <c:pt idx="21">
                  <c:v>52.423330706441348</c:v>
                </c:pt>
                <c:pt idx="22">
                  <c:v>52.782644824332657</c:v>
                </c:pt>
                <c:pt idx="23">
                  <c:v>53.155686138162856</c:v>
                </c:pt>
                <c:pt idx="24">
                  <c:v>53.542012258282668</c:v>
                </c:pt>
                <c:pt idx="25">
                  <c:v>53.941097532297015</c:v>
                </c:pt>
                <c:pt idx="26">
                  <c:v>54.352334192354817</c:v>
                </c:pt>
                <c:pt idx="27">
                  <c:v>54.775034373192</c:v>
                </c:pt>
                <c:pt idx="28">
                  <c:v>55.20843300297404</c:v>
                </c:pt>
                <c:pt idx="29">
                  <c:v>55.651691555794983</c:v>
                </c:pt>
                <c:pt idx="30">
                  <c:v>56.103902641314065</c:v>
                </c:pt>
                <c:pt idx="31">
                  <c:v>56.564095393713011</c:v>
                </c:pt>
                <c:pt idx="32">
                  <c:v>57.031241609207591</c:v>
                </c:pt>
                <c:pt idx="33">
                  <c:v>57.504262569015033</c:v>
                </c:pt>
                <c:pt idx="34">
                  <c:v>57.982036473224156</c:v>
                </c:pt>
                <c:pt idx="35">
                  <c:v>58.463406400684754</c:v>
                </c:pt>
                <c:pt idx="36">
                  <c:v>58.947188701049903</c:v>
                </c:pt>
                <c:pt idx="37">
                  <c:v>59.432181717666772</c:v>
                </c:pt>
                <c:pt idx="38">
                  <c:v>59.917174734283641</c:v>
                </c:pt>
                <c:pt idx="39">
                  <c:v>60.400957034648783</c:v>
                </c:pt>
                <c:pt idx="40">
                  <c:v>60.882326962109381</c:v>
                </c:pt>
                <c:pt idx="41">
                  <c:v>61.360100866318504</c:v>
                </c:pt>
                <c:pt idx="42">
                  <c:v>61.833121826125947</c:v>
                </c:pt>
                <c:pt idx="43">
                  <c:v>62.300268041620541</c:v>
                </c:pt>
                <c:pt idx="44">
                  <c:v>62.760460794019473</c:v>
                </c:pt>
                <c:pt idx="45">
                  <c:v>63.212671879538561</c:v>
                </c:pt>
                <c:pt idx="46">
                  <c:v>63.655930432359504</c:v>
                </c:pt>
                <c:pt idx="47">
                  <c:v>64.089329062141545</c:v>
                </c:pt>
                <c:pt idx="48">
                  <c:v>64.512029242978727</c:v>
                </c:pt>
                <c:pt idx="49">
                  <c:v>64.923265903036523</c:v>
                </c:pt>
                <c:pt idx="50">
                  <c:v>65.322351177050876</c:v>
                </c:pt>
                <c:pt idx="51">
                  <c:v>65.708677297170681</c:v>
                </c:pt>
                <c:pt idx="52">
                  <c:v>66.081718611000881</c:v>
                </c:pt>
                <c:pt idx="53">
                  <c:v>66.441032728892196</c:v>
                </c:pt>
                <c:pt idx="54">
                  <c:v>66.786260815272726</c:v>
                </c:pt>
                <c:pt idx="55">
                  <c:v>67.117127050889323</c:v>
                </c:pt>
                <c:pt idx="56">
                  <c:v>67.433437304009871</c:v>
                </c:pt>
                <c:pt idx="57">
                  <c:v>67.735077058745802</c:v>
                </c:pt>
                <c:pt idx="58">
                  <c:v>68.022008657531416</c:v>
                </c:pt>
                <c:pt idx="59">
                  <c:v>68.294267922321055</c:v>
                </c:pt>
                <c:pt idx="60">
                  <c:v>68.551960225149614</c:v>
                </c:pt>
                <c:pt idx="61">
                  <c:v>68.795256083294831</c:v>
                </c:pt>
                <c:pt idx="62">
                  <c:v>69.024386357363937</c:v>
                </c:pt>
                <c:pt idx="63">
                  <c:v>69.239637132220679</c:v>
                </c:pt>
                <c:pt idx="64">
                  <c:v>69.441344360819301</c:v>
                </c:pt>
                <c:pt idx="65">
                  <c:v>69.629888349798009</c:v>
                </c:pt>
                <c:pt idx="66">
                  <c:v>69.805688163207748</c:v>
                </c:pt>
                <c:pt idx="67">
                  <c:v>69.969196017138501</c:v>
                </c:pt>
                <c:pt idx="68">
                  <c:v>70.120891733393677</c:v>
                </c:pt>
                <c:pt idx="69">
                  <c:v>70.261277314909591</c:v>
                </c:pt>
                <c:pt idx="70">
                  <c:v>70.390871699481991</c:v>
                </c:pt>
                <c:pt idx="71">
                  <c:v>70.510205741710948</c:v>
                </c:pt>
                <c:pt idx="72">
                  <c:v>70.619817466073869</c:v>
                </c:pt>
                <c:pt idx="73">
                  <c:v>70.720247626844724</c:v>
                </c:pt>
                <c:pt idx="74">
                  <c:v>70.812035603347724</c:v>
                </c:pt>
                <c:pt idx="75">
                  <c:v>70.895715651907182</c:v>
                </c:pt>
                <c:pt idx="76">
                  <c:v>70.971813528959075</c:v>
                </c:pt>
                <c:pt idx="77">
                  <c:v>71.040843493238256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25-4685-9992-3FCC09F7D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246367"/>
        <c:axId val="640248287"/>
      </c:scatterChart>
      <c:valAx>
        <c:axId val="640246367"/>
        <c:scaling>
          <c:orientation val="minMax"/>
          <c:max val="2100"/>
          <c:min val="202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640248287"/>
        <c:crosses val="autoZero"/>
        <c:crossBetween val="midCat"/>
        <c:majorUnit val="30"/>
      </c:valAx>
      <c:valAx>
        <c:axId val="640248287"/>
        <c:scaling>
          <c:orientation val="minMax"/>
          <c:min val="0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64024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AU"/>
              <a:t>Electrification scenario - total demand (EJ/yr)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980318434240036"/>
          <c:y val="0.17171296296296296"/>
          <c:w val="0.58132719038448943"/>
          <c:h val="0.47185630190075356"/>
        </c:manualLayout>
      </c:layout>
      <c:areaChart>
        <c:grouping val="stacked"/>
        <c:varyColors val="0"/>
        <c:ser>
          <c:idx val="2"/>
          <c:order val="2"/>
          <c:tx>
            <c:v>Fuel Supply</c:v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val>
            <c:numRef>
              <c:f>'Model - Supply'!$AI$5:$AI$82</c:f>
              <c:numCache>
                <c:formatCode>0.00</c:formatCode>
                <c:ptCount val="78"/>
                <c:pt idx="0">
                  <c:v>272.48999999999995</c:v>
                </c:pt>
                <c:pt idx="1">
                  <c:v>318.31261359943511</c:v>
                </c:pt>
                <c:pt idx="2">
                  <c:v>252.32037952957251</c:v>
                </c:pt>
                <c:pt idx="3">
                  <c:v>262.43329956574701</c:v>
                </c:pt>
                <c:pt idx="4">
                  <c:v>240.04771086488535</c:v>
                </c:pt>
                <c:pt idx="5">
                  <c:v>235.83245592935262</c:v>
                </c:pt>
                <c:pt idx="6">
                  <c:v>213.85788976205936</c:v>
                </c:pt>
                <c:pt idx="7">
                  <c:v>209.31412537623353</c:v>
                </c:pt>
                <c:pt idx="8">
                  <c:v>195.70365830969226</c:v>
                </c:pt>
                <c:pt idx="9">
                  <c:v>183.29377056902362</c:v>
                </c:pt>
                <c:pt idx="10">
                  <c:v>172.14760207003928</c:v>
                </c:pt>
                <c:pt idx="11">
                  <c:v>161.63582289261311</c:v>
                </c:pt>
                <c:pt idx="12">
                  <c:v>152.33327917684932</c:v>
                </c:pt>
                <c:pt idx="13">
                  <c:v>144.09819390422649</c:v>
                </c:pt>
                <c:pt idx="14">
                  <c:v>136.24442914082732</c:v>
                </c:pt>
                <c:pt idx="15">
                  <c:v>128.90487820695552</c:v>
                </c:pt>
                <c:pt idx="16">
                  <c:v>121.82035997035928</c:v>
                </c:pt>
                <c:pt idx="17">
                  <c:v>114.9035063216628</c:v>
                </c:pt>
                <c:pt idx="18">
                  <c:v>108.11901834367642</c:v>
                </c:pt>
                <c:pt idx="19">
                  <c:v>101.51245432006334</c:v>
                </c:pt>
                <c:pt idx="20">
                  <c:v>95.164018648984751</c:v>
                </c:pt>
                <c:pt idx="21">
                  <c:v>90.946681888991634</c:v>
                </c:pt>
                <c:pt idx="22">
                  <c:v>87.634790278081141</c:v>
                </c:pt>
                <c:pt idx="23">
                  <c:v>85.336881589836779</c:v>
                </c:pt>
                <c:pt idx="24">
                  <c:v>82.963595416023921</c:v>
                </c:pt>
                <c:pt idx="25">
                  <c:v>80.082720363594817</c:v>
                </c:pt>
                <c:pt idx="26">
                  <c:v>76.164261684965879</c:v>
                </c:pt>
                <c:pt idx="27">
                  <c:v>69.979087902417518</c:v>
                </c:pt>
                <c:pt idx="28">
                  <c:v>65.051601040846592</c:v>
                </c:pt>
                <c:pt idx="29">
                  <c:v>61.262733580558105</c:v>
                </c:pt>
                <c:pt idx="30">
                  <c:v>58.407039130177388</c:v>
                </c:pt>
                <c:pt idx="31">
                  <c:v>56.356341204822066</c:v>
                </c:pt>
                <c:pt idx="32">
                  <c:v>54.947461644090851</c:v>
                </c:pt>
                <c:pt idx="33">
                  <c:v>54.030355862723553</c:v>
                </c:pt>
                <c:pt idx="34">
                  <c:v>53.483193946062052</c:v>
                </c:pt>
                <c:pt idx="35">
                  <c:v>53.21213385083157</c:v>
                </c:pt>
                <c:pt idx="36">
                  <c:v>53.146506810722137</c:v>
                </c:pt>
                <c:pt idx="37">
                  <c:v>53.233576161633209</c:v>
                </c:pt>
                <c:pt idx="38">
                  <c:v>53.434046291767643</c:v>
                </c:pt>
                <c:pt idx="39">
                  <c:v>53.718863439235868</c:v>
                </c:pt>
                <c:pt idx="40">
                  <c:v>54.065591098285005</c:v>
                </c:pt>
                <c:pt idx="41">
                  <c:v>54.457463554013771</c:v>
                </c:pt>
                <c:pt idx="42">
                  <c:v>54.88199448042063</c:v>
                </c:pt>
                <c:pt idx="43">
                  <c:v>55.329603720600268</c:v>
                </c:pt>
                <c:pt idx="44">
                  <c:v>55.792801387014045</c:v>
                </c:pt>
                <c:pt idx="45">
                  <c:v>56.265716269076933</c:v>
                </c:pt>
                <c:pt idx="46">
                  <c:v>56.74363027792235</c:v>
                </c:pt>
                <c:pt idx="47">
                  <c:v>57.222741586868679</c:v>
                </c:pt>
                <c:pt idx="48">
                  <c:v>57.699933914314663</c:v>
                </c:pt>
                <c:pt idx="49">
                  <c:v>58.172658827130626</c:v>
                </c:pt>
                <c:pt idx="50">
                  <c:v>58.638789426712854</c:v>
                </c:pt>
                <c:pt idx="51">
                  <c:v>59.096449148428022</c:v>
                </c:pt>
                <c:pt idx="52">
                  <c:v>59.544071654857412</c:v>
                </c:pt>
                <c:pt idx="53">
                  <c:v>59.980281170338607</c:v>
                </c:pt>
                <c:pt idx="54">
                  <c:v>60.403885551785436</c:v>
                </c:pt>
                <c:pt idx="55">
                  <c:v>60.813867371553158</c:v>
                </c:pt>
                <c:pt idx="56">
                  <c:v>61.209349536380074</c:v>
                </c:pt>
                <c:pt idx="57">
                  <c:v>61.589548861248339</c:v>
                </c:pt>
                <c:pt idx="58">
                  <c:v>61.953845730590501</c:v>
                </c:pt>
                <c:pt idx="59">
                  <c:v>62.301765527706671</c:v>
                </c:pt>
                <c:pt idx="60">
                  <c:v>62.632942041743341</c:v>
                </c:pt>
                <c:pt idx="61">
                  <c:v>62.947195417115687</c:v>
                </c:pt>
                <c:pt idx="62">
                  <c:v>63.244355628298841</c:v>
                </c:pt>
                <c:pt idx="63">
                  <c:v>63.524390705344381</c:v>
                </c:pt>
                <c:pt idx="64">
                  <c:v>63.78731394495734</c:v>
                </c:pt>
                <c:pt idx="65">
                  <c:v>64.033233820322181</c:v>
                </c:pt>
                <c:pt idx="66">
                  <c:v>64.262301032039474</c:v>
                </c:pt>
                <c:pt idx="67">
                  <c:v>64.474745064426003</c:v>
                </c:pt>
                <c:pt idx="68">
                  <c:v>64.670808715714401</c:v>
                </c:pt>
                <c:pt idx="69">
                  <c:v>64.850768613681495</c:v>
                </c:pt>
                <c:pt idx="70">
                  <c:v>65.014924684272529</c:v>
                </c:pt>
                <c:pt idx="71">
                  <c:v>65.163571942079415</c:v>
                </c:pt>
                <c:pt idx="72">
                  <c:v>65.296986962176561</c:v>
                </c:pt>
                <c:pt idx="73">
                  <c:v>65.41548371991351</c:v>
                </c:pt>
                <c:pt idx="74">
                  <c:v>65.519351304323422</c:v>
                </c:pt>
                <c:pt idx="75">
                  <c:v>65.60896186818195</c:v>
                </c:pt>
                <c:pt idx="76">
                  <c:v>65.684673192402968</c:v>
                </c:pt>
                <c:pt idx="77">
                  <c:v>65.746847301631263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8-46AA-B715-A888BBDD49DC}"/>
            </c:ext>
          </c:extLst>
        </c:ser>
        <c:ser>
          <c:idx val="3"/>
          <c:order val="3"/>
          <c:tx>
            <c:v>Electricity supply</c:v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val>
            <c:numRef>
              <c:f>'Model - Supply'!$AH$5:$AH$82</c:f>
              <c:numCache>
                <c:formatCode>0.00</c:formatCode>
                <c:ptCount val="78"/>
                <c:pt idx="0">
                  <c:v>93.868099999999998</c:v>
                </c:pt>
                <c:pt idx="1">
                  <c:v>83.402909721782038</c:v>
                </c:pt>
                <c:pt idx="2">
                  <c:v>96.044219411258894</c:v>
                </c:pt>
                <c:pt idx="3">
                  <c:v>104.71616144540525</c:v>
                </c:pt>
                <c:pt idx="4">
                  <c:v>114.05703464347476</c:v>
                </c:pt>
                <c:pt idx="5">
                  <c:v>119.07862182768214</c:v>
                </c:pt>
                <c:pt idx="6">
                  <c:v>126.37704791308613</c:v>
                </c:pt>
                <c:pt idx="7">
                  <c:v>130.4569234362886</c:v>
                </c:pt>
                <c:pt idx="8">
                  <c:v>135.84674454056099</c:v>
                </c:pt>
                <c:pt idx="9">
                  <c:v>141.99755344118444</c:v>
                </c:pt>
                <c:pt idx="10">
                  <c:v>148.20240073794855</c:v>
                </c:pt>
                <c:pt idx="11">
                  <c:v>154.47882302316589</c:v>
                </c:pt>
                <c:pt idx="12">
                  <c:v>161.07153770717591</c:v>
                </c:pt>
                <c:pt idx="13">
                  <c:v>168.08735551463678</c:v>
                </c:pt>
                <c:pt idx="14">
                  <c:v>175.56211140897452</c:v>
                </c:pt>
                <c:pt idx="15">
                  <c:v>183.10019407950261</c:v>
                </c:pt>
                <c:pt idx="16">
                  <c:v>190.1462909008315</c:v>
                </c:pt>
                <c:pt idx="17">
                  <c:v>196.03111632141162</c:v>
                </c:pt>
                <c:pt idx="18">
                  <c:v>200.32142217544697</c:v>
                </c:pt>
                <c:pt idx="19">
                  <c:v>203.19931049851783</c:v>
                </c:pt>
                <c:pt idx="20">
                  <c:v>205.63932056274433</c:v>
                </c:pt>
                <c:pt idx="21">
                  <c:v>208.73705184556849</c:v>
                </c:pt>
                <c:pt idx="22">
                  <c:v>214.14214060463112</c:v>
                </c:pt>
                <c:pt idx="23">
                  <c:v>222.74313085016229</c:v>
                </c:pt>
                <c:pt idx="24">
                  <c:v>235.09803920902158</c:v>
                </c:pt>
                <c:pt idx="25">
                  <c:v>251.18822311683456</c:v>
                </c:pt>
                <c:pt idx="26">
                  <c:v>270.74724825634149</c:v>
                </c:pt>
                <c:pt idx="27">
                  <c:v>293.46043140859092</c:v>
                </c:pt>
                <c:pt idx="28">
                  <c:v>321.40571582891465</c:v>
                </c:pt>
                <c:pt idx="29">
                  <c:v>346.66631842164418</c:v>
                </c:pt>
                <c:pt idx="30">
                  <c:v>363.00776637807724</c:v>
                </c:pt>
                <c:pt idx="31">
                  <c:v>369.02118688003497</c:v>
                </c:pt>
                <c:pt idx="32">
                  <c:v>367.51878825488006</c:v>
                </c:pt>
                <c:pt idx="33">
                  <c:v>363.85903146297397</c:v>
                </c:pt>
                <c:pt idx="34">
                  <c:v>362.90110587801655</c:v>
                </c:pt>
                <c:pt idx="35">
                  <c:v>366.46927875531128</c:v>
                </c:pt>
                <c:pt idx="36">
                  <c:v>373.31098569677943</c:v>
                </c:pt>
                <c:pt idx="37">
                  <c:v>380.96123254622404</c:v>
                </c:pt>
                <c:pt idx="38">
                  <c:v>387.48497522110318</c:v>
                </c:pt>
                <c:pt idx="39">
                  <c:v>392.18601508180956</c:v>
                </c:pt>
                <c:pt idx="40">
                  <c:v>395.46406987976195</c:v>
                </c:pt>
                <c:pt idx="41">
                  <c:v>398.23266105784535</c:v>
                </c:pt>
                <c:pt idx="42">
                  <c:v>401.29720307257975</c:v>
                </c:pt>
                <c:pt idx="43">
                  <c:v>404.99708050952694</c:v>
                </c:pt>
                <c:pt idx="44">
                  <c:v>409.21050618413273</c:v>
                </c:pt>
                <c:pt idx="45">
                  <c:v>413.58825614208729</c:v>
                </c:pt>
                <c:pt idx="46">
                  <c:v>417.80822459053928</c:v>
                </c:pt>
                <c:pt idx="47">
                  <c:v>421.71224830801685</c:v>
                </c:pt>
                <c:pt idx="48">
                  <c:v>425.31115100622583</c:v>
                </c:pt>
                <c:pt idx="49">
                  <c:v>428.70839537144764</c:v>
                </c:pt>
                <c:pt idx="50">
                  <c:v>432.01237333851066</c:v>
                </c:pt>
                <c:pt idx="51">
                  <c:v>435.28190735320112</c:v>
                </c:pt>
                <c:pt idx="52">
                  <c:v>438.51464576351248</c:v>
                </c:pt>
                <c:pt idx="53">
                  <c:v>441.67150798283626</c:v>
                </c:pt>
                <c:pt idx="54">
                  <c:v>444.70660663526053</c:v>
                </c:pt>
                <c:pt idx="55">
                  <c:v>447.58839574524836</c:v>
                </c:pt>
                <c:pt idx="56">
                  <c:v>450.30615436326565</c:v>
                </c:pt>
                <c:pt idx="57">
                  <c:v>452.86460121030063</c:v>
                </c:pt>
                <c:pt idx="58">
                  <c:v>455.27303804451361</c:v>
                </c:pt>
                <c:pt idx="59">
                  <c:v>457.53910156517031</c:v>
                </c:pt>
                <c:pt idx="60">
                  <c:v>459.66639874694027</c:v>
                </c:pt>
                <c:pt idx="61">
                  <c:v>461.65422872272416</c:v>
                </c:pt>
                <c:pt idx="62">
                  <c:v>463.50254573113102</c:v>
                </c:pt>
                <c:pt idx="63">
                  <c:v>465.21051236303327</c:v>
                </c:pt>
                <c:pt idx="64">
                  <c:v>466.77950362174448</c:v>
                </c:pt>
                <c:pt idx="65">
                  <c:v>468.21199717438498</c:v>
                </c:pt>
                <c:pt idx="66">
                  <c:v>469.51210081361006</c:v>
                </c:pt>
                <c:pt idx="67">
                  <c:v>470.6840920050393</c:v>
                </c:pt>
                <c:pt idx="68">
                  <c:v>471.7329162435214</c:v>
                </c:pt>
                <c:pt idx="69">
                  <c:v>472.66286140727158</c:v>
                </c:pt>
                <c:pt idx="70">
                  <c:v>473.47767299375312</c:v>
                </c:pt>
                <c:pt idx="71">
                  <c:v>474.18090416382302</c:v>
                </c:pt>
                <c:pt idx="72">
                  <c:v>474.77571576564117</c:v>
                </c:pt>
                <c:pt idx="73">
                  <c:v>475.26425139951988</c:v>
                </c:pt>
                <c:pt idx="74">
                  <c:v>475.64931516523831</c:v>
                </c:pt>
                <c:pt idx="75">
                  <c:v>475.93305163467494</c:v>
                </c:pt>
                <c:pt idx="76">
                  <c:v>476.11947699782786</c:v>
                </c:pt>
                <c:pt idx="77">
                  <c:v>476.21302913322745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8-46AA-B715-A888BBDD4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21791"/>
        <c:axId val="578716031"/>
      </c:areaChart>
      <c:lineChart>
        <c:grouping val="standard"/>
        <c:varyColors val="0"/>
        <c:ser>
          <c:idx val="1"/>
          <c:order val="0"/>
          <c:tx>
            <c:v>Fuel demand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 - Demand'!$A$5:$A$82</c:f>
              <c:numCache>
                <c:formatCode>General</c:formatCode>
                <c:ptCount val="7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</c:numCache>
            </c:numRef>
          </c:cat>
          <c:val>
            <c:numRef>
              <c:f>'Model - Demand'!$Q$5:$Q$82</c:f>
              <c:numCache>
                <c:formatCode>0.00</c:formatCode>
                <c:ptCount val="78"/>
                <c:pt idx="0">
                  <c:v>298.65827725294088</c:v>
                </c:pt>
                <c:pt idx="1">
                  <c:v>291.60943234676586</c:v>
                </c:pt>
                <c:pt idx="2">
                  <c:v>284.38930968147787</c:v>
                </c:pt>
                <c:pt idx="3">
                  <c:v>276.98687838589518</c:v>
                </c:pt>
                <c:pt idx="4">
                  <c:v>269.41348257058246</c:v>
                </c:pt>
                <c:pt idx="5">
                  <c:v>261.65153709553306</c:v>
                </c:pt>
                <c:pt idx="6">
                  <c:v>253.70079878964125</c:v>
                </c:pt>
                <c:pt idx="7">
                  <c:v>245.56114271647786</c:v>
                </c:pt>
                <c:pt idx="8">
                  <c:v>237.23058014989522</c:v>
                </c:pt>
                <c:pt idx="9">
                  <c:v>228.70463094137602</c:v>
                </c:pt>
                <c:pt idx="10">
                  <c:v>219.97893558607495</c:v>
                </c:pt>
                <c:pt idx="11">
                  <c:v>211.04946843153252</c:v>
                </c:pt>
                <c:pt idx="12">
                  <c:v>201.91121222833385</c:v>
                </c:pt>
                <c:pt idx="13">
                  <c:v>192.55710453855971</c:v>
                </c:pt>
                <c:pt idx="14">
                  <c:v>182.98045068553074</c:v>
                </c:pt>
                <c:pt idx="15">
                  <c:v>173.17235879818111</c:v>
                </c:pt>
                <c:pt idx="16">
                  <c:v>163.12630222246895</c:v>
                </c:pt>
                <c:pt idx="17">
                  <c:v>152.8332736205154</c:v>
                </c:pt>
                <c:pt idx="18">
                  <c:v>142.28546436202822</c:v>
                </c:pt>
                <c:pt idx="19">
                  <c:v>131.47199960556853</c:v>
                </c:pt>
                <c:pt idx="20">
                  <c:v>120.38449602366693</c:v>
                </c:pt>
                <c:pt idx="21">
                  <c:v>109.01446964900677</c:v>
                </c:pt>
                <c:pt idx="22">
                  <c:v>97.352447340265869</c:v>
                </c:pt>
                <c:pt idx="23">
                  <c:v>85.3895257418488</c:v>
                </c:pt>
                <c:pt idx="24">
                  <c:v>73.118125652674479</c:v>
                </c:pt>
                <c:pt idx="25">
                  <c:v>60.530530522604217</c:v>
                </c:pt>
                <c:pt idx="26">
                  <c:v>47.620638920516413</c:v>
                </c:pt>
                <c:pt idx="27">
                  <c:v>48.203032889528401</c:v>
                </c:pt>
                <c:pt idx="28">
                  <c:v>48.789391969804541</c:v>
                </c:pt>
                <c:pt idx="29">
                  <c:v>49.378872629513005</c:v>
                </c:pt>
                <c:pt idx="30">
                  <c:v>49.970565994041976</c:v>
                </c:pt>
                <c:pt idx="31">
                  <c:v>50.563674397732186</c:v>
                </c:pt>
                <c:pt idx="32">
                  <c:v>51.157036654081331</c:v>
                </c:pt>
                <c:pt idx="33">
                  <c:v>51.750278516919153</c:v>
                </c:pt>
                <c:pt idx="34">
                  <c:v>52.342619047880433</c:v>
                </c:pt>
                <c:pt idx="35">
                  <c:v>52.93307485830239</c:v>
                </c:pt>
                <c:pt idx="36">
                  <c:v>53.520790690966493</c:v>
                </c:pt>
                <c:pt idx="37">
                  <c:v>54.104934394582486</c:v>
                </c:pt>
                <c:pt idx="38">
                  <c:v>54.684645542530525</c:v>
                </c:pt>
                <c:pt idx="39">
                  <c:v>55.2589679959002</c:v>
                </c:pt>
                <c:pt idx="40">
                  <c:v>55.82718055862145</c:v>
                </c:pt>
                <c:pt idx="41">
                  <c:v>56.388233452100614</c:v>
                </c:pt>
                <c:pt idx="42">
                  <c:v>56.941113539320853</c:v>
                </c:pt>
                <c:pt idx="43">
                  <c:v>57.484697333240774</c:v>
                </c:pt>
                <c:pt idx="44">
                  <c:v>58.018061946641524</c:v>
                </c:pt>
                <c:pt idx="45">
                  <c:v>58.53989674482235</c:v>
                </c:pt>
                <c:pt idx="46">
                  <c:v>59.049093327888137</c:v>
                </c:pt>
                <c:pt idx="47">
                  <c:v>59.544507454075045</c:v>
                </c:pt>
                <c:pt idx="48">
                  <c:v>60.025250894030407</c:v>
                </c:pt>
                <c:pt idx="49">
                  <c:v>60.490394271690761</c:v>
                </c:pt>
                <c:pt idx="50">
                  <c:v>60.938646448348592</c:v>
                </c:pt>
                <c:pt idx="51">
                  <c:v>61.36935048875749</c:v>
                </c:pt>
                <c:pt idx="52">
                  <c:v>61.78160889198287</c:v>
                </c:pt>
                <c:pt idx="53">
                  <c:v>62.174734819499669</c:v>
                </c:pt>
                <c:pt idx="54">
                  <c:v>62.548233806188897</c:v>
                </c:pt>
                <c:pt idx="55">
                  <c:v>62.901653745760655</c:v>
                </c:pt>
                <c:pt idx="56">
                  <c:v>63.234474674620031</c:v>
                </c:pt>
                <c:pt idx="57">
                  <c:v>63.546693551309289</c:v>
                </c:pt>
                <c:pt idx="58">
                  <c:v>63.838418341076277</c:v>
                </c:pt>
                <c:pt idx="59">
                  <c:v>64.109741376241814</c:v>
                </c:pt>
                <c:pt idx="60">
                  <c:v>64.361339410400063</c:v>
                </c:pt>
                <c:pt idx="61">
                  <c:v>64.593118873130734</c:v>
                </c:pt>
                <c:pt idx="62">
                  <c:v>64.805741452210015</c:v>
                </c:pt>
                <c:pt idx="63">
                  <c:v>64.999506294324817</c:v>
                </c:pt>
                <c:pt idx="64">
                  <c:v>65.175060222685175</c:v>
                </c:pt>
                <c:pt idx="65">
                  <c:v>65.332858034796956</c:v>
                </c:pt>
                <c:pt idx="66">
                  <c:v>65.473618678445405</c:v>
                </c:pt>
                <c:pt idx="67">
                  <c:v>65.597769839156996</c:v>
                </c:pt>
                <c:pt idx="68">
                  <c:v>65.70587451167799</c:v>
                </c:pt>
                <c:pt idx="69">
                  <c:v>65.798470598191301</c:v>
                </c:pt>
                <c:pt idx="70">
                  <c:v>65.875954010515287</c:v>
                </c:pt>
                <c:pt idx="71">
                  <c:v>65.938633446561667</c:v>
                </c:pt>
                <c:pt idx="72">
                  <c:v>65.987124008524731</c:v>
                </c:pt>
                <c:pt idx="73">
                  <c:v>66.021709683615711</c:v>
                </c:pt>
                <c:pt idx="74">
                  <c:v>66.043280776887372</c:v>
                </c:pt>
                <c:pt idx="75">
                  <c:v>66.05223345487066</c:v>
                </c:pt>
                <c:pt idx="76">
                  <c:v>66.049052728675761</c:v>
                </c:pt>
                <c:pt idx="77">
                  <c:v>66.034449610548492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C8-46AA-B715-A888BBDD49DC}"/>
            </c:ext>
          </c:extLst>
        </c:ser>
        <c:ser>
          <c:idx val="0"/>
          <c:order val="1"/>
          <c:tx>
            <c:v>Electricity demand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 - Demand'!$A$5:$A$82</c:f>
              <c:numCache>
                <c:formatCode>General</c:formatCode>
                <c:ptCount val="7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</c:numCache>
            </c:numRef>
          </c:cat>
          <c:val>
            <c:numRef>
              <c:f>'Model - Demand'!$R$5:$R$82</c:f>
              <c:numCache>
                <c:formatCode>0.00</c:formatCode>
                <c:ptCount val="78"/>
                <c:pt idx="0">
                  <c:v>387.13384654154578</c:v>
                </c:pt>
                <c:pt idx="1">
                  <c:v>390.44544435319494</c:v>
                </c:pt>
                <c:pt idx="2">
                  <c:v>393.56273764442909</c:v>
                </c:pt>
                <c:pt idx="3">
                  <c:v>396.4688368850064</c:v>
                </c:pt>
                <c:pt idx="4">
                  <c:v>399.17854483335327</c:v>
                </c:pt>
                <c:pt idx="5">
                  <c:v>401.66538529357717</c:v>
                </c:pt>
                <c:pt idx="6">
                  <c:v>403.92757969321053</c:v>
                </c:pt>
                <c:pt idx="7">
                  <c:v>405.96440098026972</c:v>
                </c:pt>
                <c:pt idx="8">
                  <c:v>407.77300738100462</c:v>
                </c:pt>
                <c:pt idx="9">
                  <c:v>409.34692490943081</c:v>
                </c:pt>
                <c:pt idx="10">
                  <c:v>410.68019973058733</c:v>
                </c:pt>
                <c:pt idx="11">
                  <c:v>411.76800067754414</c:v>
                </c:pt>
                <c:pt idx="12">
                  <c:v>412.6042573969994</c:v>
                </c:pt>
                <c:pt idx="13">
                  <c:v>413.17918776934971</c:v>
                </c:pt>
                <c:pt idx="14">
                  <c:v>413.48387841345743</c:v>
                </c:pt>
                <c:pt idx="15">
                  <c:v>413.50452129293285</c:v>
                </c:pt>
                <c:pt idx="16">
                  <c:v>413.23261921322711</c:v>
                </c:pt>
                <c:pt idx="17">
                  <c:v>412.65376662415667</c:v>
                </c:pt>
                <c:pt idx="18">
                  <c:v>411.75636790550635</c:v>
                </c:pt>
                <c:pt idx="19">
                  <c:v>410.51957478161933</c:v>
                </c:pt>
                <c:pt idx="20">
                  <c:v>408.92831848931206</c:v>
                </c:pt>
                <c:pt idx="21">
                  <c:v>406.96653748656172</c:v>
                </c:pt>
                <c:pt idx="22">
                  <c:v>404.61311845517542</c:v>
                </c:pt>
                <c:pt idx="23">
                  <c:v>401.84609065111289</c:v>
                </c:pt>
                <c:pt idx="24">
                  <c:v>398.64603902499891</c:v>
                </c:pt>
                <c:pt idx="25">
                  <c:v>394.98893651346913</c:v>
                </c:pt>
                <c:pt idx="26">
                  <c:v>390.8545481591317</c:v>
                </c:pt>
                <c:pt idx="27">
                  <c:v>395.63464638479229</c:v>
                </c:pt>
                <c:pt idx="28">
                  <c:v>400.44728894011087</c:v>
                </c:pt>
                <c:pt idx="29">
                  <c:v>405.28555239313721</c:v>
                </c:pt>
                <c:pt idx="30">
                  <c:v>410.14197699986562</c:v>
                </c:pt>
                <c:pt idx="31">
                  <c:v>415.01001578281119</c:v>
                </c:pt>
                <c:pt idx="32">
                  <c:v>419.88013810492282</c:v>
                </c:pt>
                <c:pt idx="33">
                  <c:v>424.74927227667507</c:v>
                </c:pt>
                <c:pt idx="34">
                  <c:v>429.61100861271285</c:v>
                </c:pt>
                <c:pt idx="35">
                  <c:v>434.45727578219811</c:v>
                </c:pt>
                <c:pt idx="36">
                  <c:v>439.28105411506147</c:v>
                </c:pt>
                <c:pt idx="37">
                  <c:v>444.07551358709645</c:v>
                </c:pt>
                <c:pt idx="38">
                  <c:v>448.83359209948759</c:v>
                </c:pt>
                <c:pt idx="39">
                  <c:v>453.54744197840495</c:v>
                </c:pt>
                <c:pt idx="40">
                  <c:v>458.21114388361127</c:v>
                </c:pt>
                <c:pt idx="41">
                  <c:v>462.81608157754255</c:v>
                </c:pt>
                <c:pt idx="42">
                  <c:v>467.35393956465049</c:v>
                </c:pt>
                <c:pt idx="43">
                  <c:v>471.81549663266497</c:v>
                </c:pt>
                <c:pt idx="44">
                  <c:v>476.19317802670872</c:v>
                </c:pt>
                <c:pt idx="45">
                  <c:v>480.47622648805157</c:v>
                </c:pt>
                <c:pt idx="46">
                  <c:v>484.65554463475974</c:v>
                </c:pt>
                <c:pt idx="47">
                  <c:v>488.72174090662475</c:v>
                </c:pt>
                <c:pt idx="48">
                  <c:v>492.66752500914055</c:v>
                </c:pt>
                <c:pt idx="49">
                  <c:v>496.48526892912656</c:v>
                </c:pt>
                <c:pt idx="50">
                  <c:v>500.16437542455543</c:v>
                </c:pt>
                <c:pt idx="51">
                  <c:v>503.69945258690331</c:v>
                </c:pt>
                <c:pt idx="52">
                  <c:v>507.08313402356794</c:v>
                </c:pt>
                <c:pt idx="53">
                  <c:v>510.30978238974558</c:v>
                </c:pt>
                <c:pt idx="54">
                  <c:v>513.37533927830339</c:v>
                </c:pt>
                <c:pt idx="55">
                  <c:v>516.27609394945148</c:v>
                </c:pt>
                <c:pt idx="56">
                  <c:v>519.00777871294974</c:v>
                </c:pt>
                <c:pt idx="57">
                  <c:v>521.57036860551341</c:v>
                </c:pt>
                <c:pt idx="58">
                  <c:v>523.964749770401</c:v>
                </c:pt>
                <c:pt idx="59">
                  <c:v>526.19168004094581</c:v>
                </c:pt>
                <c:pt idx="60">
                  <c:v>528.25671398815484</c:v>
                </c:pt>
                <c:pt idx="61">
                  <c:v>530.15908361678089</c:v>
                </c:pt>
                <c:pt idx="62">
                  <c:v>531.90421984255011</c:v>
                </c:pt>
                <c:pt idx="63">
                  <c:v>533.49457796311856</c:v>
                </c:pt>
                <c:pt idx="64">
                  <c:v>534.93546689074026</c:v>
                </c:pt>
                <c:pt idx="65">
                  <c:v>536.23061945382119</c:v>
                </c:pt>
                <c:pt idx="66">
                  <c:v>537.38593653941564</c:v>
                </c:pt>
                <c:pt idx="67">
                  <c:v>538.40492844971652</c:v>
                </c:pt>
                <c:pt idx="68">
                  <c:v>539.29221606050669</c:v>
                </c:pt>
                <c:pt idx="69">
                  <c:v>540.05221429605888</c:v>
                </c:pt>
                <c:pt idx="70">
                  <c:v>540.68817267041572</c:v>
                </c:pt>
                <c:pt idx="71">
                  <c:v>541.20262487454647</c:v>
                </c:pt>
                <c:pt idx="72">
                  <c:v>541.60061946503663</c:v>
                </c:pt>
                <c:pt idx="73">
                  <c:v>541.88448731555059</c:v>
                </c:pt>
                <c:pt idx="74">
                  <c:v>542.06153575725807</c:v>
                </c:pt>
                <c:pt idx="75">
                  <c:v>542.13501639479864</c:v>
                </c:pt>
                <c:pt idx="76">
                  <c:v>542.10891003990912</c:v>
                </c:pt>
                <c:pt idx="77">
                  <c:v>541.98905244734578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C8-46AA-B715-A888BBDD4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721791"/>
        <c:axId val="578716031"/>
      </c:lineChart>
      <c:catAx>
        <c:axId val="5787217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578716031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57871603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57872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462786403524159"/>
          <c:y val="0.8666650375318502"/>
          <c:w val="0.64173906764278421"/>
          <c:h val="0.12163015433950278"/>
        </c:manualLayout>
      </c:layout>
      <c:overlay val="0"/>
      <c:spPr>
        <a:solidFill>
          <a:sysClr val="window" lastClr="FFFFFF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AU"/>
              <a:t>Climate Targets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62068699476223"/>
          <c:y val="0.22390079970658222"/>
          <c:w val="0.55861186596144119"/>
          <c:h val="0.50200236675775589"/>
        </c:manualLayout>
      </c:layout>
      <c:areaChart>
        <c:grouping val="stacked"/>
        <c:varyColors val="0"/>
        <c:ser>
          <c:idx val="1"/>
          <c:order val="1"/>
          <c:tx>
            <c:v>1.5C</c:v>
          </c:tx>
          <c:spPr>
            <a:solidFill>
              <a:srgbClr val="FFFF00"/>
            </a:solidFill>
            <a:ln w="25400">
              <a:noFill/>
            </a:ln>
            <a:effectLst/>
          </c:spPr>
          <c:val>
            <c:numRef>
              <c:f>'Static Parameters'!$F$40:$F$48</c:f>
              <c:numCache>
                <c:formatCode>0.0</c:formatCode>
                <c:ptCount val="9"/>
                <c:pt idx="0">
                  <c:v>11.549976299999999</c:v>
                </c:pt>
                <c:pt idx="1">
                  <c:v>67.227147661363645</c:v>
                </c:pt>
                <c:pt idx="2">
                  <c:v>88.209917127272746</c:v>
                </c:pt>
                <c:pt idx="3">
                  <c:v>89.691053795454565</c:v>
                </c:pt>
                <c:pt idx="4">
                  <c:v>89.691053795454565</c:v>
                </c:pt>
                <c:pt idx="5">
                  <c:v>89.691053795454565</c:v>
                </c:pt>
                <c:pt idx="6">
                  <c:v>89.691053795454565</c:v>
                </c:pt>
                <c:pt idx="7">
                  <c:v>89.691053795454565</c:v>
                </c:pt>
                <c:pt idx="8">
                  <c:v>89.691053795454565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0-49D3-9C00-1506F6298D06}"/>
            </c:ext>
          </c:extLst>
        </c:ser>
        <c:ser>
          <c:idx val="2"/>
          <c:order val="2"/>
          <c:tx>
            <c:v>RCP2.6</c:v>
          </c:tx>
          <c:spPr>
            <a:solidFill>
              <a:srgbClr val="FFC000"/>
            </a:solidFill>
            <a:ln w="25400">
              <a:noFill/>
            </a:ln>
            <a:effectLst/>
          </c:spPr>
          <c:val>
            <c:numRef>
              <c:f>'Static Parameters'!$G$40:$G$48</c:f>
              <c:numCache>
                <c:formatCode>0.0</c:formatCode>
                <c:ptCount val="9"/>
                <c:pt idx="0">
                  <c:v>0</c:v>
                </c:pt>
                <c:pt idx="1">
                  <c:v>24.282952338636349</c:v>
                </c:pt>
                <c:pt idx="2">
                  <c:v>61.759182872727251</c:v>
                </c:pt>
                <c:pt idx="3">
                  <c:v>98.880046204545437</c:v>
                </c:pt>
                <c:pt idx="4">
                  <c:v>121.90354620454545</c:v>
                </c:pt>
                <c:pt idx="5">
                  <c:v>129.57754620454546</c:v>
                </c:pt>
                <c:pt idx="6">
                  <c:v>127.99104620454546</c:v>
                </c:pt>
                <c:pt idx="7">
                  <c:v>121.47454620454545</c:v>
                </c:pt>
                <c:pt idx="8">
                  <c:v>112.46854620454545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0-49D3-9C00-1506F6298D06}"/>
            </c:ext>
          </c:extLst>
        </c:ser>
        <c:ser>
          <c:idx val="3"/>
          <c:order val="3"/>
          <c:tx>
            <c:v>RCP4.5</c:v>
          </c:tx>
          <c:spPr>
            <a:solidFill>
              <a:srgbClr val="FF0000"/>
            </a:solidFill>
            <a:ln w="25400">
              <a:noFill/>
            </a:ln>
            <a:effectLst/>
          </c:spPr>
          <c:val>
            <c:numRef>
              <c:f>'Static Parameters'!$H$40:$H$48</c:f>
              <c:numCache>
                <c:formatCode>0.0</c:formatCode>
                <c:ptCount val="9"/>
                <c:pt idx="0">
                  <c:v>0</c:v>
                </c:pt>
                <c:pt idx="1">
                  <c:v>22.485399999999998</c:v>
                </c:pt>
                <c:pt idx="2">
                  <c:v>75.482900000000001</c:v>
                </c:pt>
                <c:pt idx="3">
                  <c:v>148.72739999999999</c:v>
                </c:pt>
                <c:pt idx="4">
                  <c:v>227.8664</c:v>
                </c:pt>
                <c:pt idx="5">
                  <c:v>302.7894</c:v>
                </c:pt>
                <c:pt idx="6">
                  <c:v>360.87789999999995</c:v>
                </c:pt>
                <c:pt idx="7">
                  <c:v>409.26839999999993</c:v>
                </c:pt>
                <c:pt idx="8">
                  <c:v>460.25239999999991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0-49D3-9C00-1506F6298D06}"/>
            </c:ext>
          </c:extLst>
        </c:ser>
        <c:ser>
          <c:idx val="4"/>
          <c:order val="4"/>
          <c:tx>
            <c:v>RCP6.0</c:v>
          </c:tx>
          <c:spPr>
            <a:solidFill>
              <a:srgbClr val="C00000"/>
            </a:solidFill>
            <a:ln w="25400">
              <a:noFill/>
            </a:ln>
            <a:effectLst/>
          </c:spPr>
          <c:val>
            <c:numRef>
              <c:f>'Static Parameters'!$I$40:$I$48</c:f>
              <c:numCache>
                <c:formatCode>0.0</c:formatCode>
                <c:ptCount val="9"/>
                <c:pt idx="0">
                  <c:v>0</c:v>
                </c:pt>
                <c:pt idx="1">
                  <c:v>-10.317099999999996</c:v>
                </c:pt>
                <c:pt idx="2">
                  <c:v>-14.025599999999997</c:v>
                </c:pt>
                <c:pt idx="3">
                  <c:v>-2.8811000000000035</c:v>
                </c:pt>
                <c:pt idx="4">
                  <c:v>34.297399999999982</c:v>
                </c:pt>
                <c:pt idx="5">
                  <c:v>108.35239999999999</c:v>
                </c:pt>
                <c:pt idx="6">
                  <c:v>220.78340000000003</c:v>
                </c:pt>
                <c:pt idx="7">
                  <c:v>336.87789999999995</c:v>
                </c:pt>
                <c:pt idx="8">
                  <c:v>435.23190000000011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0-49D3-9C00-1506F6298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178696"/>
        <c:axId val="970181216"/>
      </c:areaChart>
      <c:lineChart>
        <c:grouping val="standard"/>
        <c:varyColors val="0"/>
        <c:ser>
          <c:idx val="5"/>
          <c:order val="0"/>
          <c:tx>
            <c:v>model</c:v>
          </c:tx>
          <c:spPr>
            <a:ln w="28575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'Static Parameters'!$E$40:$E$48</c:f>
              <c:numCache>
                <c:formatCode>General</c:formatCode>
                <c:ptCount val="9"/>
                <c:pt idx="0">
                  <c:v>2023</c:v>
                </c:pt>
                <c:pt idx="1">
                  <c:v>2033</c:v>
                </c:pt>
                <c:pt idx="2">
                  <c:v>2043</c:v>
                </c:pt>
                <c:pt idx="3">
                  <c:v>2053</c:v>
                </c:pt>
                <c:pt idx="4">
                  <c:v>2063</c:v>
                </c:pt>
                <c:pt idx="5">
                  <c:v>2073</c:v>
                </c:pt>
                <c:pt idx="6">
                  <c:v>2083</c:v>
                </c:pt>
                <c:pt idx="7">
                  <c:v>2093</c:v>
                </c:pt>
                <c:pt idx="8">
                  <c:v>2103</c:v>
                </c:pt>
              </c:numCache>
            </c:numRef>
          </c:cat>
          <c:val>
            <c:numRef>
              <c:f>'Static Parameters'!$J$40:$J$48</c:f>
              <c:numCache>
                <c:formatCode>0.0</c:formatCode>
                <c:ptCount val="9"/>
                <c:pt idx="0">
                  <c:v>9.8860909090909086</c:v>
                </c:pt>
                <c:pt idx="1">
                  <c:v>108.81033393008533</c:v>
                </c:pt>
                <c:pt idx="2">
                  <c:v>156.77813075894835</c:v>
                </c:pt>
                <c:pt idx="3">
                  <c:v>163.65432126672957</c:v>
                </c:pt>
                <c:pt idx="4">
                  <c:v>163.88154972608586</c:v>
                </c:pt>
                <c:pt idx="5">
                  <c:v>163.88358196448371</c:v>
                </c:pt>
                <c:pt idx="6">
                  <c:v>163.8835980326285</c:v>
                </c:pt>
                <c:pt idx="7">
                  <c:v>163.88359814601523</c:v>
                </c:pt>
                <c:pt idx="8">
                  <c:v>163.88359814670702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60-49D3-9C00-1506F6298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178696"/>
        <c:axId val="970181216"/>
      </c:lineChart>
      <c:catAx>
        <c:axId val="97017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970181216"/>
        <c:crosses val="autoZero"/>
        <c:auto val="1"/>
        <c:lblAlgn val="ctr"/>
        <c:lblOffset val="100"/>
        <c:noMultiLvlLbl val="1"/>
      </c:catAx>
      <c:valAx>
        <c:axId val="970181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/>
                  <a:t>Cumulative Emissions (GtC)</a:t>
                </a:r>
              </a:p>
            </c:rich>
          </c:tx>
          <c:layout>
            <c:manualLayout>
              <c:xMode val="edge"/>
              <c:yMode val="edge"/>
              <c:x val="1.528034417007839E-2"/>
              <c:y val="0.14507521892590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97017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AU"/>
              <a:t>Energy Demand by Source (EJ/yr)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97284799289535"/>
          <c:y val="0.16731889247588255"/>
          <c:w val="0.84130065071417659"/>
          <c:h val="0.48818788965948273"/>
        </c:manualLayout>
      </c:layout>
      <c:areaChart>
        <c:grouping val="stacked"/>
        <c:varyColors val="0"/>
        <c:ser>
          <c:idx val="3"/>
          <c:order val="0"/>
          <c:tx>
            <c:v>Coal</c:v>
          </c:tx>
          <c:spPr>
            <a:solidFill>
              <a:srgbClr val="C00000"/>
            </a:solidFill>
            <a:ln w="25400">
              <a:noFill/>
            </a:ln>
            <a:effectLst/>
          </c:spPr>
          <c:cat>
            <c:numRef>
              <c:f>'Model - Supply'!$A$5:$A$82</c:f>
              <c:numCache>
                <c:formatCode>General</c:formatCode>
                <c:ptCount val="7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</c:numCache>
            </c:numRef>
          </c:cat>
          <c:val>
            <c:numRef>
              <c:f>'Model - Supply'!$AJ$5:$AJ$82</c:f>
              <c:numCache>
                <c:formatCode>0.00</c:formatCode>
                <c:ptCount val="78"/>
                <c:pt idx="0">
                  <c:v>64.50500000000001</c:v>
                </c:pt>
                <c:pt idx="1">
                  <c:v>78.102400585595859</c:v>
                </c:pt>
                <c:pt idx="2">
                  <c:v>58.316686254791051</c:v>
                </c:pt>
                <c:pt idx="3">
                  <c:v>60.702583317907717</c:v>
                </c:pt>
                <c:pt idx="4">
                  <c:v>53.10963225058876</c:v>
                </c:pt>
                <c:pt idx="5">
                  <c:v>51.620843940289333</c:v>
                </c:pt>
                <c:pt idx="6">
                  <c:v>44.299326591922444</c:v>
                </c:pt>
                <c:pt idx="7">
                  <c:v>43.232534734802222</c:v>
                </c:pt>
                <c:pt idx="8">
                  <c:v>41.982328190828177</c:v>
                </c:pt>
                <c:pt idx="9">
                  <c:v>40.176821703867304</c:v>
                </c:pt>
                <c:pt idx="10">
                  <c:v>37.745889935728073</c:v>
                </c:pt>
                <c:pt idx="11">
                  <c:v>34.826243126034896</c:v>
                </c:pt>
                <c:pt idx="12">
                  <c:v>31.975849748255943</c:v>
                </c:pt>
                <c:pt idx="13">
                  <c:v>29.437422031484957</c:v>
                </c:pt>
                <c:pt idx="14">
                  <c:v>26.889151101357946</c:v>
                </c:pt>
                <c:pt idx="15">
                  <c:v>24.340479778047069</c:v>
                </c:pt>
                <c:pt idx="16">
                  <c:v>21.658680641450935</c:v>
                </c:pt>
                <c:pt idx="17">
                  <c:v>18.797516198202032</c:v>
                </c:pt>
                <c:pt idx="18">
                  <c:v>15.748731222392413</c:v>
                </c:pt>
                <c:pt idx="19">
                  <c:v>12.548171508134377</c:v>
                </c:pt>
                <c:pt idx="20">
                  <c:v>9.2481265513378759</c:v>
                </c:pt>
                <c:pt idx="21">
                  <c:v>7.2832400743420438</c:v>
                </c:pt>
                <c:pt idx="22">
                  <c:v>6.1280524224082837</c:v>
                </c:pt>
                <c:pt idx="23">
                  <c:v>5.142593281865703</c:v>
                </c:pt>
                <c:pt idx="24">
                  <c:v>4.2717613657883486</c:v>
                </c:pt>
                <c:pt idx="25">
                  <c:v>3.4823499099045274</c:v>
                </c:pt>
                <c:pt idx="26">
                  <c:v>2.7627141598902756</c:v>
                </c:pt>
                <c:pt idx="27">
                  <c:v>2.1167054137179204</c:v>
                </c:pt>
                <c:pt idx="28">
                  <c:v>1.5409561568150731</c:v>
                </c:pt>
                <c:pt idx="29">
                  <c:v>1.0506625121551785</c:v>
                </c:pt>
                <c:pt idx="30">
                  <c:v>0.67444660132966849</c:v>
                </c:pt>
                <c:pt idx="31">
                  <c:v>0.41734058469819429</c:v>
                </c:pt>
                <c:pt idx="32">
                  <c:v>0.25627295284667118</c:v>
                </c:pt>
                <c:pt idx="33">
                  <c:v>0.15945175244161497</c:v>
                </c:pt>
                <c:pt idx="34">
                  <c:v>0.10105274114280496</c:v>
                </c:pt>
                <c:pt idx="35">
                  <c:v>6.4737383659238035E-2</c:v>
                </c:pt>
                <c:pt idx="36">
                  <c:v>4.1435877972054509E-2</c:v>
                </c:pt>
                <c:pt idx="37">
                  <c:v>2.6283601446284728E-2</c:v>
                </c:pt>
                <c:pt idx="38">
                  <c:v>1.6492071052837374E-2</c:v>
                </c:pt>
                <c:pt idx="39">
                  <c:v>1.0471747326325779E-2</c:v>
                </c:pt>
                <c:pt idx="40">
                  <c:v>6.7642093957888776E-3</c:v>
                </c:pt>
                <c:pt idx="41">
                  <c:v>4.3858141839969991E-3</c:v>
                </c:pt>
                <c:pt idx="42">
                  <c:v>2.8391270096985192E-3</c:v>
                </c:pt>
                <c:pt idx="43">
                  <c:v>1.8347931141819655E-3</c:v>
                </c:pt>
                <c:pt idx="44">
                  <c:v>1.1855749872753348E-3</c:v>
                </c:pt>
                <c:pt idx="45">
                  <c:v>7.6660297643408259E-4</c:v>
                </c:pt>
                <c:pt idx="46">
                  <c:v>4.9576359919220278E-4</c:v>
                </c:pt>
                <c:pt idx="47">
                  <c:v>3.2021881654352056E-4</c:v>
                </c:pt>
                <c:pt idx="48">
                  <c:v>2.0629950121380729E-4</c:v>
                </c:pt>
                <c:pt idx="49">
                  <c:v>1.3245395223918105E-4</c:v>
                </c:pt>
                <c:pt idx="50">
                  <c:v>8.4728520962293045E-5</c:v>
                </c:pt>
                <c:pt idx="51">
                  <c:v>5.4004630012828819E-5</c:v>
                </c:pt>
                <c:pt idx="52">
                  <c:v>3.4305667522221571E-5</c:v>
                </c:pt>
                <c:pt idx="53">
                  <c:v>2.1722865789465047E-5</c:v>
                </c:pt>
                <c:pt idx="54">
                  <c:v>1.3712982041912869E-5</c:v>
                </c:pt>
                <c:pt idx="55">
                  <c:v>8.6303642130981797E-6</c:v>
                </c:pt>
                <c:pt idx="56">
                  <c:v>5.4152199135659645E-6</c:v>
                </c:pt>
                <c:pt idx="57">
                  <c:v>3.3876747581153543E-6</c:v>
                </c:pt>
                <c:pt idx="58">
                  <c:v>2.1130280928696773E-6</c:v>
                </c:pt>
                <c:pt idx="59">
                  <c:v>1.314179410431582E-6</c:v>
                </c:pt>
                <c:pt idx="60">
                  <c:v>8.1504506862093406E-7</c:v>
                </c:pt>
                <c:pt idx="61">
                  <c:v>5.0410585516932753E-7</c:v>
                </c:pt>
                <c:pt idx="62">
                  <c:v>3.1096108005143356E-7</c:v>
                </c:pt>
                <c:pt idx="63">
                  <c:v>1.9132267381694806E-7</c:v>
                </c:pt>
                <c:pt idx="64">
                  <c:v>1.1741738913113635E-7</c:v>
                </c:pt>
                <c:pt idx="65">
                  <c:v>7.1884276357855769E-8</c:v>
                </c:pt>
                <c:pt idx="66">
                  <c:v>4.3903570522246987E-8</c:v>
                </c:pt>
                <c:pt idx="67">
                  <c:v>2.6752240021794168E-8</c:v>
                </c:pt>
                <c:pt idx="68">
                  <c:v>1.626460099470335E-8</c:v>
                </c:pt>
                <c:pt idx="69">
                  <c:v>9.8668367504627728E-9</c:v>
                </c:pt>
                <c:pt idx="70">
                  <c:v>5.9729844518972727E-9</c:v>
                </c:pt>
                <c:pt idx="71">
                  <c:v>3.6083586981351756E-9</c:v>
                </c:pt>
                <c:pt idx="72">
                  <c:v>2.175488748050458E-9</c:v>
                </c:pt>
                <c:pt idx="73">
                  <c:v>1.3090522157847392E-9</c:v>
                </c:pt>
                <c:pt idx="74">
                  <c:v>7.8619824543517618E-10</c:v>
                </c:pt>
                <c:pt idx="75">
                  <c:v>4.7130970090580279E-10</c:v>
                </c:pt>
                <c:pt idx="76">
                  <c:v>2.8203473801710748E-10</c:v>
                </c:pt>
                <c:pt idx="77">
                  <c:v>1.5033452825484653E-10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08-4B73-9C9A-65EC8F9B866F}"/>
            </c:ext>
          </c:extLst>
        </c:ser>
        <c:ser>
          <c:idx val="2"/>
          <c:order val="1"/>
          <c:tx>
            <c:v>Oil</c:v>
          </c:tx>
          <c:spPr>
            <a:solidFill>
              <a:srgbClr val="002060"/>
            </a:solidFill>
            <a:ln w="25400">
              <a:noFill/>
            </a:ln>
            <a:effectLst/>
          </c:spPr>
          <c:cat>
            <c:numRef>
              <c:f>'Model - Supply'!$A$5:$A$82</c:f>
              <c:numCache>
                <c:formatCode>General</c:formatCode>
                <c:ptCount val="7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</c:numCache>
            </c:numRef>
          </c:cat>
          <c:val>
            <c:numRef>
              <c:f>'Model - Supply'!$AK$5:$AK$82</c:f>
              <c:numCache>
                <c:formatCode>0.00</c:formatCode>
                <c:ptCount val="78"/>
                <c:pt idx="0">
                  <c:v>150.42989999999998</c:v>
                </c:pt>
                <c:pt idx="1">
                  <c:v>163.27205042826739</c:v>
                </c:pt>
                <c:pt idx="2">
                  <c:v>144.27922002150163</c:v>
                </c:pt>
                <c:pt idx="3">
                  <c:v>151.28547757426199</c:v>
                </c:pt>
                <c:pt idx="4">
                  <c:v>146.19593250227274</c:v>
                </c:pt>
                <c:pt idx="5">
                  <c:v>144.3744351491481</c:v>
                </c:pt>
                <c:pt idx="6">
                  <c:v>136.73341684128937</c:v>
                </c:pt>
                <c:pt idx="7">
                  <c:v>131.86307140874104</c:v>
                </c:pt>
                <c:pt idx="8">
                  <c:v>122.07214563060647</c:v>
                </c:pt>
                <c:pt idx="9">
                  <c:v>112.0841039624206</c:v>
                </c:pt>
                <c:pt idx="10">
                  <c:v>101.84018557636935</c:v>
                </c:pt>
                <c:pt idx="11">
                  <c:v>91.353356133468921</c:v>
                </c:pt>
                <c:pt idx="12">
                  <c:v>80.906931712358926</c:v>
                </c:pt>
                <c:pt idx="13">
                  <c:v>70.591987578681284</c:v>
                </c:pt>
                <c:pt idx="14">
                  <c:v>60.559438130449379</c:v>
                </c:pt>
                <c:pt idx="15">
                  <c:v>51.106826268537404</c:v>
                </c:pt>
                <c:pt idx="16">
                  <c:v>42.407464722359471</c:v>
                </c:pt>
                <c:pt idx="17">
                  <c:v>34.605486051068425</c:v>
                </c:pt>
                <c:pt idx="18">
                  <c:v>27.770574356831634</c:v>
                </c:pt>
                <c:pt idx="19">
                  <c:v>21.90403085386539</c:v>
                </c:pt>
                <c:pt idx="20">
                  <c:v>16.95060751908785</c:v>
                </c:pt>
                <c:pt idx="21">
                  <c:v>12.821845742085062</c:v>
                </c:pt>
                <c:pt idx="22">
                  <c:v>9.2887935305993512</c:v>
                </c:pt>
                <c:pt idx="23">
                  <c:v>6.3185050511252747</c:v>
                </c:pt>
                <c:pt idx="24">
                  <c:v>3.9027494559006506</c:v>
                </c:pt>
                <c:pt idx="25">
                  <c:v>2.0950118825060096</c:v>
                </c:pt>
                <c:pt idx="26">
                  <c:v>0.90412962695531507</c:v>
                </c:pt>
                <c:pt idx="27">
                  <c:v>0.25703583232363436</c:v>
                </c:pt>
                <c:pt idx="28">
                  <c:v>7.5518211286941639E-2</c:v>
                </c:pt>
                <c:pt idx="29">
                  <c:v>4.9391293899809008E-2</c:v>
                </c:pt>
                <c:pt idx="30">
                  <c:v>3.0414084990490118E-2</c:v>
                </c:pt>
                <c:pt idx="31">
                  <c:v>1.805373751758043E-2</c:v>
                </c:pt>
                <c:pt idx="32">
                  <c:v>1.0634925064682679E-2</c:v>
                </c:pt>
                <c:pt idx="33">
                  <c:v>6.3477490289540984E-3</c:v>
                </c:pt>
                <c:pt idx="34">
                  <c:v>3.8592208061078207E-3</c:v>
                </c:pt>
                <c:pt idx="35">
                  <c:v>2.3717516812277331E-3</c:v>
                </c:pt>
                <c:pt idx="36">
                  <c:v>1.4563109450135261E-3</c:v>
                </c:pt>
                <c:pt idx="37">
                  <c:v>8.8618939788807363E-4</c:v>
                </c:pt>
                <c:pt idx="38">
                  <c:v>5.3343483883515298E-4</c:v>
                </c:pt>
                <c:pt idx="39">
                  <c:v>3.2493020522060567E-4</c:v>
                </c:pt>
                <c:pt idx="40">
                  <c:v>2.0135057834634286E-4</c:v>
                </c:pt>
                <c:pt idx="41">
                  <c:v>1.2524231062647738E-4</c:v>
                </c:pt>
                <c:pt idx="42">
                  <c:v>7.7776918383101862E-5</c:v>
                </c:pt>
                <c:pt idx="43">
                  <c:v>4.8218990890405479E-5</c:v>
                </c:pt>
                <c:pt idx="44">
                  <c:v>2.988994894749458E-5</c:v>
                </c:pt>
                <c:pt idx="45">
                  <c:v>1.8540941795039622E-5</c:v>
                </c:pt>
                <c:pt idx="46">
                  <c:v>1.1502734062767122E-5</c:v>
                </c:pt>
                <c:pt idx="47">
                  <c:v>7.127520102856691E-6</c:v>
                </c:pt>
                <c:pt idx="48">
                  <c:v>4.4050916032938515E-6</c:v>
                </c:pt>
                <c:pt idx="49">
                  <c:v>2.7132315160002864E-6</c:v>
                </c:pt>
                <c:pt idx="50">
                  <c:v>1.6650095303710091E-6</c:v>
                </c:pt>
                <c:pt idx="51">
                  <c:v>1.0180831771015757E-6</c:v>
                </c:pt>
                <c:pt idx="52">
                  <c:v>6.2041645616714565E-7</c:v>
                </c:pt>
                <c:pt idx="53">
                  <c:v>3.7687707622716514E-7</c:v>
                </c:pt>
                <c:pt idx="54">
                  <c:v>2.2823365178814765E-7</c:v>
                </c:pt>
                <c:pt idx="55">
                  <c:v>1.377977304438833E-7</c:v>
                </c:pt>
                <c:pt idx="56">
                  <c:v>8.2945763281220558E-8</c:v>
                </c:pt>
                <c:pt idx="57">
                  <c:v>4.9778864650587618E-8</c:v>
                </c:pt>
                <c:pt idx="58">
                  <c:v>2.9786105201311951E-8</c:v>
                </c:pt>
                <c:pt idx="59">
                  <c:v>1.7771671453904799E-8</c:v>
                </c:pt>
                <c:pt idx="60">
                  <c:v>1.0573539945106347E-8</c:v>
                </c:pt>
                <c:pt idx="61">
                  <c:v>6.2737281644479566E-9</c:v>
                </c:pt>
                <c:pt idx="62">
                  <c:v>3.7125743561561394E-9</c:v>
                </c:pt>
                <c:pt idx="63">
                  <c:v>2.1912944326427952E-9</c:v>
                </c:pt>
                <c:pt idx="64">
                  <c:v>1.290125270289228E-9</c:v>
                </c:pt>
                <c:pt idx="65">
                  <c:v>7.5770218054085305E-10</c:v>
                </c:pt>
                <c:pt idx="66">
                  <c:v>4.4394548385508246E-10</c:v>
                </c:pt>
                <c:pt idx="67">
                  <c:v>2.5951061236722211E-10</c:v>
                </c:pt>
                <c:pt idx="68">
                  <c:v>1.51357363082222E-10</c:v>
                </c:pt>
                <c:pt idx="69">
                  <c:v>8.8085262161606039E-11</c:v>
                </c:pt>
                <c:pt idx="70">
                  <c:v>5.1154266521339421E-11</c:v>
                </c:pt>
                <c:pt idx="71">
                  <c:v>2.9645948508325812E-11</c:v>
                </c:pt>
                <c:pt idx="72">
                  <c:v>1.7146585813499649E-11</c:v>
                </c:pt>
                <c:pt idx="73">
                  <c:v>9.8978975717206536E-12</c:v>
                </c:pt>
                <c:pt idx="74">
                  <c:v>5.7027354415480206E-12</c:v>
                </c:pt>
                <c:pt idx="75">
                  <c:v>3.2796137778056712E-12</c:v>
                </c:pt>
                <c:pt idx="76">
                  <c:v>1.8827128893091088E-12</c:v>
                </c:pt>
                <c:pt idx="77">
                  <c:v>1.0426489763789517E-12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08-4B73-9C9A-65EC8F9B866F}"/>
            </c:ext>
          </c:extLst>
        </c:ser>
        <c:ser>
          <c:idx val="4"/>
          <c:order val="2"/>
          <c:tx>
            <c:v>Gas</c:v>
          </c:tx>
          <c:spPr>
            <a:solidFill>
              <a:srgbClr val="FFC000"/>
            </a:solidFill>
            <a:ln w="25400">
              <a:noFill/>
            </a:ln>
            <a:effectLst/>
          </c:spPr>
          <c:cat>
            <c:numRef>
              <c:f>'Model - Supply'!$A$5:$A$82</c:f>
              <c:numCache>
                <c:formatCode>General</c:formatCode>
                <c:ptCount val="7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</c:numCache>
            </c:numRef>
          </c:cat>
          <c:val>
            <c:numRef>
              <c:f>'Model - Supply'!$AL$5:$AL$82</c:f>
              <c:numCache>
                <c:formatCode>0.00</c:formatCode>
                <c:ptCount val="78"/>
                <c:pt idx="0">
                  <c:v>74.023200000000003</c:v>
                </c:pt>
                <c:pt idx="1">
                  <c:v>83.194402254611205</c:v>
                </c:pt>
                <c:pt idx="2">
                  <c:v>70.058459614521055</c:v>
                </c:pt>
                <c:pt idx="3">
                  <c:v>73.18036434038909</c:v>
                </c:pt>
                <c:pt idx="4">
                  <c:v>68.50799068746376</c:v>
                </c:pt>
                <c:pt idx="5">
                  <c:v>67.037922915637211</c:v>
                </c:pt>
                <c:pt idx="6">
                  <c:v>61.394041934889813</c:v>
                </c:pt>
                <c:pt idx="7">
                  <c:v>58.763884201283943</c:v>
                </c:pt>
                <c:pt idx="8">
                  <c:v>52.476845453529592</c:v>
                </c:pt>
                <c:pt idx="9">
                  <c:v>46.576852970111048</c:v>
                </c:pt>
                <c:pt idx="10">
                  <c:v>41.185773712274411</c:v>
                </c:pt>
                <c:pt idx="11">
                  <c:v>36.174186979839277</c:v>
                </c:pt>
                <c:pt idx="12">
                  <c:v>31.566790887687198</c:v>
                </c:pt>
                <c:pt idx="13">
                  <c:v>27.236704876051547</c:v>
                </c:pt>
                <c:pt idx="14">
                  <c:v>23.128853428579021</c:v>
                </c:pt>
                <c:pt idx="15">
                  <c:v>19.337763557682514</c:v>
                </c:pt>
                <c:pt idx="16">
                  <c:v>15.870382610817384</c:v>
                </c:pt>
                <c:pt idx="17">
                  <c:v>12.748772951493489</c:v>
                </c:pt>
                <c:pt idx="18">
                  <c:v>9.98216159542784</c:v>
                </c:pt>
                <c:pt idx="19">
                  <c:v>7.5704558158504982</c:v>
                </c:pt>
                <c:pt idx="20">
                  <c:v>5.5004965502675471</c:v>
                </c:pt>
                <c:pt idx="21">
                  <c:v>3.7460457877211328</c:v>
                </c:pt>
                <c:pt idx="22">
                  <c:v>2.1694160092901074</c:v>
                </c:pt>
                <c:pt idx="23">
                  <c:v>1.5630892901836555</c:v>
                </c:pt>
                <c:pt idx="24">
                  <c:v>1.2106419723794648</c:v>
                </c:pt>
                <c:pt idx="25">
                  <c:v>0.91996387364281162</c:v>
                </c:pt>
                <c:pt idx="26">
                  <c:v>0.68020349841110606</c:v>
                </c:pt>
                <c:pt idx="27">
                  <c:v>0.48563320229613244</c:v>
                </c:pt>
                <c:pt idx="28">
                  <c:v>0.32941505248265462</c:v>
                </c:pt>
                <c:pt idx="29">
                  <c:v>0.20926496079539283</c:v>
                </c:pt>
                <c:pt idx="30">
                  <c:v>0.12515446843422867</c:v>
                </c:pt>
                <c:pt idx="31">
                  <c:v>7.2151776827674638E-2</c:v>
                </c:pt>
                <c:pt idx="32">
                  <c:v>4.1277442577655712E-2</c:v>
                </c:pt>
                <c:pt idx="33">
                  <c:v>2.3927147411267675E-2</c:v>
                </c:pt>
                <c:pt idx="34">
                  <c:v>1.4127340087344736E-2</c:v>
                </c:pt>
                <c:pt idx="35">
                  <c:v>8.4317493114146429E-3</c:v>
                </c:pt>
                <c:pt idx="36">
                  <c:v>5.0279291808719585E-3</c:v>
                </c:pt>
                <c:pt idx="37">
                  <c:v>2.9713067572396303E-3</c:v>
                </c:pt>
                <c:pt idx="38">
                  <c:v>1.7369520403988483E-3</c:v>
                </c:pt>
                <c:pt idx="39">
                  <c:v>1.0264119048883594E-3</c:v>
                </c:pt>
                <c:pt idx="40">
                  <c:v>6.1639830926285186E-4</c:v>
                </c:pt>
                <c:pt idx="41">
                  <c:v>3.7153434997513234E-4</c:v>
                </c:pt>
                <c:pt idx="42">
                  <c:v>2.2363585091944531E-4</c:v>
                </c:pt>
                <c:pt idx="43">
                  <c:v>1.3440991125550643E-4</c:v>
                </c:pt>
                <c:pt idx="44">
                  <c:v>8.0774629123634383E-5</c:v>
                </c:pt>
                <c:pt idx="45">
                  <c:v>4.8573083598355069E-5</c:v>
                </c:pt>
                <c:pt idx="46">
                  <c:v>2.9212192488619056E-5</c:v>
                </c:pt>
                <c:pt idx="47">
                  <c:v>1.7547620510501952E-5</c:v>
                </c:pt>
                <c:pt idx="48">
                  <c:v>1.0514787988188834E-5</c:v>
                </c:pt>
                <c:pt idx="49">
                  <c:v>6.2800651501719674E-6</c:v>
                </c:pt>
                <c:pt idx="50">
                  <c:v>3.7376039367673626E-6</c:v>
                </c:pt>
                <c:pt idx="51">
                  <c:v>2.2167621673949386E-6</c:v>
                </c:pt>
                <c:pt idx="52">
                  <c:v>1.3104738944761146E-6</c:v>
                </c:pt>
                <c:pt idx="53">
                  <c:v>7.7231688613999152E-7</c:v>
                </c:pt>
                <c:pt idx="54">
                  <c:v>4.5379764042047808E-7</c:v>
                </c:pt>
                <c:pt idx="55">
                  <c:v>2.6585461390412505E-7</c:v>
                </c:pt>
                <c:pt idx="56">
                  <c:v>1.5529117274606421E-7</c:v>
                </c:pt>
                <c:pt idx="57">
                  <c:v>9.044342768146859E-8</c:v>
                </c:pt>
                <c:pt idx="58">
                  <c:v>5.2523322368637768E-8</c:v>
                </c:pt>
                <c:pt idx="59">
                  <c:v>3.0415705644174996E-8</c:v>
                </c:pt>
                <c:pt idx="60">
                  <c:v>1.7564815360698514E-8</c:v>
                </c:pt>
                <c:pt idx="61">
                  <c:v>1.0116323221404655E-8</c:v>
                </c:pt>
                <c:pt idx="62">
                  <c:v>5.8111807347528085E-9</c:v>
                </c:pt>
                <c:pt idx="63">
                  <c:v>3.329652796818924E-9</c:v>
                </c:pt>
                <c:pt idx="64">
                  <c:v>1.9030686730866267E-9</c:v>
                </c:pt>
                <c:pt idx="65">
                  <c:v>1.0850746496180573E-9</c:v>
                </c:pt>
                <c:pt idx="66">
                  <c:v>6.1722322670486221E-10</c:v>
                </c:pt>
                <c:pt idx="67">
                  <c:v>3.5029287668566378E-10</c:v>
                </c:pt>
                <c:pt idx="68">
                  <c:v>1.9836014152714791E-10</c:v>
                </c:pt>
                <c:pt idx="69">
                  <c:v>1.1208281746289041E-10</c:v>
                </c:pt>
                <c:pt idx="70">
                  <c:v>6.319927084351503E-11</c:v>
                </c:pt>
                <c:pt idx="71">
                  <c:v>3.556303075588955E-11</c:v>
                </c:pt>
                <c:pt idx="72">
                  <c:v>1.997204109287473E-11</c:v>
                </c:pt>
                <c:pt idx="73">
                  <c:v>1.119455250839235E-11</c:v>
                </c:pt>
                <c:pt idx="74">
                  <c:v>6.2628660785373318E-12</c:v>
                </c:pt>
                <c:pt idx="75">
                  <c:v>3.4974009465783183E-12</c:v>
                </c:pt>
                <c:pt idx="76">
                  <c:v>1.9496020776296214E-12</c:v>
                </c:pt>
                <c:pt idx="77">
                  <c:v>1.0881540203527215E-12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08-4B73-9C9A-65EC8F9B866F}"/>
            </c:ext>
          </c:extLst>
        </c:ser>
        <c:ser>
          <c:idx val="1"/>
          <c:order val="3"/>
          <c:tx>
            <c:v>Renewable Fuel</c:v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'Model - Supply'!$A$5:$A$82</c:f>
              <c:numCache>
                <c:formatCode>General</c:formatCode>
                <c:ptCount val="7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</c:numCache>
            </c:numRef>
          </c:cat>
          <c:val>
            <c:numRef>
              <c:f>'Model - Supply'!$AO$5:$AO$82</c:f>
              <c:numCache>
                <c:formatCode>0.00</c:formatCode>
                <c:ptCount val="78"/>
                <c:pt idx="0">
                  <c:v>39.299999999999997</c:v>
                </c:pt>
                <c:pt idx="1">
                  <c:v>40.345085501125993</c:v>
                </c:pt>
                <c:pt idx="2">
                  <c:v>39.243119213870457</c:v>
                </c:pt>
                <c:pt idx="3">
                  <c:v>40.587431593759874</c:v>
                </c:pt>
                <c:pt idx="4">
                  <c:v>41.220937266012456</c:v>
                </c:pt>
                <c:pt idx="5">
                  <c:v>42.54141966201886</c:v>
                </c:pt>
                <c:pt idx="6">
                  <c:v>43.747439264841361</c:v>
                </c:pt>
                <c:pt idx="7">
                  <c:v>45.679826427245899</c:v>
                </c:pt>
                <c:pt idx="8">
                  <c:v>47.511163251542229</c:v>
                </c:pt>
                <c:pt idx="9">
                  <c:v>49.693851376655211</c:v>
                </c:pt>
                <c:pt idx="10">
                  <c:v>52.175718364674303</c:v>
                </c:pt>
                <c:pt idx="11">
                  <c:v>54.670984614271923</c:v>
                </c:pt>
                <c:pt idx="12">
                  <c:v>57.149166517005156</c:v>
                </c:pt>
                <c:pt idx="13">
                  <c:v>59.598055935117287</c:v>
                </c:pt>
                <c:pt idx="14">
                  <c:v>62.005933257383646</c:v>
                </c:pt>
                <c:pt idx="15">
                  <c:v>64.361790824002895</c:v>
                </c:pt>
                <c:pt idx="16">
                  <c:v>66.655529788330483</c:v>
                </c:pt>
                <c:pt idx="17">
                  <c:v>68.87812311580052</c:v>
                </c:pt>
                <c:pt idx="18">
                  <c:v>71.021739583425202</c:v>
                </c:pt>
                <c:pt idx="19">
                  <c:v>73.079826048311858</c:v>
                </c:pt>
                <c:pt idx="20">
                  <c:v>75.04714767789153</c:v>
                </c:pt>
                <c:pt idx="21">
                  <c:v>76.919788071093421</c:v>
                </c:pt>
                <c:pt idx="22">
                  <c:v>78.390977886204652</c:v>
                </c:pt>
                <c:pt idx="23">
                  <c:v>79.236423928209788</c:v>
                </c:pt>
                <c:pt idx="24">
                  <c:v>79.241495499767595</c:v>
                </c:pt>
                <c:pt idx="25">
                  <c:v>78.134030211297045</c:v>
                </c:pt>
                <c:pt idx="26">
                  <c:v>75.374723995930211</c:v>
                </c:pt>
                <c:pt idx="27">
                  <c:v>69.811958898192557</c:v>
                </c:pt>
                <c:pt idx="28">
                  <c:v>65.051601040846592</c:v>
                </c:pt>
                <c:pt idx="29">
                  <c:v>61.262733580558105</c:v>
                </c:pt>
                <c:pt idx="30">
                  <c:v>58.407039130177388</c:v>
                </c:pt>
                <c:pt idx="31">
                  <c:v>56.356341204822066</c:v>
                </c:pt>
                <c:pt idx="32">
                  <c:v>54.947461644090851</c:v>
                </c:pt>
                <c:pt idx="33">
                  <c:v>54.030355862723553</c:v>
                </c:pt>
                <c:pt idx="34">
                  <c:v>53.483193946062052</c:v>
                </c:pt>
                <c:pt idx="35">
                  <c:v>53.21213385083157</c:v>
                </c:pt>
                <c:pt idx="36">
                  <c:v>53.146506810722137</c:v>
                </c:pt>
                <c:pt idx="37">
                  <c:v>53.233576161633209</c:v>
                </c:pt>
                <c:pt idx="38">
                  <c:v>53.434046291767643</c:v>
                </c:pt>
                <c:pt idx="39">
                  <c:v>53.718564019445033</c:v>
                </c:pt>
                <c:pt idx="40">
                  <c:v>54.06502047696339</c:v>
                </c:pt>
                <c:pt idx="41">
                  <c:v>54.456842561940519</c:v>
                </c:pt>
                <c:pt idx="42">
                  <c:v>54.881450029596486</c:v>
                </c:pt>
                <c:pt idx="43">
                  <c:v>55.32916974386201</c:v>
                </c:pt>
                <c:pt idx="44">
                  <c:v>55.792469501189345</c:v>
                </c:pt>
                <c:pt idx="45">
                  <c:v>56.265467711439342</c:v>
                </c:pt>
                <c:pt idx="46">
                  <c:v>56.7434473524211</c:v>
                </c:pt>
                <c:pt idx="47">
                  <c:v>57.222609562182797</c:v>
                </c:pt>
                <c:pt idx="48">
                  <c:v>57.699840583683319</c:v>
                </c:pt>
                <c:pt idx="49">
                  <c:v>58.172594135701104</c:v>
                </c:pt>
                <c:pt idx="50">
                  <c:v>58.638745342657764</c:v>
                </c:pt>
                <c:pt idx="51">
                  <c:v>59.096419522414628</c:v>
                </c:pt>
                <c:pt idx="52">
                  <c:v>59.544051966855704</c:v>
                </c:pt>
                <c:pt idx="53">
                  <c:v>59.980268206713454</c:v>
                </c:pt>
                <c:pt idx="54">
                  <c:v>60.403877083293132</c:v>
                </c:pt>
                <c:pt idx="55">
                  <c:v>60.813861878793645</c:v>
                </c:pt>
                <c:pt idx="56">
                  <c:v>61.209345997057774</c:v>
                </c:pt>
                <c:pt idx="57">
                  <c:v>61.589546594555166</c:v>
                </c:pt>
                <c:pt idx="58">
                  <c:v>61.953844287151909</c:v>
                </c:pt>
                <c:pt idx="59">
                  <c:v>62.301764613340609</c:v>
                </c:pt>
                <c:pt idx="60">
                  <c:v>62.632941465338533</c:v>
                </c:pt>
                <c:pt idx="61">
                  <c:v>62.947195055394197</c:v>
                </c:pt>
                <c:pt idx="62">
                  <c:v>63.244355402257177</c:v>
                </c:pt>
                <c:pt idx="63">
                  <c:v>63.524390564647909</c:v>
                </c:pt>
                <c:pt idx="64">
                  <c:v>63.787313857709478</c:v>
                </c:pt>
                <c:pt idx="65">
                  <c:v>64.033233766409623</c:v>
                </c:pt>
                <c:pt idx="66">
                  <c:v>64.262300998837347</c:v>
                </c:pt>
                <c:pt idx="67">
                  <c:v>64.474745044043601</c:v>
                </c:pt>
                <c:pt idx="68">
                  <c:v>64.670808703239885</c:v>
                </c:pt>
                <c:pt idx="69">
                  <c:v>64.850768606068911</c:v>
                </c:pt>
                <c:pt idx="70">
                  <c:v>65.01492467963979</c:v>
                </c:pt>
                <c:pt idx="71">
                  <c:v>65.16357193926757</c:v>
                </c:pt>
                <c:pt idx="72">
                  <c:v>65.296986960474243</c:v>
                </c:pt>
                <c:pt idx="73">
                  <c:v>65.41548371888544</c:v>
                </c:pt>
                <c:pt idx="74">
                  <c:v>65.519351303703999</c:v>
                </c:pt>
                <c:pt idx="75">
                  <c:v>65.608961867809597</c:v>
                </c:pt>
                <c:pt idx="76">
                  <c:v>65.684673192179616</c:v>
                </c:pt>
                <c:pt idx="77">
                  <c:v>65.746847301511821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08-4B73-9C9A-65EC8F9B866F}"/>
            </c:ext>
          </c:extLst>
        </c:ser>
        <c:ser>
          <c:idx val="0"/>
          <c:order val="4"/>
          <c:tx>
            <c:v>Renewable Electricity</c:v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'Model - Supply'!$A$5:$A$82</c:f>
              <c:numCache>
                <c:formatCode>General</c:formatCode>
                <c:ptCount val="7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</c:numCache>
            </c:numRef>
          </c:cat>
          <c:val>
            <c:numRef>
              <c:f>'Model - Supply'!$AN$5:$AN$82</c:f>
              <c:numCache>
                <c:formatCode>0.00</c:formatCode>
                <c:ptCount val="78"/>
                <c:pt idx="0">
                  <c:v>28.400000000000002</c:v>
                </c:pt>
                <c:pt idx="1">
                  <c:v>27.693333333333335</c:v>
                </c:pt>
                <c:pt idx="2">
                  <c:v>25.938968595756055</c:v>
                </c:pt>
                <c:pt idx="3">
                  <c:v>29.605736596930246</c:v>
                </c:pt>
                <c:pt idx="4">
                  <c:v>31.839728130434334</c:v>
                </c:pt>
                <c:pt idx="5">
                  <c:v>34.531981530069203</c:v>
                </c:pt>
                <c:pt idx="6">
                  <c:v>37.093906629256715</c:v>
                </c:pt>
                <c:pt idx="7">
                  <c:v>40.663164888330726</c:v>
                </c:pt>
                <c:pt idx="8">
                  <c:v>44.449421977026489</c:v>
                </c:pt>
                <c:pt idx="9">
                  <c:v>49.378422099468438</c:v>
                </c:pt>
                <c:pt idx="10">
                  <c:v>55.049443606495082</c:v>
                </c:pt>
                <c:pt idx="11">
                  <c:v>61.135083987637159</c:v>
                </c:pt>
                <c:pt idx="12">
                  <c:v>67.731358469240206</c:v>
                </c:pt>
                <c:pt idx="13">
                  <c:v>74.86963046921683</c:v>
                </c:pt>
                <c:pt idx="14">
                  <c:v>82.609700938341007</c:v>
                </c:pt>
                <c:pt idx="15">
                  <c:v>91.022798378966797</c:v>
                </c:pt>
                <c:pt idx="16">
                  <c:v>100.1967848403082</c:v>
                </c:pt>
                <c:pt idx="17">
                  <c:v>110.23507537444334</c:v>
                </c:pt>
                <c:pt idx="18">
                  <c:v>121.25568961894686</c:v>
                </c:pt>
                <c:pt idx="19">
                  <c:v>133.38894535899163</c:v>
                </c:pt>
                <c:pt idx="20">
                  <c:v>146.77423161698187</c:v>
                </c:pt>
                <c:pt idx="21">
                  <c:v>161.5558324453055</c:v>
                </c:pt>
                <c:pt idx="22">
                  <c:v>177.87783704586872</c:v>
                </c:pt>
                <c:pt idx="23">
                  <c:v>195.8780985467923</c:v>
                </c:pt>
                <c:pt idx="24">
                  <c:v>215.68118965221771</c:v>
                </c:pt>
                <c:pt idx="25">
                  <c:v>237.39033156759925</c:v>
                </c:pt>
                <c:pt idx="26">
                  <c:v>261.07836675890132</c:v>
                </c:pt>
                <c:pt idx="27">
                  <c:v>286.77800825110313</c:v>
                </c:pt>
                <c:pt idx="28">
                  <c:v>316.97131002510901</c:v>
                </c:pt>
                <c:pt idx="29">
                  <c:v>343.90537583545091</c:v>
                </c:pt>
                <c:pt idx="30">
                  <c:v>361.38014577903135</c:v>
                </c:pt>
                <c:pt idx="31">
                  <c:v>368.09052784169296</c:v>
                </c:pt>
                <c:pt idx="32">
                  <c:v>366.98740014799739</c:v>
                </c:pt>
                <c:pt idx="33">
                  <c:v>363.54972755345852</c:v>
                </c:pt>
                <c:pt idx="34">
                  <c:v>362.71666478041368</c:v>
                </c:pt>
                <c:pt idx="35">
                  <c:v>366.35749761507157</c:v>
                </c:pt>
                <c:pt idx="36">
                  <c:v>373.24295906355439</c:v>
                </c:pt>
                <c:pt idx="37">
                  <c:v>380.92001371186052</c:v>
                </c:pt>
                <c:pt idx="38">
                  <c:v>387.46016380562514</c:v>
                </c:pt>
                <c:pt idx="39">
                  <c:v>392.17120844276178</c:v>
                </c:pt>
                <c:pt idx="40">
                  <c:v>395.45527955664187</c:v>
                </c:pt>
                <c:pt idx="41">
                  <c:v>398.22743367901069</c:v>
                </c:pt>
                <c:pt idx="42">
                  <c:v>401.29408115061398</c:v>
                </c:pt>
                <c:pt idx="43">
                  <c:v>404.99521019267434</c:v>
                </c:pt>
                <c:pt idx="44">
                  <c:v>409.20938527741959</c:v>
                </c:pt>
                <c:pt idx="45">
                  <c:v>413.58758563894116</c:v>
                </c:pt>
                <c:pt idx="46">
                  <c:v>417.80782458820346</c:v>
                </c:pt>
                <c:pt idx="47">
                  <c:v>421.71201019444499</c:v>
                </c:pt>
                <c:pt idx="48">
                  <c:v>425.31100941020406</c:v>
                </c:pt>
                <c:pt idx="49">
                  <c:v>428.70831117607014</c:v>
                </c:pt>
                <c:pt idx="50">
                  <c:v>432.01232325456982</c:v>
                </c:pt>
                <c:pt idx="51">
                  <c:v>435.2818775498763</c:v>
                </c:pt>
                <c:pt idx="52">
                  <c:v>438.51462802759983</c:v>
                </c:pt>
                <c:pt idx="53">
                  <c:v>441.67149743104926</c:v>
                </c:pt>
                <c:pt idx="54">
                  <c:v>444.70660036042887</c:v>
                </c:pt>
                <c:pt idx="55">
                  <c:v>447.58839201557362</c:v>
                </c:pt>
                <c:pt idx="56">
                  <c:v>450.30615214728886</c:v>
                </c:pt>
                <c:pt idx="57">
                  <c:v>452.86459989409138</c:v>
                </c:pt>
                <c:pt idx="58">
                  <c:v>455.27303726292757</c:v>
                </c:pt>
                <c:pt idx="59">
                  <c:v>457.53910110115839</c:v>
                </c:pt>
                <c:pt idx="60">
                  <c:v>459.66639847153243</c:v>
                </c:pt>
                <c:pt idx="61">
                  <c:v>461.65422855930234</c:v>
                </c:pt>
                <c:pt idx="62">
                  <c:v>463.50254563418667</c:v>
                </c:pt>
                <c:pt idx="63">
                  <c:v>465.21051230554099</c:v>
                </c:pt>
                <c:pt idx="64">
                  <c:v>466.77950358765884</c:v>
                </c:pt>
                <c:pt idx="65">
                  <c:v>468.2119971541822</c:v>
                </c:pt>
                <c:pt idx="66">
                  <c:v>469.51210080163906</c:v>
                </c:pt>
                <c:pt idx="67">
                  <c:v>470.68409199794786</c:v>
                </c:pt>
                <c:pt idx="68">
                  <c:v>471.7329162393217</c:v>
                </c:pt>
                <c:pt idx="69">
                  <c:v>472.66286140478502</c:v>
                </c:pt>
                <c:pt idx="70">
                  <c:v>473.47767299228133</c:v>
                </c:pt>
                <c:pt idx="71">
                  <c:v>474.18090416295206</c:v>
                </c:pt>
                <c:pt idx="72">
                  <c:v>474.77571576512599</c:v>
                </c:pt>
                <c:pt idx="73">
                  <c:v>475.2642513992152</c:v>
                </c:pt>
                <c:pt idx="74">
                  <c:v>475.64931516505817</c:v>
                </c:pt>
                <c:pt idx="75">
                  <c:v>475.93305163456841</c:v>
                </c:pt>
                <c:pt idx="76">
                  <c:v>476.11947699776493</c:v>
                </c:pt>
                <c:pt idx="77">
                  <c:v>476.21302913319403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08-4B73-9C9A-65EC8F9B866F}"/>
            </c:ext>
          </c:extLst>
        </c:ser>
        <c:ser>
          <c:idx val="6"/>
          <c:order val="6"/>
          <c:tx>
            <c:v>Nuclear</c:v>
          </c:tx>
          <c:spPr>
            <a:solidFill>
              <a:srgbClr val="7030A0"/>
            </a:solidFill>
            <a:ln w="25400">
              <a:noFill/>
            </a:ln>
            <a:effectLst/>
          </c:spPr>
          <c:cat>
            <c:numRef>
              <c:f>'Model - Supply'!$A$5:$A$82</c:f>
              <c:numCache>
                <c:formatCode>General</c:formatCode>
                <c:ptCount val="7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</c:numCache>
            </c:numRef>
          </c:cat>
          <c:val>
            <c:numRef>
              <c:f>'Model - Supply'!$AM$5:$AM$82</c:f>
              <c:numCache>
                <c:formatCode>0.00</c:formatCode>
                <c:ptCount val="78"/>
                <c:pt idx="0">
                  <c:v>9.6999999999999993</c:v>
                </c:pt>
                <c:pt idx="1">
                  <c:v>9.1082512182833728</c:v>
                </c:pt>
                <c:pt idx="2">
                  <c:v>10.528145240391121</c:v>
                </c:pt>
                <c:pt idx="3">
                  <c:v>11.787867587903333</c:v>
                </c:pt>
                <c:pt idx="4">
                  <c:v>13.23052467158807</c:v>
                </c:pt>
                <c:pt idx="5">
                  <c:v>14.804474559872075</c:v>
                </c:pt>
                <c:pt idx="6">
                  <c:v>16.9668064129458</c:v>
                </c:pt>
                <c:pt idx="7">
                  <c:v>19.568567152118312</c:v>
                </c:pt>
                <c:pt idx="8">
                  <c:v>23.058498346720295</c:v>
                </c:pt>
                <c:pt idx="9">
                  <c:v>27.381271897685433</c:v>
                </c:pt>
                <c:pt idx="10">
                  <c:v>32.352991612446615</c:v>
                </c:pt>
                <c:pt idx="11">
                  <c:v>37.954791074526817</c:v>
                </c:pt>
                <c:pt idx="12">
                  <c:v>44.074719549477827</c:v>
                </c:pt>
                <c:pt idx="13">
                  <c:v>50.45174852831137</c:v>
                </c:pt>
                <c:pt idx="14">
                  <c:v>56.613463693690861</c:v>
                </c:pt>
                <c:pt idx="15">
                  <c:v>61.835413479221423</c:v>
                </c:pt>
                <c:pt idx="16">
                  <c:v>65.177808267924306</c:v>
                </c:pt>
                <c:pt idx="17">
                  <c:v>65.669648952066623</c:v>
                </c:pt>
                <c:pt idx="18">
                  <c:v>62.661544142099444</c:v>
                </c:pt>
                <c:pt idx="19">
                  <c:v>56.22033523342737</c:v>
                </c:pt>
                <c:pt idx="20">
                  <c:v>47.282729296162429</c:v>
                </c:pt>
                <c:pt idx="21">
                  <c:v>37.356981614012966</c:v>
                </c:pt>
                <c:pt idx="22">
                  <c:v>27.921853988341159</c:v>
                </c:pt>
                <c:pt idx="23">
                  <c:v>19.941302341822347</c:v>
                </c:pt>
                <c:pt idx="24">
                  <c:v>13.75379667899171</c:v>
                </c:pt>
                <c:pt idx="25">
                  <c:v>9.2492560354797551</c:v>
                </c:pt>
                <c:pt idx="26">
                  <c:v>6.1113719012191554</c:v>
                </c:pt>
                <c:pt idx="27">
                  <c:v>3.9901777133750991</c:v>
                </c:pt>
                <c:pt idx="28">
                  <c:v>2.4885163832209409</c:v>
                </c:pt>
                <c:pt idx="29">
                  <c:v>1.4516238193429065</c:v>
                </c:pt>
                <c:pt idx="30">
                  <c:v>0.79760544429151514</c:v>
                </c:pt>
                <c:pt idx="31">
                  <c:v>0.42311293929858523</c:v>
                </c:pt>
                <c:pt idx="32">
                  <c:v>0.22320278639366009</c:v>
                </c:pt>
                <c:pt idx="33">
                  <c:v>0.11957726063362065</c:v>
                </c:pt>
                <c:pt idx="34">
                  <c:v>6.540179556663013E-2</c:v>
                </c:pt>
                <c:pt idx="35">
                  <c:v>3.6240255587862327E-2</c:v>
                </c:pt>
                <c:pt idx="36">
                  <c:v>2.0106515127064468E-2</c:v>
                </c:pt>
                <c:pt idx="37">
                  <c:v>1.1077736762084851E-2</c:v>
                </c:pt>
                <c:pt idx="38">
                  <c:v>6.0489575459267845E-3</c:v>
                </c:pt>
                <c:pt idx="39">
                  <c:v>3.2829694022178018E-3</c:v>
                </c:pt>
                <c:pt idx="40">
                  <c:v>1.7789861582726745E-3</c:v>
                </c:pt>
                <c:pt idx="41">
                  <c:v>9.6578006332690813E-4</c:v>
                </c:pt>
                <c:pt idx="42">
                  <c:v>5.258330108663629E-4</c:v>
                </c:pt>
                <c:pt idx="43">
                  <c:v>2.8687157449472004E-4</c:v>
                </c:pt>
                <c:pt idx="44">
                  <c:v>1.5655297247095829E-4</c:v>
                </c:pt>
                <c:pt idx="45">
                  <c:v>8.5343781841243778E-5</c:v>
                </c:pt>
                <c:pt idx="46">
                  <c:v>4.6449311332257557E-5</c:v>
                </c:pt>
                <c:pt idx="47">
                  <c:v>2.5244300590182788E-5</c:v>
                </c:pt>
                <c:pt idx="48">
                  <c:v>1.3707272312331873E-5</c:v>
                </c:pt>
                <c:pt idx="49">
                  <c:v>7.4395581467015147E-6</c:v>
                </c:pt>
                <c:pt idx="50">
                  <c:v>4.0368615262599525E-6</c:v>
                </c:pt>
                <c:pt idx="51">
                  <c:v>2.1898628477823455E-6</c:v>
                </c:pt>
                <c:pt idx="52">
                  <c:v>1.1873565122633547E-6</c:v>
                </c:pt>
                <c:pt idx="53">
                  <c:v>6.4335243293825287E-7</c:v>
                </c:pt>
                <c:pt idx="54">
                  <c:v>3.4831064056986007E-7</c:v>
                </c:pt>
                <c:pt idx="55">
                  <c:v>1.884177224327695E-7</c:v>
                </c:pt>
                <c:pt idx="56">
                  <c:v>1.0184221717355026E-7</c:v>
                </c:pt>
                <c:pt idx="57">
                  <c:v>5.5005355397889703E-8</c:v>
                </c:pt>
                <c:pt idx="58">
                  <c:v>2.9687118515889894E-8</c:v>
                </c:pt>
                <c:pt idx="59">
                  <c:v>1.6011186056664602E-8</c:v>
                </c:pt>
                <c:pt idx="60">
                  <c:v>8.629207796934127E-9</c:v>
                </c:pt>
                <c:pt idx="61">
                  <c:v>4.647407341540539E-9</c:v>
                </c:pt>
                <c:pt idx="62">
                  <c:v>2.5011694037546329E-9</c:v>
                </c:pt>
                <c:pt idx="63">
                  <c:v>1.3451549645919766E-9</c:v>
                </c:pt>
                <c:pt idx="64">
                  <c:v>7.229447376962683E-10</c:v>
                </c:pt>
                <c:pt idx="65">
                  <c:v>3.882852270455873E-10</c:v>
                </c:pt>
                <c:pt idx="66">
                  <c:v>2.0841043029764198E-10</c:v>
                </c:pt>
                <c:pt idx="67">
                  <c:v>1.1179473769853097E-10</c:v>
                </c:pt>
                <c:pt idx="68">
                  <c:v>5.99329630944011E-11</c:v>
                </c:pt>
                <c:pt idx="69">
                  <c:v>3.2111508496014115E-11</c:v>
                </c:pt>
                <c:pt idx="70">
                  <c:v>1.7195457347896699E-11</c:v>
                </c:pt>
                <c:pt idx="71">
                  <c:v>9.2030398932454417E-12</c:v>
                </c:pt>
                <c:pt idx="72">
                  <c:v>4.9228717538471857E-12</c:v>
                </c:pt>
                <c:pt idx="73">
                  <c:v>2.631973237064941E-12</c:v>
                </c:pt>
                <c:pt idx="74">
                  <c:v>1.4064554842743893E-12</c:v>
                </c:pt>
                <c:pt idx="75">
                  <c:v>7.5120952247192008E-13</c:v>
                </c:pt>
                <c:pt idx="76">
                  <c:v>4.01047925285318E-13</c:v>
                </c:pt>
                <c:pt idx="77">
                  <c:v>3.8731077337597918E-13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08-4B73-9C9A-65EC8F9B8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694943"/>
        <c:axId val="376693503"/>
      </c:areaChart>
      <c:lineChart>
        <c:grouping val="standard"/>
        <c:varyColors val="0"/>
        <c:ser>
          <c:idx val="5"/>
          <c:order val="5"/>
          <c:tx>
            <c:v>Demand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multiLvlStrRef>
              <c:f>#REF!$G$1:$GX$1</c:f>
            </c:multiLvlStrRef>
          </c:cat>
          <c:val>
            <c:numRef>
              <c:f>'Model - Demand'!$R$5:$R$82</c:f>
              <c:numCache>
                <c:formatCode>0.00</c:formatCode>
                <c:ptCount val="78"/>
                <c:pt idx="0">
                  <c:v>387.13384654154578</c:v>
                </c:pt>
                <c:pt idx="1">
                  <c:v>390.44544435319494</c:v>
                </c:pt>
                <c:pt idx="2">
                  <c:v>393.56273764442909</c:v>
                </c:pt>
                <c:pt idx="3">
                  <c:v>396.4688368850064</c:v>
                </c:pt>
                <c:pt idx="4">
                  <c:v>399.17854483335327</c:v>
                </c:pt>
                <c:pt idx="5">
                  <c:v>401.66538529357717</c:v>
                </c:pt>
                <c:pt idx="6">
                  <c:v>403.92757969321053</c:v>
                </c:pt>
                <c:pt idx="7">
                  <c:v>405.96440098026972</c:v>
                </c:pt>
                <c:pt idx="8">
                  <c:v>407.77300738100462</c:v>
                </c:pt>
                <c:pt idx="9">
                  <c:v>409.34692490943081</c:v>
                </c:pt>
                <c:pt idx="10">
                  <c:v>410.68019973058733</c:v>
                </c:pt>
                <c:pt idx="11">
                  <c:v>411.76800067754414</c:v>
                </c:pt>
                <c:pt idx="12">
                  <c:v>412.6042573969994</c:v>
                </c:pt>
                <c:pt idx="13">
                  <c:v>413.17918776934971</c:v>
                </c:pt>
                <c:pt idx="14">
                  <c:v>413.48387841345743</c:v>
                </c:pt>
                <c:pt idx="15">
                  <c:v>413.50452129293285</c:v>
                </c:pt>
                <c:pt idx="16">
                  <c:v>413.23261921322711</c:v>
                </c:pt>
                <c:pt idx="17">
                  <c:v>412.65376662415667</c:v>
                </c:pt>
                <c:pt idx="18">
                  <c:v>411.75636790550635</c:v>
                </c:pt>
                <c:pt idx="19">
                  <c:v>410.51957478161933</c:v>
                </c:pt>
                <c:pt idx="20">
                  <c:v>408.92831848931206</c:v>
                </c:pt>
                <c:pt idx="21">
                  <c:v>406.96653748656172</c:v>
                </c:pt>
                <c:pt idx="22">
                  <c:v>404.61311845517542</c:v>
                </c:pt>
                <c:pt idx="23">
                  <c:v>401.84609065111289</c:v>
                </c:pt>
                <c:pt idx="24">
                  <c:v>398.64603902499891</c:v>
                </c:pt>
                <c:pt idx="25">
                  <c:v>394.98893651346913</c:v>
                </c:pt>
                <c:pt idx="26">
                  <c:v>390.8545481591317</c:v>
                </c:pt>
                <c:pt idx="27">
                  <c:v>395.63464638479229</c:v>
                </c:pt>
                <c:pt idx="28">
                  <c:v>400.44728894011087</c:v>
                </c:pt>
                <c:pt idx="29">
                  <c:v>405.28555239313721</c:v>
                </c:pt>
                <c:pt idx="30">
                  <c:v>410.14197699986562</c:v>
                </c:pt>
                <c:pt idx="31">
                  <c:v>415.01001578281119</c:v>
                </c:pt>
                <c:pt idx="32">
                  <c:v>419.88013810492282</c:v>
                </c:pt>
                <c:pt idx="33">
                  <c:v>424.74927227667507</c:v>
                </c:pt>
                <c:pt idx="34">
                  <c:v>429.61100861271285</c:v>
                </c:pt>
                <c:pt idx="35">
                  <c:v>434.45727578219811</c:v>
                </c:pt>
                <c:pt idx="36">
                  <c:v>439.28105411506147</c:v>
                </c:pt>
                <c:pt idx="37">
                  <c:v>444.07551358709645</c:v>
                </c:pt>
                <c:pt idx="38">
                  <c:v>448.83359209948759</c:v>
                </c:pt>
                <c:pt idx="39">
                  <c:v>453.54744197840495</c:v>
                </c:pt>
                <c:pt idx="40">
                  <c:v>458.21114388361127</c:v>
                </c:pt>
                <c:pt idx="41">
                  <c:v>462.81608157754255</c:v>
                </c:pt>
                <c:pt idx="42">
                  <c:v>467.35393956465049</c:v>
                </c:pt>
                <c:pt idx="43">
                  <c:v>471.81549663266497</c:v>
                </c:pt>
                <c:pt idx="44">
                  <c:v>476.19317802670872</c:v>
                </c:pt>
                <c:pt idx="45">
                  <c:v>480.47622648805157</c:v>
                </c:pt>
                <c:pt idx="46">
                  <c:v>484.65554463475974</c:v>
                </c:pt>
                <c:pt idx="47">
                  <c:v>488.72174090662475</c:v>
                </c:pt>
                <c:pt idx="48">
                  <c:v>492.66752500914055</c:v>
                </c:pt>
                <c:pt idx="49">
                  <c:v>496.48526892912656</c:v>
                </c:pt>
                <c:pt idx="50">
                  <c:v>500.16437542455543</c:v>
                </c:pt>
                <c:pt idx="51">
                  <c:v>503.69945258690331</c:v>
                </c:pt>
                <c:pt idx="52">
                  <c:v>507.08313402356794</c:v>
                </c:pt>
                <c:pt idx="53">
                  <c:v>510.30978238974558</c:v>
                </c:pt>
                <c:pt idx="54">
                  <c:v>513.37533927830339</c:v>
                </c:pt>
                <c:pt idx="55">
                  <c:v>516.27609394945148</c:v>
                </c:pt>
                <c:pt idx="56">
                  <c:v>519.00777871294974</c:v>
                </c:pt>
                <c:pt idx="57">
                  <c:v>521.57036860551341</c:v>
                </c:pt>
                <c:pt idx="58">
                  <c:v>523.964749770401</c:v>
                </c:pt>
                <c:pt idx="59">
                  <c:v>526.19168004094581</c:v>
                </c:pt>
                <c:pt idx="60">
                  <c:v>528.25671398815484</c:v>
                </c:pt>
                <c:pt idx="61">
                  <c:v>530.15908361678089</c:v>
                </c:pt>
                <c:pt idx="62">
                  <c:v>531.90421984255011</c:v>
                </c:pt>
                <c:pt idx="63">
                  <c:v>533.49457796311856</c:v>
                </c:pt>
                <c:pt idx="64">
                  <c:v>534.93546689074026</c:v>
                </c:pt>
                <c:pt idx="65">
                  <c:v>536.23061945382119</c:v>
                </c:pt>
                <c:pt idx="66">
                  <c:v>537.38593653941564</c:v>
                </c:pt>
                <c:pt idx="67">
                  <c:v>538.40492844971652</c:v>
                </c:pt>
                <c:pt idx="68">
                  <c:v>539.29221606050669</c:v>
                </c:pt>
                <c:pt idx="69">
                  <c:v>540.05221429605888</c:v>
                </c:pt>
                <c:pt idx="70">
                  <c:v>540.68817267041572</c:v>
                </c:pt>
                <c:pt idx="71">
                  <c:v>541.20262487454647</c:v>
                </c:pt>
                <c:pt idx="72">
                  <c:v>541.60061946503663</c:v>
                </c:pt>
                <c:pt idx="73">
                  <c:v>541.88448731555059</c:v>
                </c:pt>
                <c:pt idx="74">
                  <c:v>542.06153575725807</c:v>
                </c:pt>
                <c:pt idx="75">
                  <c:v>542.13501639479864</c:v>
                </c:pt>
                <c:pt idx="76">
                  <c:v>542.10891003990912</c:v>
                </c:pt>
                <c:pt idx="77">
                  <c:v>541.98905244734578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08-4B73-9C9A-65EC8F9B8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694943"/>
        <c:axId val="376693503"/>
      </c:lineChart>
      <c:catAx>
        <c:axId val="376694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376693503"/>
        <c:crosses val="autoZero"/>
        <c:auto val="1"/>
        <c:lblAlgn val="ctr"/>
        <c:lblOffset val="20"/>
        <c:tickLblSkip val="20"/>
        <c:tickMarkSkip val="10"/>
        <c:noMultiLvlLbl val="0"/>
      </c:catAx>
      <c:valAx>
        <c:axId val="37669350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37669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2294804064343099E-2"/>
          <c:y val="0.77417799497676143"/>
          <c:w val="0.9204545194684618"/>
          <c:h val="0.2166415903139039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'Scenario Picker'!$B$36" horiz="1" max="80" min="1" page="10" val="26"/>
</file>

<file path=xl/ctrlProps/ctrlProp2.xml><?xml version="1.0" encoding="utf-8"?>
<formControlPr xmlns="http://schemas.microsoft.com/office/spreadsheetml/2009/9/main" objectType="Scroll" dx="22" fmlaLink="'Scenario Picker'!$B$35" max="100" page="10" val="100"/>
</file>

<file path=xl/ctrlProps/ctrlProp3.xml><?xml version="1.0" encoding="utf-8"?>
<formControlPr xmlns="http://schemas.microsoft.com/office/spreadsheetml/2009/9/main" objectType="Drop" dropLines="11" dropStyle="combo" dx="26" fmlaLink="'Scenario Picker'!$A$24" fmlaRange="'Scenario Picker'!$B$23:$B$33" noThreeD="1" sel="6" val="0"/>
</file>

<file path=xl/ctrlProps/ctrlProp4.xml><?xml version="1.0" encoding="utf-8"?>
<formControlPr xmlns="http://schemas.microsoft.com/office/spreadsheetml/2009/9/main" objectType="Drop" dropStyle="combo" dx="26" fmlaLink="'Scenario Picker'!$A$19" fmlaRange="'Scenario Picker'!$B$18:$B$21" noThreeD="1" sel="3" val="0"/>
</file>

<file path=xl/ctrlProps/ctrlProp5.xml><?xml version="1.0" encoding="utf-8"?>
<formControlPr xmlns="http://schemas.microsoft.com/office/spreadsheetml/2009/9/main" objectType="Drop" dropStyle="combo" dx="26" fmlaLink="'Scenario Picker'!$A$15" fmlaRange="'Scenario Picker'!$B$14:$B$16" noThreeD="1" sel="2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5</xdr:col>
      <xdr:colOff>504825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5FC4F3-3E59-4AF2-ACB5-8CFFD6F0A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0</xdr:rowOff>
    </xdr:from>
    <xdr:to>
      <xdr:col>10</xdr:col>
      <xdr:colOff>403860</xdr:colOff>
      <xdr:row>14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CC99AD-6DD8-43B6-9EB1-451F2EB1C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15</xdr:row>
      <xdr:rowOff>1</xdr:rowOff>
    </xdr:from>
    <xdr:to>
      <xdr:col>10</xdr:col>
      <xdr:colOff>409574</xdr:colOff>
      <xdr:row>36</xdr:row>
      <xdr:rowOff>123826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DB16A286-E929-48D9-B64B-B99BAB815124}"/>
            </a:ext>
          </a:extLst>
        </xdr:cNvPr>
        <xdr:cNvGrpSpPr/>
      </xdr:nvGrpSpPr>
      <xdr:grpSpPr>
        <a:xfrm>
          <a:off x="208547" y="2646948"/>
          <a:ext cx="5895974" cy="3829552"/>
          <a:chOff x="7867651" y="2524125"/>
          <a:chExt cx="5895974" cy="3355086"/>
        </a:xfrm>
      </xdr:grpSpPr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BD5667E0-4757-5FBA-9273-8FAEEDBF8FF3}"/>
              </a:ext>
            </a:extLst>
          </xdr:cNvPr>
          <xdr:cNvGraphicFramePr>
            <a:graphicFrameLocks/>
          </xdr:cNvGraphicFramePr>
        </xdr:nvGraphicFramePr>
        <xdr:xfrm>
          <a:off x="7867651" y="2524125"/>
          <a:ext cx="5895974" cy="33550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69635" name="Scroll Bar 3" hidden="1">
                <a:extLst>
                  <a:ext uri="{63B3BB69-23CF-44E3-9099-C40C66FF867C}">
                    <a14:compatExt spid="_x0000_s69635"/>
                  </a:ext>
                  <a:ext uri="{FF2B5EF4-FFF2-40B4-BE49-F238E27FC236}">
                    <a16:creationId xmlns:a16="http://schemas.microsoft.com/office/drawing/2014/main" id="{00000000-0008-0000-0000-000003B40000}"/>
                  </a:ext>
                </a:extLst>
              </xdr:cNvPr>
              <xdr:cNvSpPr/>
            </xdr:nvSpPr>
            <xdr:spPr bwMode="auto">
              <a:xfrm>
                <a:off x="9715501" y="4962697"/>
                <a:ext cx="3705224" cy="171360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69636" name="Scroll Bar 4" hidden="1">
                <a:extLst>
                  <a:ext uri="{63B3BB69-23CF-44E3-9099-C40C66FF867C}">
                    <a14:compatExt spid="_x0000_s69636"/>
                  </a:ext>
                  <a:ext uri="{FF2B5EF4-FFF2-40B4-BE49-F238E27FC236}">
                    <a16:creationId xmlns:a16="http://schemas.microsoft.com/office/drawing/2014/main" id="{00000000-0008-0000-0000-000004B40000}"/>
                  </a:ext>
                </a:extLst>
              </xdr:cNvPr>
              <xdr:cNvSpPr/>
            </xdr:nvSpPr>
            <xdr:spPr bwMode="auto">
              <a:xfrm>
                <a:off x="9127332" y="3155156"/>
                <a:ext cx="180000" cy="1654053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</xdr:spPr>
          </xdr:sp>
        </mc:Choice>
        <mc:Fallback/>
      </mc:AlternateContent>
    </xdr:grpSp>
    <xdr:clientData/>
  </xdr:twoCellAnchor>
  <xdr:twoCellAnchor>
    <xdr:from>
      <xdr:col>10</xdr:col>
      <xdr:colOff>485775</xdr:colOff>
      <xdr:row>0</xdr:row>
      <xdr:rowOff>161924</xdr:rowOff>
    </xdr:from>
    <xdr:to>
      <xdr:col>18</xdr:col>
      <xdr:colOff>446545</xdr:colOff>
      <xdr:row>19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3B2E93-7D57-4EDE-94FC-3CF80B620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40103</xdr:colOff>
          <xdr:row>7</xdr:row>
          <xdr:rowOff>80210</xdr:rowOff>
        </xdr:from>
        <xdr:to>
          <xdr:col>18</xdr:col>
          <xdr:colOff>302793</xdr:colOff>
          <xdr:row>9</xdr:row>
          <xdr:rowOff>30079</xdr:rowOff>
        </xdr:to>
        <xdr:sp macro="" textlink="">
          <xdr:nvSpPr>
            <xdr:cNvPr id="69638" name="Drop Down 6" hidden="1">
              <a:extLst>
                <a:ext uri="{63B3BB69-23CF-44E3-9099-C40C66FF867C}">
                  <a14:compatExt spid="_x0000_s69638"/>
                </a:ext>
                <a:ext uri="{FF2B5EF4-FFF2-40B4-BE49-F238E27FC236}">
                  <a16:creationId xmlns:a16="http://schemas.microsoft.com/office/drawing/2014/main" id="{00000000-0008-0000-0000-000006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391025</xdr:colOff>
          <xdr:row>3</xdr:row>
          <xdr:rowOff>18448</xdr:rowOff>
        </xdr:from>
        <xdr:to>
          <xdr:col>10</xdr:col>
          <xdr:colOff>40104</xdr:colOff>
          <xdr:row>4</xdr:row>
          <xdr:rowOff>150395</xdr:rowOff>
        </xdr:to>
        <xdr:sp macro="" textlink="">
          <xdr:nvSpPr>
            <xdr:cNvPr id="69639" name="Drop Down 7" hidden="1">
              <a:extLst>
                <a:ext uri="{63B3BB69-23CF-44E3-9099-C40C66FF867C}">
                  <a14:compatExt spid="_x0000_s69639"/>
                </a:ext>
                <a:ext uri="{FF2B5EF4-FFF2-40B4-BE49-F238E27FC236}">
                  <a16:creationId xmlns:a16="http://schemas.microsoft.com/office/drawing/2014/main" id="{00000000-0008-0000-0000-000007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2771</xdr:colOff>
          <xdr:row>3</xdr:row>
          <xdr:rowOff>27709</xdr:rowOff>
        </xdr:from>
        <xdr:to>
          <xdr:col>4</xdr:col>
          <xdr:colOff>543791</xdr:colOff>
          <xdr:row>4</xdr:row>
          <xdr:rowOff>169718</xdr:rowOff>
        </xdr:to>
        <xdr:sp macro="" textlink="">
          <xdr:nvSpPr>
            <xdr:cNvPr id="69640" name="Drop Down 8" hidden="1">
              <a:extLst>
                <a:ext uri="{63B3BB69-23CF-44E3-9099-C40C66FF867C}">
                  <a14:compatExt spid="_x0000_s69640"/>
                </a:ext>
                <a:ext uri="{FF2B5EF4-FFF2-40B4-BE49-F238E27FC236}">
                  <a16:creationId xmlns:a16="http://schemas.microsoft.com/office/drawing/2014/main" id="{00000000-0008-0000-0000-000008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489284</xdr:colOff>
      <xdr:row>19</xdr:row>
      <xdr:rowOff>88232</xdr:rowOff>
    </xdr:from>
    <xdr:to>
      <xdr:col>18</xdr:col>
      <xdr:colOff>447633</xdr:colOff>
      <xdr:row>36</xdr:row>
      <xdr:rowOff>132340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F2F8A8F-ECA4-4043-B763-F6FA4F9E2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0.29836</cdr:x>
      <cdr:y>0.78782</cdr:y>
    </cdr:from>
    <cdr:to>
      <cdr:x>0.43926</cdr:x>
      <cdr:y>0.86637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D646E26-1728-AA41-F778-1EED56657C29}"/>
            </a:ext>
          </a:extLst>
        </cdr:cNvPr>
        <cdr:cNvSpPr txBox="1"/>
      </cdr:nvSpPr>
      <cdr:spPr>
        <a:xfrm xmlns:a="http://schemas.openxmlformats.org/drawingml/2006/main">
          <a:off x="1751888" y="2998211"/>
          <a:ext cx="827323" cy="298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1100" b="1"/>
            <a:t>FASTER</a:t>
          </a:r>
        </a:p>
      </cdr:txBody>
    </cdr:sp>
  </cdr:relSizeAnchor>
  <cdr:relSizeAnchor xmlns:cdr="http://schemas.openxmlformats.org/drawingml/2006/chartDrawing">
    <cdr:from>
      <cdr:x>0.8364</cdr:x>
      <cdr:y>0.78136</cdr:y>
    </cdr:from>
    <cdr:to>
      <cdr:x>0.98709</cdr:x>
      <cdr:y>0.85991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1195D6EE-496E-F939-44AB-8637DDEE9912}"/>
            </a:ext>
          </a:extLst>
        </cdr:cNvPr>
        <cdr:cNvSpPr txBox="1"/>
      </cdr:nvSpPr>
      <cdr:spPr>
        <a:xfrm xmlns:a="http://schemas.openxmlformats.org/drawingml/2006/main">
          <a:off x="4911097" y="2973626"/>
          <a:ext cx="884806" cy="2989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 b="1"/>
            <a:t>SLOWER</a:t>
          </a:r>
        </a:p>
      </cdr:txBody>
    </cdr:sp>
  </cdr:relSizeAnchor>
  <cdr:relSizeAnchor xmlns:cdr="http://schemas.openxmlformats.org/drawingml/2006/chartDrawing">
    <cdr:from>
      <cdr:x>0.00485</cdr:x>
      <cdr:y>0.1942</cdr:y>
    </cdr:from>
    <cdr:to>
      <cdr:x>0.22456</cdr:x>
      <cdr:y>0.32914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1195D6EE-496E-F939-44AB-8637DDEE9912}"/>
            </a:ext>
          </a:extLst>
        </cdr:cNvPr>
        <cdr:cNvSpPr txBox="1"/>
      </cdr:nvSpPr>
      <cdr:spPr>
        <a:xfrm xmlns:a="http://schemas.openxmlformats.org/drawingml/2006/main">
          <a:off x="28595" y="684399"/>
          <a:ext cx="1295405" cy="4755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AU" sz="1100" b="1"/>
            <a:t>NO ELECTRIFICATION</a:t>
          </a:r>
        </a:p>
      </cdr:txBody>
    </cdr:sp>
  </cdr:relSizeAnchor>
  <cdr:relSizeAnchor xmlns:cdr="http://schemas.openxmlformats.org/drawingml/2006/chartDrawing">
    <cdr:from>
      <cdr:x>0.00539</cdr:x>
      <cdr:y>0.55038</cdr:y>
    </cdr:from>
    <cdr:to>
      <cdr:x>0.22509</cdr:x>
      <cdr:y>0.68533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4F1D70BE-EF28-CCE0-DED6-52154C89D907}"/>
            </a:ext>
          </a:extLst>
        </cdr:cNvPr>
        <cdr:cNvSpPr txBox="1"/>
      </cdr:nvSpPr>
      <cdr:spPr>
        <a:xfrm xmlns:a="http://schemas.openxmlformats.org/drawingml/2006/main">
          <a:off x="31779" y="1939671"/>
          <a:ext cx="1295346" cy="4755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AU" sz="1100" b="1"/>
            <a:t>FULL ELECTRIFICATION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0.78988</cdr:x>
      <cdr:y>0.19162</cdr:y>
    </cdr:from>
    <cdr:to>
      <cdr:x>0.959</cdr:x>
      <cdr:y>0.35262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B4067D5-70CA-9CE6-7450-8407D84D414E}"/>
            </a:ext>
          </a:extLst>
        </cdr:cNvPr>
        <cdr:cNvSpPr txBox="1"/>
      </cdr:nvSpPr>
      <cdr:spPr>
        <a:xfrm xmlns:a="http://schemas.openxmlformats.org/drawingml/2006/main">
          <a:off x="3833782" y="593182"/>
          <a:ext cx="820843" cy="4983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AU" sz="1100" b="1">
              <a:latin typeface="Century Gothic" panose="020B0502020202020204" pitchFamily="34" charset="0"/>
            </a:rPr>
            <a:t>CLIMATE POLICY</a:t>
          </a:r>
        </a:p>
      </cdr:txBody>
    </cdr:sp>
  </cdr:relSizeAnchor>
  <cdr:relSizeAnchor xmlns:cdr="http://schemas.openxmlformats.org/drawingml/2006/chartDrawing">
    <cdr:from>
      <cdr:x>0.76753</cdr:x>
      <cdr:y>0.48562</cdr:y>
    </cdr:from>
    <cdr:to>
      <cdr:x>1</cdr:x>
      <cdr:y>0.57279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329AFDD-69E2-E6F5-61A5-18D72098CB21}"/>
            </a:ext>
          </a:extLst>
        </cdr:cNvPr>
        <cdr:cNvSpPr txBox="1"/>
      </cdr:nvSpPr>
      <cdr:spPr>
        <a:xfrm xmlns:a="http://schemas.openxmlformats.org/drawingml/2006/main">
          <a:off x="3725279" y="1503295"/>
          <a:ext cx="1128333" cy="2698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AU" sz="1050" b="1">
              <a:latin typeface="Century Gothic" panose="020B0502020202020204" pitchFamily="34" charset="0"/>
            </a:rPr>
            <a:t>0 = WEAK</a:t>
          </a:r>
        </a:p>
        <a:p xmlns:a="http://schemas.openxmlformats.org/drawingml/2006/main">
          <a:pPr algn="l"/>
          <a:r>
            <a:rPr lang="en-AU" sz="1050" b="1">
              <a:latin typeface="Century Gothic" panose="020B0502020202020204" pitchFamily="34" charset="0"/>
            </a:rPr>
            <a:t>1 = STRONG</a:t>
          </a:r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4D8A4-438F-488E-ABF1-E0DC5D3458EB}">
  <dimension ref="A1:T38"/>
  <sheetViews>
    <sheetView tabSelected="1" zoomScale="95" zoomScaleNormal="95" workbookViewId="0">
      <selection activeCell="V19" sqref="V19"/>
    </sheetView>
  </sheetViews>
  <sheetFormatPr defaultRowHeight="13.8" x14ac:dyDescent="0.3"/>
  <cols>
    <col min="1" max="1" width="3" customWidth="1"/>
    <col min="19" max="19" width="7.33203125" customWidth="1"/>
    <col min="20" max="20" width="2.44140625" customWidth="1"/>
  </cols>
  <sheetData>
    <row r="1" spans="1:20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9635" r:id="rId3" name="Scroll Bar 3">
              <controlPr defaultSize="0" autoPict="0">
                <anchor moveWithCells="1">
                  <from>
                    <xdr:col>4</xdr:col>
                    <xdr:colOff>22860</xdr:colOff>
                    <xdr:row>30</xdr:row>
                    <xdr:rowOff>137160</xdr:rowOff>
                  </from>
                  <to>
                    <xdr:col>10</xdr:col>
                    <xdr:colOff>68580</xdr:colOff>
                    <xdr:row>31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6" r:id="rId4" name="Scroll Bar 4">
              <controlPr defaultSize="0" autoPict="0">
                <anchor moveWithCells="1">
                  <from>
                    <xdr:col>3</xdr:col>
                    <xdr:colOff>38100</xdr:colOff>
                    <xdr:row>19</xdr:row>
                    <xdr:rowOff>15240</xdr:rowOff>
                  </from>
                  <to>
                    <xdr:col>3</xdr:col>
                    <xdr:colOff>220980</xdr:colOff>
                    <xdr:row>29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8" r:id="rId5" name="Drop Down 6">
              <controlPr defaultSize="0" autoLine="0" autoPict="0">
                <anchor moveWithCells="1">
                  <from>
                    <xdr:col>17</xdr:col>
                    <xdr:colOff>38100</xdr:colOff>
                    <xdr:row>7</xdr:row>
                    <xdr:rowOff>83820</xdr:rowOff>
                  </from>
                  <to>
                    <xdr:col>18</xdr:col>
                    <xdr:colOff>304800</xdr:colOff>
                    <xdr:row>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9" r:id="rId6" name="Drop Down 7">
              <controlPr defaultSize="0" autoLine="0" autoPict="0">
                <anchor moveWithCells="1">
                  <from>
                    <xdr:col>6</xdr:col>
                    <xdr:colOff>388620</xdr:colOff>
                    <xdr:row>3</xdr:row>
                    <xdr:rowOff>15240</xdr:rowOff>
                  </from>
                  <to>
                    <xdr:col>10</xdr:col>
                    <xdr:colOff>38100</xdr:colOff>
                    <xdr:row>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40" r:id="rId7" name="Drop Down 8">
              <controlPr defaultSize="0" autoLine="0" autoPict="0">
                <anchor moveWithCells="1">
                  <from>
                    <xdr:col>2</xdr:col>
                    <xdr:colOff>0</xdr:colOff>
                    <xdr:row>3</xdr:row>
                    <xdr:rowOff>30480</xdr:rowOff>
                  </from>
                  <to>
                    <xdr:col>4</xdr:col>
                    <xdr:colOff>541020</xdr:colOff>
                    <xdr:row>4</xdr:row>
                    <xdr:rowOff>167640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71BD4-F543-451B-B370-BCD1C8493FD4}">
  <dimension ref="A1:J117"/>
  <sheetViews>
    <sheetView zoomScale="99" workbookViewId="0"/>
  </sheetViews>
  <sheetFormatPr defaultRowHeight="13.8" x14ac:dyDescent="0.3"/>
  <cols>
    <col min="1" max="1" width="55.77734375" customWidth="1"/>
    <col min="2" max="5" width="21.77734375" customWidth="1"/>
    <col min="6" max="10" width="11.44140625" customWidth="1"/>
  </cols>
  <sheetData>
    <row r="1" spans="1:6" ht="15" x14ac:dyDescent="0.35">
      <c r="A1" s="8" t="s">
        <v>27</v>
      </c>
    </row>
    <row r="2" spans="1:6" ht="31.2" x14ac:dyDescent="0.3">
      <c r="A2" s="3" t="s">
        <v>22</v>
      </c>
      <c r="B2" s="3" t="s">
        <v>25</v>
      </c>
      <c r="C2" s="3" t="s">
        <v>23</v>
      </c>
      <c r="D2" s="3" t="s">
        <v>24</v>
      </c>
    </row>
    <row r="3" spans="1:6" ht="15" x14ac:dyDescent="0.3">
      <c r="A3" s="4" t="s">
        <v>18</v>
      </c>
      <c r="B3" s="5">
        <v>2.4E-2</v>
      </c>
      <c r="C3" s="6">
        <v>0.31</v>
      </c>
      <c r="D3" s="6">
        <v>0.2</v>
      </c>
    </row>
    <row r="4" spans="1:6" ht="15" x14ac:dyDescent="0.3">
      <c r="A4" s="4" t="s">
        <v>17</v>
      </c>
      <c r="B4" s="5">
        <v>8.7999999999999995E-2</v>
      </c>
      <c r="C4" s="6">
        <v>0.53</v>
      </c>
      <c r="D4" s="6">
        <v>0.2</v>
      </c>
    </row>
    <row r="5" spans="1:6" ht="15" x14ac:dyDescent="0.3">
      <c r="A5" s="4" t="s">
        <v>19</v>
      </c>
      <c r="B5" s="5">
        <v>1E-3</v>
      </c>
      <c r="C5" s="6">
        <v>0.11</v>
      </c>
      <c r="D5" s="6">
        <v>0.2</v>
      </c>
    </row>
    <row r="6" spans="1:6" ht="15" x14ac:dyDescent="0.3">
      <c r="A6" s="4" t="s">
        <v>14</v>
      </c>
      <c r="B6" s="5">
        <v>0.33700000000000002</v>
      </c>
      <c r="C6" s="6">
        <v>0.28999999999999998</v>
      </c>
      <c r="D6" s="6">
        <v>0.2</v>
      </c>
    </row>
    <row r="7" spans="1:6" ht="15" x14ac:dyDescent="0.3">
      <c r="A7" s="4" t="s">
        <v>20</v>
      </c>
      <c r="B7" s="5">
        <v>1.7000000000000001E-2</v>
      </c>
      <c r="C7" s="6">
        <v>0.62</v>
      </c>
      <c r="D7" s="6">
        <v>0.2</v>
      </c>
    </row>
    <row r="8" spans="1:6" ht="15" x14ac:dyDescent="0.3">
      <c r="A8" s="4" t="s">
        <v>16</v>
      </c>
      <c r="B8" s="5">
        <v>0.22500000000000001</v>
      </c>
      <c r="C8" s="6">
        <v>0.28000000000000003</v>
      </c>
      <c r="D8" s="6">
        <v>0.2</v>
      </c>
    </row>
    <row r="9" spans="1:6" ht="15" x14ac:dyDescent="0.3">
      <c r="A9" s="4" t="s">
        <v>15</v>
      </c>
      <c r="B9" s="5">
        <v>0.308</v>
      </c>
      <c r="C9" s="6">
        <v>0.01</v>
      </c>
      <c r="D9" s="6">
        <v>0.5</v>
      </c>
    </row>
    <row r="12" spans="1:6" ht="15" x14ac:dyDescent="0.35">
      <c r="A12" s="2" t="s">
        <v>26</v>
      </c>
    </row>
    <row r="13" spans="1:6" ht="15" x14ac:dyDescent="0.3">
      <c r="A13" s="3" t="s">
        <v>28</v>
      </c>
      <c r="B13" s="3" t="s">
        <v>29</v>
      </c>
      <c r="C13" s="3" t="s">
        <v>2</v>
      </c>
      <c r="D13" s="3" t="s">
        <v>0</v>
      </c>
      <c r="E13" s="3" t="s">
        <v>1</v>
      </c>
      <c r="F13" s="3" t="s">
        <v>13</v>
      </c>
    </row>
    <row r="14" spans="1:6" ht="16.8" x14ac:dyDescent="0.3">
      <c r="A14" s="4" t="s">
        <v>37</v>
      </c>
      <c r="B14" s="4" t="s">
        <v>30</v>
      </c>
      <c r="C14" s="6">
        <v>0.82</v>
      </c>
      <c r="D14" s="6">
        <v>7.0000000000000007E-2</v>
      </c>
      <c r="E14" s="6">
        <v>0.61</v>
      </c>
      <c r="F14" s="6">
        <v>1</v>
      </c>
    </row>
    <row r="15" spans="1:6" ht="16.8" x14ac:dyDescent="0.3">
      <c r="A15" s="4" t="s">
        <v>38</v>
      </c>
      <c r="B15" s="4" t="s">
        <v>30</v>
      </c>
      <c r="C15" s="6">
        <v>0.23</v>
      </c>
      <c r="D15" s="6">
        <v>0.23</v>
      </c>
      <c r="E15" s="6">
        <v>0.24</v>
      </c>
      <c r="F15" s="6">
        <v>1</v>
      </c>
    </row>
    <row r="16" spans="1:6" ht="16.8" x14ac:dyDescent="0.3">
      <c r="A16" s="4" t="s">
        <v>31</v>
      </c>
      <c r="B16" s="4" t="s">
        <v>5</v>
      </c>
      <c r="C16" s="4">
        <v>175</v>
      </c>
      <c r="D16" s="4">
        <v>159</v>
      </c>
      <c r="E16" s="4">
        <v>138</v>
      </c>
      <c r="F16" s="4">
        <v>9.6999999999999993</v>
      </c>
    </row>
    <row r="17" spans="1:6" ht="16.8" x14ac:dyDescent="0.3">
      <c r="A17" s="4" t="s">
        <v>32</v>
      </c>
      <c r="B17" s="4" t="s">
        <v>21</v>
      </c>
      <c r="C17" s="9">
        <v>25208</v>
      </c>
      <c r="D17" s="9">
        <v>9320</v>
      </c>
      <c r="E17" s="9">
        <v>6974</v>
      </c>
      <c r="F17" s="9">
        <v>1260</v>
      </c>
    </row>
    <row r="18" spans="1:6" ht="16.8" x14ac:dyDescent="0.3">
      <c r="A18" s="4" t="s">
        <v>39</v>
      </c>
      <c r="B18" s="4" t="s">
        <v>33</v>
      </c>
      <c r="C18" s="6">
        <v>0.03</v>
      </c>
      <c r="D18" s="6">
        <v>0.03</v>
      </c>
      <c r="E18" s="6">
        <v>0.03</v>
      </c>
      <c r="F18" s="6">
        <v>0</v>
      </c>
    </row>
    <row r="19" spans="1:6" ht="16.8" x14ac:dyDescent="0.3">
      <c r="A19" s="4" t="s">
        <v>34</v>
      </c>
      <c r="B19" s="4" t="s">
        <v>35</v>
      </c>
      <c r="C19" s="4">
        <v>96.3</v>
      </c>
      <c r="D19" s="4">
        <v>73.3</v>
      </c>
      <c r="E19" s="4">
        <v>56.1</v>
      </c>
      <c r="F19" s="4" t="s">
        <v>36</v>
      </c>
    </row>
    <row r="22" spans="1:6" ht="15" x14ac:dyDescent="0.35">
      <c r="A22" s="2" t="s">
        <v>40</v>
      </c>
    </row>
    <row r="23" spans="1:6" ht="15" x14ac:dyDescent="0.3">
      <c r="A23" s="3" t="s">
        <v>28</v>
      </c>
      <c r="B23" s="3" t="s">
        <v>29</v>
      </c>
      <c r="C23" s="3" t="s">
        <v>7</v>
      </c>
      <c r="D23" s="3" t="s">
        <v>6</v>
      </c>
      <c r="E23" s="3" t="s">
        <v>8</v>
      </c>
    </row>
    <row r="24" spans="1:6" ht="16.8" x14ac:dyDescent="0.3">
      <c r="A24" s="4" t="s">
        <v>41</v>
      </c>
      <c r="B24" s="4" t="s">
        <v>5</v>
      </c>
      <c r="C24" s="4">
        <v>4.7</v>
      </c>
      <c r="D24" s="4">
        <v>7.6</v>
      </c>
      <c r="E24" s="4">
        <v>16.100000000000001</v>
      </c>
    </row>
    <row r="25" spans="1:6" ht="16.8" x14ac:dyDescent="0.3">
      <c r="A25" s="4" t="s">
        <v>42</v>
      </c>
      <c r="B25" s="4" t="s">
        <v>5</v>
      </c>
      <c r="C25" s="4">
        <v>200</v>
      </c>
      <c r="D25" s="4">
        <v>700</v>
      </c>
      <c r="E25" s="4">
        <v>50</v>
      </c>
    </row>
    <row r="26" spans="1:6" ht="16.8" x14ac:dyDescent="0.3">
      <c r="A26" s="4" t="s">
        <v>43</v>
      </c>
      <c r="B26" s="4" t="s">
        <v>36</v>
      </c>
      <c r="C26" s="4">
        <v>15</v>
      </c>
      <c r="D26" s="4">
        <v>20</v>
      </c>
      <c r="E26" s="4">
        <v>70</v>
      </c>
    </row>
    <row r="27" spans="1:6" ht="16.8" x14ac:dyDescent="0.3">
      <c r="A27" s="4" t="s">
        <v>44</v>
      </c>
      <c r="B27" s="4" t="s">
        <v>45</v>
      </c>
      <c r="C27" s="4">
        <v>25</v>
      </c>
      <c r="D27" s="4">
        <v>25</v>
      </c>
      <c r="E27" s="4">
        <v>75</v>
      </c>
    </row>
    <row r="30" spans="1:6" ht="15" x14ac:dyDescent="0.35">
      <c r="A30" s="2" t="s">
        <v>46</v>
      </c>
    </row>
    <row r="31" spans="1:6" ht="15" x14ac:dyDescent="0.3">
      <c r="A31" s="3" t="s">
        <v>28</v>
      </c>
      <c r="B31" s="3" t="s">
        <v>29</v>
      </c>
      <c r="C31" s="3" t="s">
        <v>10</v>
      </c>
    </row>
    <row r="32" spans="1:6" ht="16.8" x14ac:dyDescent="0.3">
      <c r="A32" s="4" t="s">
        <v>47</v>
      </c>
      <c r="B32" s="4" t="s">
        <v>5</v>
      </c>
      <c r="C32" s="4">
        <v>39.299999999999997</v>
      </c>
    </row>
    <row r="33" spans="1:10" ht="16.8" x14ac:dyDescent="0.3">
      <c r="A33" s="4" t="s">
        <v>48</v>
      </c>
      <c r="B33" s="4" t="s">
        <v>5</v>
      </c>
      <c r="C33" s="4">
        <v>200</v>
      </c>
    </row>
    <row r="34" spans="1:10" ht="16.8" x14ac:dyDescent="0.3">
      <c r="A34" s="4" t="s">
        <v>49</v>
      </c>
      <c r="B34" s="4" t="s">
        <v>36</v>
      </c>
      <c r="C34" s="4">
        <v>2</v>
      </c>
    </row>
    <row r="37" spans="1:10" ht="15" x14ac:dyDescent="0.35">
      <c r="A37" s="2" t="s">
        <v>101</v>
      </c>
    </row>
    <row r="38" spans="1:10" ht="30" customHeight="1" x14ac:dyDescent="0.3">
      <c r="A38" s="4"/>
      <c r="B38" s="33" t="s">
        <v>50</v>
      </c>
      <c r="C38" s="33"/>
      <c r="E38" s="52" t="s">
        <v>110</v>
      </c>
      <c r="F38" s="52"/>
      <c r="G38" s="52"/>
      <c r="H38" s="52"/>
      <c r="I38" s="52"/>
      <c r="J38" s="52"/>
    </row>
    <row r="39" spans="1:10" ht="45" x14ac:dyDescent="0.3">
      <c r="A39" s="47" t="s">
        <v>3</v>
      </c>
      <c r="B39" s="47" t="s">
        <v>99</v>
      </c>
      <c r="C39" s="47" t="s">
        <v>100</v>
      </c>
      <c r="E39" s="53" t="s">
        <v>3</v>
      </c>
      <c r="F39" s="53" t="s">
        <v>109</v>
      </c>
      <c r="G39" s="53" t="s">
        <v>111</v>
      </c>
      <c r="H39" s="53" t="s">
        <v>112</v>
      </c>
      <c r="I39" s="53" t="s">
        <v>113</v>
      </c>
      <c r="J39" s="53" t="s">
        <v>114</v>
      </c>
    </row>
    <row r="40" spans="1:10" ht="15" x14ac:dyDescent="0.35">
      <c r="A40" s="49">
        <v>2023</v>
      </c>
      <c r="B40" s="48">
        <v>9.8742444545454546</v>
      </c>
      <c r="C40" s="48">
        <v>9.8742444545454546</v>
      </c>
      <c r="E40" s="18">
        <v>2023</v>
      </c>
      <c r="F40" s="54">
        <v>11.549976299999999</v>
      </c>
      <c r="G40" s="54">
        <v>0</v>
      </c>
      <c r="H40" s="54">
        <v>0</v>
      </c>
      <c r="I40" s="54">
        <v>0</v>
      </c>
      <c r="J40" s="54">
        <f>VLOOKUP(E40,'Model - Scarcity &amp; Growth Rates'!$A$5:$G$82,7)</f>
        <v>9.8860909090909086</v>
      </c>
    </row>
    <row r="41" spans="1:10" ht="15" x14ac:dyDescent="0.35">
      <c r="A41" s="49">
        <v>2024</v>
      </c>
      <c r="B41" s="48">
        <v>8.2285370454545461</v>
      </c>
      <c r="C41" s="48">
        <v>18.102781499999999</v>
      </c>
      <c r="E41" s="18">
        <f>E40+10</f>
        <v>2033</v>
      </c>
      <c r="F41" s="54">
        <v>67.227147661363645</v>
      </c>
      <c r="G41" s="54">
        <v>24.282952338636349</v>
      </c>
      <c r="H41" s="54">
        <v>22.485399999999998</v>
      </c>
      <c r="I41" s="54">
        <v>-10.317099999999996</v>
      </c>
      <c r="J41" s="54">
        <f ca="1">VLOOKUP(E41,'Model - Scarcity &amp; Growth Rates'!$A$5:$G$82,7)</f>
        <v>108.81033393008533</v>
      </c>
    </row>
    <row r="42" spans="1:10" ht="15" x14ac:dyDescent="0.35">
      <c r="A42" s="49">
        <v>2025</v>
      </c>
      <c r="B42" s="48">
        <v>7.405683340909091</v>
      </c>
      <c r="C42" s="48">
        <v>25.508464840909092</v>
      </c>
      <c r="E42" s="18">
        <f t="shared" ref="E42:E48" si="0">E41+10</f>
        <v>2043</v>
      </c>
      <c r="F42" s="54">
        <v>88.209917127272746</v>
      </c>
      <c r="G42" s="54">
        <v>61.759182872727251</v>
      </c>
      <c r="H42" s="54">
        <v>75.482900000000001</v>
      </c>
      <c r="I42" s="54">
        <v>-14.025599999999997</v>
      </c>
      <c r="J42" s="54">
        <f ca="1">VLOOKUP(E42,'Model - Scarcity &amp; Growth Rates'!$A$5:$G$82,7)</f>
        <v>156.77813075894835</v>
      </c>
    </row>
    <row r="43" spans="1:10" ht="15" x14ac:dyDescent="0.35">
      <c r="A43" s="49">
        <v>2026</v>
      </c>
      <c r="B43" s="48">
        <v>6.5828296363636367</v>
      </c>
      <c r="C43" s="48">
        <v>32.091294477272726</v>
      </c>
      <c r="E43" s="18">
        <f t="shared" si="0"/>
        <v>2053</v>
      </c>
      <c r="F43" s="54">
        <v>89.691053795454565</v>
      </c>
      <c r="G43" s="54">
        <v>98.880046204545437</v>
      </c>
      <c r="H43" s="54">
        <v>148.72739999999999</v>
      </c>
      <c r="I43" s="54">
        <v>-2.8811000000000035</v>
      </c>
      <c r="J43" s="54">
        <f ca="1">VLOOKUP(E43,'Model - Scarcity &amp; Growth Rates'!$A$5:$G$82,7)</f>
        <v>163.65432126672957</v>
      </c>
    </row>
    <row r="44" spans="1:10" ht="15" x14ac:dyDescent="0.35">
      <c r="A44" s="49">
        <v>2027</v>
      </c>
      <c r="B44" s="48">
        <v>5.7599759318181816</v>
      </c>
      <c r="C44" s="48">
        <v>37.851270409090908</v>
      </c>
      <c r="E44" s="18">
        <f t="shared" si="0"/>
        <v>2063</v>
      </c>
      <c r="F44" s="54">
        <v>89.691053795454565</v>
      </c>
      <c r="G44" s="54">
        <v>121.90354620454545</v>
      </c>
      <c r="H44" s="54">
        <v>227.8664</v>
      </c>
      <c r="I44" s="54">
        <v>34.297399999999982</v>
      </c>
      <c r="J44" s="54">
        <f ca="1">VLOOKUP(E44,'Model - Scarcity &amp; Growth Rates'!$A$5:$G$82,7)</f>
        <v>163.88154972608586</v>
      </c>
    </row>
    <row r="45" spans="1:10" ht="15" x14ac:dyDescent="0.35">
      <c r="A45" s="49">
        <v>2028</v>
      </c>
      <c r="B45" s="48">
        <v>4.9371222272727273</v>
      </c>
      <c r="C45" s="48">
        <v>42.788392636363639</v>
      </c>
      <c r="E45" s="18">
        <f t="shared" si="0"/>
        <v>2073</v>
      </c>
      <c r="F45" s="54">
        <v>89.691053795454565</v>
      </c>
      <c r="G45" s="54">
        <v>129.57754620454546</v>
      </c>
      <c r="H45" s="54">
        <v>302.7894</v>
      </c>
      <c r="I45" s="54">
        <v>108.35239999999999</v>
      </c>
      <c r="J45" s="54">
        <f ca="1">VLOOKUP(E45,'Model - Scarcity &amp; Growth Rates'!$A$5:$G$82,7)</f>
        <v>163.88358196448371</v>
      </c>
    </row>
    <row r="46" spans="1:10" ht="15" x14ac:dyDescent="0.35">
      <c r="A46" s="49">
        <v>2029</v>
      </c>
      <c r="B46" s="48">
        <v>4.6902661159090906</v>
      </c>
      <c r="C46" s="48">
        <v>47.478658752272729</v>
      </c>
      <c r="E46" s="18">
        <f t="shared" si="0"/>
        <v>2083</v>
      </c>
      <c r="F46" s="54">
        <v>89.691053795454565</v>
      </c>
      <c r="G46" s="54">
        <v>127.99104620454546</v>
      </c>
      <c r="H46" s="54">
        <v>360.87789999999995</v>
      </c>
      <c r="I46" s="54">
        <v>220.78340000000003</v>
      </c>
      <c r="J46" s="54">
        <f ca="1">VLOOKUP(E46,'Model - Scarcity &amp; Growth Rates'!$A$5:$G$82,7)</f>
        <v>163.8835980326285</v>
      </c>
    </row>
    <row r="47" spans="1:10" ht="15" x14ac:dyDescent="0.35">
      <c r="A47" s="49">
        <v>2030</v>
      </c>
      <c r="B47" s="50">
        <v>4.4434100045454548</v>
      </c>
      <c r="C47" s="50">
        <v>51.922068756818184</v>
      </c>
      <c r="E47" s="18">
        <f t="shared" si="0"/>
        <v>2093</v>
      </c>
      <c r="F47" s="54">
        <v>89.691053795454565</v>
      </c>
      <c r="G47" s="54">
        <v>121.47454620454545</v>
      </c>
      <c r="H47" s="54">
        <v>409.26839999999993</v>
      </c>
      <c r="I47" s="54">
        <v>336.87789999999995</v>
      </c>
      <c r="J47" s="54">
        <f ca="1">VLOOKUP(E47,'Model - Scarcity &amp; Growth Rates'!$A$5:$G$82,7)</f>
        <v>163.88359814601523</v>
      </c>
    </row>
    <row r="48" spans="1:10" ht="15" x14ac:dyDescent="0.35">
      <c r="A48" s="49">
        <v>2031</v>
      </c>
      <c r="B48" s="50">
        <v>4.196553893181818</v>
      </c>
      <c r="C48" s="50">
        <v>56.118622650000006</v>
      </c>
      <c r="E48" s="18">
        <f t="shared" si="0"/>
        <v>2103</v>
      </c>
      <c r="F48" s="54">
        <v>89.691053795454565</v>
      </c>
      <c r="G48" s="54">
        <v>112.46854620454545</v>
      </c>
      <c r="H48" s="54">
        <v>460.25239999999991</v>
      </c>
      <c r="I48" s="54">
        <v>435.23190000000011</v>
      </c>
      <c r="J48" s="54">
        <f ca="1">VLOOKUP(E48,'Model - Scarcity &amp; Growth Rates'!$A$5:$G$82,7)</f>
        <v>163.88359814670702</v>
      </c>
    </row>
    <row r="49" spans="1:3" ht="15" x14ac:dyDescent="0.35">
      <c r="A49" s="49">
        <v>2032</v>
      </c>
      <c r="B49" s="50">
        <v>3.9496977818181822</v>
      </c>
      <c r="C49" s="50">
        <v>60.068320431818186</v>
      </c>
    </row>
    <row r="50" spans="1:3" ht="15" x14ac:dyDescent="0.35">
      <c r="A50" s="49">
        <v>2033</v>
      </c>
      <c r="B50" s="50">
        <v>3.7028416704545455</v>
      </c>
      <c r="C50" s="50">
        <v>63.771162102272733</v>
      </c>
    </row>
    <row r="51" spans="1:3" ht="15" x14ac:dyDescent="0.35">
      <c r="A51" s="49">
        <v>2034</v>
      </c>
      <c r="B51" s="50">
        <v>3.4559855590909088</v>
      </c>
      <c r="C51" s="50">
        <v>67.227147661363645</v>
      </c>
    </row>
    <row r="52" spans="1:3" ht="15" x14ac:dyDescent="0.35">
      <c r="A52" s="49">
        <v>2035</v>
      </c>
      <c r="B52" s="50">
        <v>3.2091294477272729</v>
      </c>
      <c r="C52" s="50">
        <v>70.436277109090923</v>
      </c>
    </row>
    <row r="53" spans="1:3" ht="15" x14ac:dyDescent="0.35">
      <c r="A53" s="49">
        <v>2036</v>
      </c>
      <c r="B53" s="50">
        <v>2.9622733363636362</v>
      </c>
      <c r="C53" s="50">
        <v>73.398550445454561</v>
      </c>
    </row>
    <row r="54" spans="1:3" ht="15" x14ac:dyDescent="0.35">
      <c r="A54" s="49">
        <v>2037</v>
      </c>
      <c r="B54" s="50">
        <v>2.7154172250000004</v>
      </c>
      <c r="C54" s="50">
        <v>76.113967670454556</v>
      </c>
    </row>
    <row r="55" spans="1:3" ht="15" x14ac:dyDescent="0.35">
      <c r="A55" s="49">
        <v>2038</v>
      </c>
      <c r="B55" s="50">
        <v>2.4685611136363637</v>
      </c>
      <c r="C55" s="50">
        <v>78.582528784090925</v>
      </c>
    </row>
    <row r="56" spans="1:3" ht="15" x14ac:dyDescent="0.35">
      <c r="A56" s="49">
        <v>2039</v>
      </c>
      <c r="B56" s="50">
        <v>2.2217050022727269</v>
      </c>
      <c r="C56" s="50">
        <v>80.804233786363653</v>
      </c>
    </row>
    <row r="57" spans="1:3" ht="15" x14ac:dyDescent="0.35">
      <c r="A57" s="49">
        <v>2040</v>
      </c>
      <c r="B57" s="50">
        <v>1.9748488909090911</v>
      </c>
      <c r="C57" s="50">
        <v>82.77908267727274</v>
      </c>
    </row>
    <row r="58" spans="1:3" ht="15" x14ac:dyDescent="0.35">
      <c r="A58" s="49">
        <v>2041</v>
      </c>
      <c r="B58" s="50">
        <v>1.7279927795454544</v>
      </c>
      <c r="C58" s="50">
        <v>84.5070754568182</v>
      </c>
    </row>
    <row r="59" spans="1:3" ht="15" x14ac:dyDescent="0.35">
      <c r="A59" s="49">
        <v>2042</v>
      </c>
      <c r="B59" s="50">
        <v>1.4811366681818183</v>
      </c>
      <c r="C59" s="50">
        <v>85.988212125000018</v>
      </c>
    </row>
    <row r="60" spans="1:3" ht="15" x14ac:dyDescent="0.35">
      <c r="A60" s="49">
        <v>2043</v>
      </c>
      <c r="B60" s="50">
        <v>1.2342805568181818</v>
      </c>
      <c r="C60" s="50">
        <v>87.222492681818196</v>
      </c>
    </row>
    <row r="61" spans="1:3" ht="15" x14ac:dyDescent="0.35">
      <c r="A61" s="49">
        <v>2044</v>
      </c>
      <c r="B61" s="50">
        <v>0.98742444545454522</v>
      </c>
      <c r="C61" s="50">
        <v>88.209917127272746</v>
      </c>
    </row>
    <row r="62" spans="1:3" ht="15" x14ac:dyDescent="0.35">
      <c r="A62" s="49">
        <v>2045</v>
      </c>
      <c r="B62" s="50">
        <v>0.74056833409090916</v>
      </c>
      <c r="C62" s="50">
        <v>88.950485461363655</v>
      </c>
    </row>
    <row r="63" spans="1:3" ht="15" x14ac:dyDescent="0.35">
      <c r="A63" s="49">
        <v>2046</v>
      </c>
      <c r="B63" s="50">
        <v>0.49371222272727261</v>
      </c>
      <c r="C63" s="50">
        <v>89.444197684090923</v>
      </c>
    </row>
    <row r="64" spans="1:3" ht="15" x14ac:dyDescent="0.35">
      <c r="A64" s="49">
        <v>2047</v>
      </c>
      <c r="B64" s="50">
        <v>0.24685611136363658</v>
      </c>
      <c r="C64" s="50">
        <v>89.691053795454565</v>
      </c>
    </row>
    <row r="65" spans="1:3" ht="15" x14ac:dyDescent="0.35">
      <c r="A65" s="49">
        <v>2048</v>
      </c>
      <c r="B65" s="50">
        <v>0</v>
      </c>
      <c r="C65" s="50">
        <v>89.691053795454565</v>
      </c>
    </row>
    <row r="66" spans="1:3" ht="15" x14ac:dyDescent="0.35">
      <c r="A66" s="49">
        <v>2049</v>
      </c>
      <c r="B66" s="50">
        <v>0</v>
      </c>
      <c r="C66" s="50">
        <v>89.691053795454565</v>
      </c>
    </row>
    <row r="67" spans="1:3" ht="15" x14ac:dyDescent="0.35">
      <c r="A67" s="49">
        <v>2050</v>
      </c>
      <c r="B67" s="50">
        <v>0</v>
      </c>
      <c r="C67" s="50">
        <v>89.691053795454565</v>
      </c>
    </row>
    <row r="68" spans="1:3" ht="15" x14ac:dyDescent="0.35">
      <c r="A68" s="49">
        <v>2051</v>
      </c>
      <c r="B68" s="50">
        <v>0</v>
      </c>
      <c r="C68" s="50">
        <v>89.691053795454565</v>
      </c>
    </row>
    <row r="69" spans="1:3" ht="15" x14ac:dyDescent="0.35">
      <c r="A69" s="49">
        <v>2052</v>
      </c>
      <c r="B69" s="50">
        <v>0</v>
      </c>
      <c r="C69" s="50">
        <v>89.691053795454565</v>
      </c>
    </row>
    <row r="70" spans="1:3" ht="15" x14ac:dyDescent="0.35">
      <c r="A70" s="49">
        <v>2053</v>
      </c>
      <c r="B70" s="50">
        <v>0</v>
      </c>
      <c r="C70" s="50">
        <v>89.691053795454565</v>
      </c>
    </row>
    <row r="71" spans="1:3" ht="15" x14ac:dyDescent="0.35">
      <c r="A71" s="49">
        <v>2054</v>
      </c>
      <c r="B71" s="50">
        <v>0</v>
      </c>
      <c r="C71" s="50">
        <v>89.691053795454565</v>
      </c>
    </row>
    <row r="72" spans="1:3" ht="15" x14ac:dyDescent="0.35">
      <c r="A72" s="49">
        <v>2055</v>
      </c>
      <c r="B72" s="50">
        <v>0</v>
      </c>
      <c r="C72" s="50">
        <v>89.691053795454565</v>
      </c>
    </row>
    <row r="73" spans="1:3" ht="15" x14ac:dyDescent="0.35">
      <c r="A73" s="49">
        <v>2056</v>
      </c>
      <c r="B73" s="50">
        <v>0</v>
      </c>
      <c r="C73" s="50">
        <v>89.691053795454565</v>
      </c>
    </row>
    <row r="74" spans="1:3" ht="15" x14ac:dyDescent="0.35">
      <c r="A74" s="49">
        <v>2057</v>
      </c>
      <c r="B74" s="50">
        <v>0</v>
      </c>
      <c r="C74" s="50">
        <v>89.691053795454565</v>
      </c>
    </row>
    <row r="75" spans="1:3" ht="15" x14ac:dyDescent="0.35">
      <c r="A75" s="49">
        <v>2058</v>
      </c>
      <c r="B75" s="50">
        <v>0</v>
      </c>
      <c r="C75" s="50">
        <v>89.691053795454565</v>
      </c>
    </row>
    <row r="76" spans="1:3" ht="15" x14ac:dyDescent="0.35">
      <c r="A76" s="49">
        <v>2059</v>
      </c>
      <c r="B76" s="50">
        <v>0</v>
      </c>
      <c r="C76" s="50">
        <v>89.691053795454565</v>
      </c>
    </row>
    <row r="77" spans="1:3" ht="15" x14ac:dyDescent="0.35">
      <c r="A77" s="49">
        <v>2060</v>
      </c>
      <c r="B77" s="50">
        <v>0</v>
      </c>
      <c r="C77" s="50">
        <v>89.691053795454565</v>
      </c>
    </row>
    <row r="78" spans="1:3" ht="15" x14ac:dyDescent="0.35">
      <c r="A78" s="49">
        <v>2061</v>
      </c>
      <c r="B78" s="50">
        <v>0</v>
      </c>
      <c r="C78" s="50">
        <v>89.691053795454565</v>
      </c>
    </row>
    <row r="79" spans="1:3" ht="15" x14ac:dyDescent="0.35">
      <c r="A79" s="49">
        <v>2062</v>
      </c>
      <c r="B79" s="50">
        <v>0</v>
      </c>
      <c r="C79" s="50">
        <v>89.691053795454565</v>
      </c>
    </row>
    <row r="80" spans="1:3" ht="15" x14ac:dyDescent="0.35">
      <c r="A80" s="49">
        <v>2063</v>
      </c>
      <c r="B80" s="50">
        <v>0</v>
      </c>
      <c r="C80" s="50">
        <v>89.691053795454565</v>
      </c>
    </row>
    <row r="81" spans="1:3" ht="15" x14ac:dyDescent="0.35">
      <c r="A81" s="49">
        <v>2064</v>
      </c>
      <c r="B81" s="50">
        <v>0</v>
      </c>
      <c r="C81" s="50">
        <v>89.691053795454565</v>
      </c>
    </row>
    <row r="82" spans="1:3" ht="15" x14ac:dyDescent="0.35">
      <c r="A82" s="49">
        <v>2065</v>
      </c>
      <c r="B82" s="50">
        <v>0</v>
      </c>
      <c r="C82" s="50">
        <v>89.691053795454565</v>
      </c>
    </row>
    <row r="83" spans="1:3" ht="15" x14ac:dyDescent="0.35">
      <c r="A83" s="49">
        <v>2066</v>
      </c>
      <c r="B83" s="50">
        <v>0</v>
      </c>
      <c r="C83" s="50">
        <v>89.691053795454565</v>
      </c>
    </row>
    <row r="84" spans="1:3" ht="15" x14ac:dyDescent="0.35">
      <c r="A84" s="49">
        <v>2067</v>
      </c>
      <c r="B84" s="50">
        <v>0</v>
      </c>
      <c r="C84" s="50">
        <v>89.691053795454565</v>
      </c>
    </row>
    <row r="85" spans="1:3" ht="15" x14ac:dyDescent="0.35">
      <c r="A85" s="49">
        <v>2068</v>
      </c>
      <c r="B85" s="50">
        <v>0</v>
      </c>
      <c r="C85" s="50">
        <v>89.691053795454565</v>
      </c>
    </row>
    <row r="86" spans="1:3" ht="15" x14ac:dyDescent="0.35">
      <c r="A86" s="49">
        <v>2069</v>
      </c>
      <c r="B86" s="50">
        <v>0</v>
      </c>
      <c r="C86" s="50">
        <v>89.691053795454565</v>
      </c>
    </row>
    <row r="87" spans="1:3" ht="15" x14ac:dyDescent="0.35">
      <c r="A87" s="49">
        <v>2070</v>
      </c>
      <c r="B87" s="50">
        <v>0</v>
      </c>
      <c r="C87" s="50">
        <v>89.691053795454565</v>
      </c>
    </row>
    <row r="88" spans="1:3" ht="15" x14ac:dyDescent="0.35">
      <c r="A88" s="49">
        <v>2071</v>
      </c>
      <c r="B88" s="50">
        <v>0</v>
      </c>
      <c r="C88" s="50">
        <v>89.691053795454565</v>
      </c>
    </row>
    <row r="89" spans="1:3" ht="15" x14ac:dyDescent="0.35">
      <c r="A89" s="49">
        <v>2072</v>
      </c>
      <c r="B89" s="50">
        <v>0</v>
      </c>
      <c r="C89" s="50">
        <v>89.691053795454565</v>
      </c>
    </row>
    <row r="90" spans="1:3" ht="15" x14ac:dyDescent="0.35">
      <c r="A90" s="49">
        <v>2073</v>
      </c>
      <c r="B90" s="50">
        <v>0</v>
      </c>
      <c r="C90" s="50">
        <v>89.691053795454565</v>
      </c>
    </row>
    <row r="91" spans="1:3" ht="15" x14ac:dyDescent="0.35">
      <c r="A91" s="49">
        <v>2074</v>
      </c>
      <c r="B91" s="50">
        <v>0</v>
      </c>
      <c r="C91" s="50">
        <v>89.691053795454565</v>
      </c>
    </row>
    <row r="92" spans="1:3" ht="15" x14ac:dyDescent="0.35">
      <c r="A92" s="49">
        <v>2075</v>
      </c>
      <c r="B92" s="50">
        <v>0</v>
      </c>
      <c r="C92" s="50">
        <v>89.691053795454565</v>
      </c>
    </row>
    <row r="93" spans="1:3" ht="15" x14ac:dyDescent="0.35">
      <c r="A93" s="49">
        <v>2076</v>
      </c>
      <c r="B93" s="50">
        <v>0</v>
      </c>
      <c r="C93" s="50">
        <v>89.691053795454565</v>
      </c>
    </row>
    <row r="94" spans="1:3" ht="15" x14ac:dyDescent="0.35">
      <c r="A94" s="49">
        <v>2077</v>
      </c>
      <c r="B94" s="50">
        <v>0</v>
      </c>
      <c r="C94" s="50">
        <v>89.691053795454565</v>
      </c>
    </row>
    <row r="95" spans="1:3" ht="15" x14ac:dyDescent="0.35">
      <c r="A95" s="49">
        <v>2078</v>
      </c>
      <c r="B95" s="50">
        <v>0</v>
      </c>
      <c r="C95" s="50">
        <v>89.691053795454565</v>
      </c>
    </row>
    <row r="96" spans="1:3" ht="15" x14ac:dyDescent="0.35">
      <c r="A96" s="49">
        <v>2079</v>
      </c>
      <c r="B96" s="50">
        <v>0</v>
      </c>
      <c r="C96" s="50">
        <v>89.691053795454565</v>
      </c>
    </row>
    <row r="97" spans="1:3" ht="15" x14ac:dyDescent="0.35">
      <c r="A97" s="49">
        <v>2080</v>
      </c>
      <c r="B97" s="50">
        <v>0</v>
      </c>
      <c r="C97" s="50">
        <v>89.691053795454565</v>
      </c>
    </row>
    <row r="98" spans="1:3" ht="15" x14ac:dyDescent="0.35">
      <c r="A98" s="49">
        <v>2081</v>
      </c>
      <c r="B98" s="50">
        <v>0</v>
      </c>
      <c r="C98" s="50">
        <v>89.691053795454565</v>
      </c>
    </row>
    <row r="99" spans="1:3" ht="15" x14ac:dyDescent="0.35">
      <c r="A99" s="49">
        <v>2082</v>
      </c>
      <c r="B99" s="50">
        <v>0</v>
      </c>
      <c r="C99" s="50">
        <v>89.691053795454565</v>
      </c>
    </row>
    <row r="100" spans="1:3" ht="15" x14ac:dyDescent="0.35">
      <c r="A100" s="49">
        <v>2083</v>
      </c>
      <c r="B100" s="50">
        <v>0</v>
      </c>
      <c r="C100" s="50">
        <v>89.691053795454565</v>
      </c>
    </row>
    <row r="101" spans="1:3" ht="15" x14ac:dyDescent="0.35">
      <c r="A101" s="49">
        <v>2084</v>
      </c>
      <c r="B101" s="50">
        <v>0</v>
      </c>
      <c r="C101" s="50">
        <v>89.691053795454565</v>
      </c>
    </row>
    <row r="102" spans="1:3" ht="15" x14ac:dyDescent="0.35">
      <c r="A102" s="49">
        <v>2085</v>
      </c>
      <c r="B102" s="50">
        <v>0</v>
      </c>
      <c r="C102" s="50">
        <v>89.691053795454565</v>
      </c>
    </row>
    <row r="103" spans="1:3" ht="15" x14ac:dyDescent="0.35">
      <c r="A103" s="49">
        <v>2086</v>
      </c>
      <c r="B103" s="50">
        <v>0</v>
      </c>
      <c r="C103" s="50">
        <v>89.691053795454565</v>
      </c>
    </row>
    <row r="104" spans="1:3" ht="15" x14ac:dyDescent="0.35">
      <c r="A104" s="49">
        <v>2087</v>
      </c>
      <c r="B104" s="50">
        <v>0</v>
      </c>
      <c r="C104" s="50">
        <v>89.691053795454565</v>
      </c>
    </row>
    <row r="105" spans="1:3" ht="15" x14ac:dyDescent="0.35">
      <c r="A105" s="49">
        <v>2088</v>
      </c>
      <c r="B105" s="50">
        <v>0</v>
      </c>
      <c r="C105" s="50">
        <v>89.691053795454565</v>
      </c>
    </row>
    <row r="106" spans="1:3" ht="15" x14ac:dyDescent="0.35">
      <c r="A106" s="49">
        <v>2089</v>
      </c>
      <c r="B106" s="50">
        <v>0</v>
      </c>
      <c r="C106" s="50">
        <v>89.691053795454565</v>
      </c>
    </row>
    <row r="107" spans="1:3" ht="15" x14ac:dyDescent="0.35">
      <c r="A107" s="49">
        <v>2090</v>
      </c>
      <c r="B107" s="50">
        <v>0</v>
      </c>
      <c r="C107" s="50">
        <v>89.691053795454565</v>
      </c>
    </row>
    <row r="108" spans="1:3" ht="15" x14ac:dyDescent="0.35">
      <c r="A108" s="49">
        <v>2091</v>
      </c>
      <c r="B108" s="50">
        <v>0</v>
      </c>
      <c r="C108" s="50">
        <v>89.691053795454565</v>
      </c>
    </row>
    <row r="109" spans="1:3" ht="15" x14ac:dyDescent="0.35">
      <c r="A109" s="49">
        <v>2092</v>
      </c>
      <c r="B109" s="50">
        <v>0</v>
      </c>
      <c r="C109" s="50">
        <v>89.691053795454565</v>
      </c>
    </row>
    <row r="110" spans="1:3" ht="15" x14ac:dyDescent="0.35">
      <c r="A110" s="49">
        <v>2093</v>
      </c>
      <c r="B110" s="50">
        <v>0</v>
      </c>
      <c r="C110" s="50">
        <v>89.691053795454565</v>
      </c>
    </row>
    <row r="111" spans="1:3" ht="15" x14ac:dyDescent="0.35">
      <c r="A111" s="49">
        <v>2094</v>
      </c>
      <c r="B111" s="50">
        <v>0</v>
      </c>
      <c r="C111" s="50">
        <v>89.691053795454565</v>
      </c>
    </row>
    <row r="112" spans="1:3" ht="15" x14ac:dyDescent="0.35">
      <c r="A112" s="49">
        <v>2095</v>
      </c>
      <c r="B112" s="50">
        <v>0</v>
      </c>
      <c r="C112" s="50">
        <v>89.691053795454565</v>
      </c>
    </row>
    <row r="113" spans="1:3" ht="15" x14ac:dyDescent="0.35">
      <c r="A113" s="49">
        <v>2096</v>
      </c>
      <c r="B113" s="50">
        <v>0</v>
      </c>
      <c r="C113" s="50">
        <v>89.691053795454565</v>
      </c>
    </row>
    <row r="114" spans="1:3" ht="15" x14ac:dyDescent="0.35">
      <c r="A114" s="49">
        <v>2097</v>
      </c>
      <c r="B114" s="50">
        <v>0</v>
      </c>
      <c r="C114" s="50">
        <v>89.691053795454565</v>
      </c>
    </row>
    <row r="115" spans="1:3" ht="15" x14ac:dyDescent="0.35">
      <c r="A115" s="49">
        <v>2098</v>
      </c>
      <c r="B115" s="50">
        <v>0</v>
      </c>
      <c r="C115" s="50">
        <v>89.691053795454565</v>
      </c>
    </row>
    <row r="116" spans="1:3" ht="15" x14ac:dyDescent="0.35">
      <c r="A116" s="49">
        <v>2099</v>
      </c>
      <c r="B116" s="50">
        <v>0</v>
      </c>
      <c r="C116" s="50">
        <v>89.691053795454565</v>
      </c>
    </row>
    <row r="117" spans="1:3" ht="15" x14ac:dyDescent="0.35">
      <c r="A117" s="49">
        <v>2100</v>
      </c>
      <c r="B117" s="50">
        <v>0</v>
      </c>
      <c r="C117" s="50">
        <v>89.691053795454565</v>
      </c>
    </row>
  </sheetData>
  <sortState xmlns:xlrd2="http://schemas.microsoft.com/office/spreadsheetml/2017/richdata2" ref="A3:D9">
    <sortCondition ref="A3:A9"/>
  </sortState>
  <mergeCells count="2">
    <mergeCell ref="B38:C38"/>
    <mergeCell ref="E38:J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3A0D-2975-48E2-A1E2-9F53DD76E27B}">
  <dimension ref="A2:B36"/>
  <sheetViews>
    <sheetView workbookViewId="0">
      <selection activeCell="D2" sqref="D2"/>
    </sheetView>
  </sheetViews>
  <sheetFormatPr defaultRowHeight="13.8" x14ac:dyDescent="0.3"/>
  <cols>
    <col min="1" max="1" width="30.77734375" customWidth="1"/>
    <col min="2" max="2" width="28.88671875" customWidth="1"/>
  </cols>
  <sheetData>
    <row r="2" spans="1:2" ht="15" x14ac:dyDescent="0.35">
      <c r="A2" s="17" t="s">
        <v>4</v>
      </c>
      <c r="B2" s="18" t="str">
        <f ca="1">OFFSET($B$14,A15-1,0)</f>
        <v>2 - Medium</v>
      </c>
    </row>
    <row r="3" spans="1:2" ht="15" x14ac:dyDescent="0.35">
      <c r="A3" s="17" t="s">
        <v>58</v>
      </c>
      <c r="B3" s="18" t="str">
        <f ca="1">OFFSET($B$18,A19-1,0)</f>
        <v>3 - Medium (1.5x current)</v>
      </c>
    </row>
    <row r="4" spans="1:2" ht="15" x14ac:dyDescent="0.35">
      <c r="A4" s="8"/>
      <c r="B4" s="7"/>
    </row>
    <row r="5" spans="1:2" ht="15" x14ac:dyDescent="0.35">
      <c r="A5" s="34" t="s">
        <v>59</v>
      </c>
      <c r="B5" s="34"/>
    </row>
    <row r="6" spans="1:2" ht="15" x14ac:dyDescent="0.35">
      <c r="A6" s="17" t="s">
        <v>60</v>
      </c>
      <c r="B6" s="20">
        <f>B35/100</f>
        <v>1</v>
      </c>
    </row>
    <row r="7" spans="1:2" ht="15" x14ac:dyDescent="0.35">
      <c r="A7" s="17" t="s">
        <v>53</v>
      </c>
      <c r="B7" s="18">
        <f>B36</f>
        <v>26</v>
      </c>
    </row>
    <row r="10" spans="1:2" ht="15" x14ac:dyDescent="0.35">
      <c r="A10" s="17" t="s">
        <v>84</v>
      </c>
      <c r="B10" s="18">
        <f ca="1">OFFSET($B$23,A24-1,0)</f>
        <v>0.5</v>
      </c>
    </row>
    <row r="13" spans="1:2" ht="15" x14ac:dyDescent="0.35">
      <c r="A13" s="60" t="s">
        <v>117</v>
      </c>
      <c r="B13" s="60"/>
    </row>
    <row r="14" spans="1:2" ht="15" x14ac:dyDescent="0.35">
      <c r="A14" s="59" t="s">
        <v>4</v>
      </c>
      <c r="B14" s="13" t="s">
        <v>61</v>
      </c>
    </row>
    <row r="15" spans="1:2" ht="15" x14ac:dyDescent="0.35">
      <c r="A15" s="59">
        <v>2</v>
      </c>
      <c r="B15" s="13" t="s">
        <v>62</v>
      </c>
    </row>
    <row r="16" spans="1:2" ht="15" x14ac:dyDescent="0.35">
      <c r="A16" s="55"/>
      <c r="B16" s="13" t="s">
        <v>63</v>
      </c>
    </row>
    <row r="17" spans="1:2" ht="15" x14ac:dyDescent="0.35">
      <c r="A17" s="55"/>
    </row>
    <row r="18" spans="1:2" ht="15" x14ac:dyDescent="0.35">
      <c r="A18" s="59" t="s">
        <v>58</v>
      </c>
      <c r="B18" s="13" t="s">
        <v>64</v>
      </c>
    </row>
    <row r="19" spans="1:2" ht="15" x14ac:dyDescent="0.35">
      <c r="A19" s="59">
        <v>3</v>
      </c>
      <c r="B19" s="13" t="s">
        <v>65</v>
      </c>
    </row>
    <row r="20" spans="1:2" ht="15" x14ac:dyDescent="0.35">
      <c r="A20" s="55"/>
      <c r="B20" s="13" t="s">
        <v>66</v>
      </c>
    </row>
    <row r="21" spans="1:2" ht="15" x14ac:dyDescent="0.35">
      <c r="A21" s="55"/>
      <c r="B21" s="57" t="s">
        <v>67</v>
      </c>
    </row>
    <row r="22" spans="1:2" ht="15" x14ac:dyDescent="0.35">
      <c r="B22" s="56"/>
    </row>
    <row r="23" spans="1:2" ht="15" x14ac:dyDescent="0.35">
      <c r="A23" s="17" t="s">
        <v>116</v>
      </c>
      <c r="B23" s="57">
        <v>0</v>
      </c>
    </row>
    <row r="24" spans="1:2" ht="15" x14ac:dyDescent="0.35">
      <c r="A24" s="17">
        <v>6</v>
      </c>
      <c r="B24" s="58">
        <v>0.1</v>
      </c>
    </row>
    <row r="25" spans="1:2" ht="15" x14ac:dyDescent="0.35">
      <c r="B25" s="58">
        <v>0.2</v>
      </c>
    </row>
    <row r="26" spans="1:2" ht="15" x14ac:dyDescent="0.35">
      <c r="B26" s="58">
        <v>0.3</v>
      </c>
    </row>
    <row r="27" spans="1:2" ht="15" x14ac:dyDescent="0.35">
      <c r="B27" s="58">
        <v>0.4</v>
      </c>
    </row>
    <row r="28" spans="1:2" ht="15" x14ac:dyDescent="0.35">
      <c r="B28" s="58">
        <v>0.5</v>
      </c>
    </row>
    <row r="29" spans="1:2" ht="15" x14ac:dyDescent="0.35">
      <c r="B29" s="58">
        <v>0.6</v>
      </c>
    </row>
    <row r="30" spans="1:2" ht="15" x14ac:dyDescent="0.35">
      <c r="B30" s="58">
        <v>0.7</v>
      </c>
    </row>
    <row r="31" spans="1:2" ht="15" x14ac:dyDescent="0.35">
      <c r="B31" s="58">
        <v>0.8</v>
      </c>
    </row>
    <row r="32" spans="1:2" ht="15" x14ac:dyDescent="0.35">
      <c r="B32" s="58">
        <v>0.9</v>
      </c>
    </row>
    <row r="33" spans="1:2" ht="15" x14ac:dyDescent="0.35">
      <c r="B33" s="58">
        <v>1</v>
      </c>
    </row>
    <row r="35" spans="1:2" ht="15" x14ac:dyDescent="0.35">
      <c r="A35" s="17" t="s">
        <v>59</v>
      </c>
      <c r="B35" s="61">
        <v>100</v>
      </c>
    </row>
    <row r="36" spans="1:2" ht="15" x14ac:dyDescent="0.35">
      <c r="B36" s="61">
        <v>26</v>
      </c>
    </row>
  </sheetData>
  <mergeCells count="2">
    <mergeCell ref="A5:B5"/>
    <mergeCell ref="A13:B13"/>
  </mergeCells>
  <dataValidations count="1">
    <dataValidation type="decimal" allowBlank="1" showInputMessage="1" showErrorMessage="1" sqref="B10" xr:uid="{E6137E73-A1E9-4B32-A5BB-40CB666F7C95}">
      <formula1>0</formula1>
      <formula2>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61250-D69B-4887-8C4C-EE9D439B5BF6}">
  <dimension ref="A1:L80"/>
  <sheetViews>
    <sheetView topLeftCell="D3" workbookViewId="0">
      <selection activeCell="E3" sqref="E3"/>
    </sheetView>
  </sheetViews>
  <sheetFormatPr defaultRowHeight="13.8" x14ac:dyDescent="0.3"/>
  <cols>
    <col min="2" max="4" width="15.109375" customWidth="1"/>
    <col min="6" max="9" width="24.33203125" customWidth="1"/>
    <col min="10" max="11" width="17.33203125" customWidth="1"/>
  </cols>
  <sheetData>
    <row r="1" spans="1:12" ht="15" x14ac:dyDescent="0.35">
      <c r="A1" s="62" t="s">
        <v>51</v>
      </c>
      <c r="B1" s="63"/>
      <c r="C1" s="63"/>
      <c r="D1" s="64"/>
      <c r="E1" s="62" t="s">
        <v>118</v>
      </c>
      <c r="F1" s="63"/>
      <c r="G1" s="63"/>
      <c r="H1" s="63"/>
      <c r="I1" s="64"/>
      <c r="J1" s="76" t="s">
        <v>115</v>
      </c>
      <c r="K1" s="77"/>
    </row>
    <row r="2" spans="1:12" ht="15" x14ac:dyDescent="0.35">
      <c r="A2" s="65" t="s">
        <v>3</v>
      </c>
      <c r="B2" s="14" t="s">
        <v>61</v>
      </c>
      <c r="C2" s="14" t="s">
        <v>62</v>
      </c>
      <c r="D2" s="66" t="s">
        <v>63</v>
      </c>
      <c r="E2" s="65" t="s">
        <v>3</v>
      </c>
      <c r="F2" s="14" t="s">
        <v>64</v>
      </c>
      <c r="G2" s="14" t="s">
        <v>65</v>
      </c>
      <c r="H2" s="14" t="s">
        <v>66</v>
      </c>
      <c r="I2" s="72" t="s">
        <v>67</v>
      </c>
      <c r="J2" s="78" t="s">
        <v>4</v>
      </c>
      <c r="K2" s="72" t="s">
        <v>12</v>
      </c>
    </row>
    <row r="3" spans="1:12" ht="15" x14ac:dyDescent="0.35">
      <c r="A3" s="67">
        <v>2023</v>
      </c>
      <c r="B3" s="16">
        <v>8056505564</v>
      </c>
      <c r="C3" s="16">
        <v>8056505564</v>
      </c>
      <c r="D3" s="68">
        <v>8056505564</v>
      </c>
      <c r="E3" s="67">
        <v>2023</v>
      </c>
      <c r="F3" s="15">
        <v>46.517501704988177</v>
      </c>
      <c r="G3" s="15">
        <v>47.284914768486992</v>
      </c>
      <c r="H3" s="15">
        <v>48.052327831985814</v>
      </c>
      <c r="I3" s="73">
        <v>48.819740895484628</v>
      </c>
      <c r="J3" s="81">
        <f ca="1">VLOOKUP($A3,'Growth Scenarios'!$A$3:$D$80,MATCH('Scenario Picker'!$B$2,'Growth Scenarios'!$B$2:$D$2,0)+1)</f>
        <v>8056505564</v>
      </c>
      <c r="K3" s="79">
        <f ca="1">VLOOKUP($A3,'Growth Scenarios'!$E$3:$I$80,MATCH('Scenario Picker'!$B$3,'Growth Scenarios'!$F$2:$I$2,0)+1)</f>
        <v>48.052327831985814</v>
      </c>
      <c r="L3" s="11"/>
    </row>
    <row r="4" spans="1:12" ht="15" x14ac:dyDescent="0.35">
      <c r="A4" s="67">
        <v>2024</v>
      </c>
      <c r="B4" s="16">
        <v>8126964296</v>
      </c>
      <c r="C4" s="16">
        <v>8126964296</v>
      </c>
      <c r="D4" s="68">
        <v>8126964296</v>
      </c>
      <c r="E4" s="67">
        <v>2024</v>
      </c>
      <c r="F4" s="15">
        <v>46.429180374932741</v>
      </c>
      <c r="G4" s="15">
        <v>47.284914768486992</v>
      </c>
      <c r="H4" s="15">
        <v>48.14411580848882</v>
      </c>
      <c r="I4" s="73">
        <v>49.001583525266859</v>
      </c>
      <c r="J4" s="81">
        <f ca="1">VLOOKUP($A4,'Growth Scenarios'!$A$3:$D$80,MATCH('Scenario Picker'!$B$2,'Growth Scenarios'!$B$2:$D$2,0)+1)</f>
        <v>8126964296</v>
      </c>
      <c r="K4" s="79">
        <f ca="1">VLOOKUP($A4,'Growth Scenarios'!$E$3:$I$80,MATCH('Scenario Picker'!$B$3,'Growth Scenarios'!$F$2:$I$2,0)+1)</f>
        <v>48.14411580848882</v>
      </c>
      <c r="L4" s="11"/>
    </row>
    <row r="5" spans="1:12" ht="15" x14ac:dyDescent="0.35">
      <c r="A5" s="67">
        <v>2025</v>
      </c>
      <c r="B5" s="16">
        <v>8182430618</v>
      </c>
      <c r="C5" s="16">
        <v>8196980849</v>
      </c>
      <c r="D5" s="68">
        <v>8211530616</v>
      </c>
      <c r="E5" s="67">
        <v>2025</v>
      </c>
      <c r="F5" s="15">
        <v>46.332543258450819</v>
      </c>
      <c r="G5" s="15">
        <v>47.284914768486992</v>
      </c>
      <c r="H5" s="15">
        <v>48.244545969259669</v>
      </c>
      <c r="I5" s="73">
        <v>49.200547324664093</v>
      </c>
      <c r="J5" s="81">
        <f ca="1">VLOOKUP($A5,'Growth Scenarios'!$A$3:$D$80,MATCH('Scenario Picker'!$B$2,'Growth Scenarios'!$B$2:$D$2,0)+1)</f>
        <v>8196980849</v>
      </c>
      <c r="K5" s="79">
        <f ca="1">VLOOKUP($A5,'Growth Scenarios'!$E$3:$I$80,MATCH('Scenario Picker'!$B$3,'Growth Scenarios'!$F$2:$I$2,0)+1)</f>
        <v>48.244545969259669</v>
      </c>
      <c r="L5" s="11"/>
    </row>
    <row r="6" spans="1:12" ht="15" x14ac:dyDescent="0.35">
      <c r="A6" s="67">
        <v>2026</v>
      </c>
      <c r="B6" s="16">
        <v>8237153894</v>
      </c>
      <c r="C6" s="16">
        <v>8266245291</v>
      </c>
      <c r="D6" s="68">
        <v>8295335053</v>
      </c>
      <c r="E6" s="67">
        <v>2026</v>
      </c>
      <c r="F6" s="15">
        <v>46.227071347485605</v>
      </c>
      <c r="G6" s="15">
        <v>47.284914768486992</v>
      </c>
      <c r="H6" s="15">
        <v>48.354157693622589</v>
      </c>
      <c r="I6" s="73">
        <v>49.417700866691085</v>
      </c>
      <c r="J6" s="81">
        <f ca="1">VLOOKUP($A6,'Growth Scenarios'!$A$3:$D$80,MATCH('Scenario Picker'!$B$2,'Growth Scenarios'!$B$2:$D$2,0)+1)</f>
        <v>8266245291</v>
      </c>
      <c r="K6" s="79">
        <f ca="1">VLOOKUP($A6,'Growth Scenarios'!$E$3:$I$80,MATCH('Scenario Picker'!$B$3,'Growth Scenarios'!$F$2:$I$2,0)+1)</f>
        <v>48.354157693622589</v>
      </c>
      <c r="L6" s="11"/>
    </row>
    <row r="7" spans="1:12" ht="15" x14ac:dyDescent="0.35">
      <c r="A7" s="67">
        <v>2027</v>
      </c>
      <c r="B7" s="16">
        <v>8291448036</v>
      </c>
      <c r="C7" s="16">
        <v>8335111500</v>
      </c>
      <c r="D7" s="68">
        <v>8378772233</v>
      </c>
      <c r="E7" s="67">
        <v>2027</v>
      </c>
      <c r="F7" s="15">
        <v>46.112244310959667</v>
      </c>
      <c r="G7" s="15">
        <v>47.284914768486992</v>
      </c>
      <c r="H7" s="15">
        <v>48.473491735851553</v>
      </c>
      <c r="I7" s="73">
        <v>49.654115448297503</v>
      </c>
      <c r="J7" s="81">
        <f ca="1">VLOOKUP($A7,'Growth Scenarios'!$A$3:$D$80,MATCH('Scenario Picker'!$B$2,'Growth Scenarios'!$B$2:$D$2,0)+1)</f>
        <v>8335111500</v>
      </c>
      <c r="K7" s="79">
        <f ca="1">VLOOKUP($A7,'Growth Scenarios'!$E$3:$I$80,MATCH('Scenario Picker'!$B$3,'Growth Scenarios'!$F$2:$I$2,0)+1)</f>
        <v>48.473491735851553</v>
      </c>
      <c r="L7" s="11"/>
    </row>
    <row r="8" spans="1:12" ht="15" x14ac:dyDescent="0.35">
      <c r="A8" s="67">
        <v>2028</v>
      </c>
      <c r="B8" s="16">
        <v>8344798580</v>
      </c>
      <c r="C8" s="16">
        <v>8403077188.999999</v>
      </c>
      <c r="D8" s="68">
        <v>8461353709.000001</v>
      </c>
      <c r="E8" s="67">
        <v>2028</v>
      </c>
      <c r="F8" s="15">
        <v>45.987544444493231</v>
      </c>
      <c r="G8" s="15">
        <v>47.284914768486992</v>
      </c>
      <c r="H8" s="15">
        <v>48.603086120423953</v>
      </c>
      <c r="I8" s="73">
        <v>49.910856958389317</v>
      </c>
      <c r="J8" s="81">
        <f ca="1">VLOOKUP($A8,'Growth Scenarios'!$A$3:$D$80,MATCH('Scenario Picker'!$B$2,'Growth Scenarios'!$B$2:$D$2,0)+1)</f>
        <v>8403077188.999999</v>
      </c>
      <c r="K8" s="79">
        <f ca="1">VLOOKUP($A8,'Growth Scenarios'!$E$3:$I$80,MATCH('Scenario Picker'!$B$3,'Growth Scenarios'!$F$2:$I$2,0)+1)</f>
        <v>48.603086120423953</v>
      </c>
      <c r="L8" s="11"/>
    </row>
    <row r="9" spans="1:12" ht="15" x14ac:dyDescent="0.35">
      <c r="A9" s="67">
        <v>2029</v>
      </c>
      <c r="B9" s="16">
        <v>8397214481.000001</v>
      </c>
      <c r="C9" s="16">
        <v>8470160584.000001</v>
      </c>
      <c r="D9" s="68">
        <v>8543109300.000001</v>
      </c>
      <c r="E9" s="67">
        <v>2029</v>
      </c>
      <c r="F9" s="15">
        <v>45.852460942792078</v>
      </c>
      <c r="G9" s="15">
        <v>47.284914768486992</v>
      </c>
      <c r="H9" s="15">
        <v>48.743471701939853</v>
      </c>
      <c r="I9" s="73">
        <v>50.188977081513741</v>
      </c>
      <c r="J9" s="81">
        <f ca="1">VLOOKUP($A9,'Growth Scenarios'!$A$3:$D$80,MATCH('Scenario Picker'!$B$2,'Growth Scenarios'!$B$2:$D$2,0)+1)</f>
        <v>8470160584.000001</v>
      </c>
      <c r="K9" s="79">
        <f ca="1">VLOOKUP($A9,'Growth Scenarios'!$E$3:$I$80,MATCH('Scenario Picker'!$B$3,'Growth Scenarios'!$F$2:$I$2,0)+1)</f>
        <v>48.743471701939853</v>
      </c>
      <c r="L9" s="11"/>
    </row>
    <row r="10" spans="1:12" ht="15" x14ac:dyDescent="0.35">
      <c r="A10" s="67">
        <v>2030</v>
      </c>
      <c r="B10" s="16">
        <v>8439824647</v>
      </c>
      <c r="C10" s="16">
        <v>8536410062.000001</v>
      </c>
      <c r="D10" s="68">
        <v>8632969105</v>
      </c>
      <c r="E10" s="67">
        <v>2030</v>
      </c>
      <c r="F10" s="15">
        <v>45.70649446729265</v>
      </c>
      <c r="G10" s="15">
        <v>47.284914768486992</v>
      </c>
      <c r="H10" s="15">
        <v>48.895167418195037</v>
      </c>
      <c r="I10" s="73">
        <v>50.489503893646223</v>
      </c>
      <c r="J10" s="81">
        <f ca="1">VLOOKUP($A10,'Growth Scenarios'!$A$3:$D$80,MATCH('Scenario Picker'!$B$2,'Growth Scenarios'!$B$2:$D$2,0)+1)</f>
        <v>8536410062.000001</v>
      </c>
      <c r="K10" s="79">
        <f ca="1">VLOOKUP($A10,'Growth Scenarios'!$E$3:$I$80,MATCH('Scenario Picker'!$B$3,'Growth Scenarios'!$F$2:$I$2,0)+1)</f>
        <v>48.895167418195037</v>
      </c>
      <c r="L10" s="11"/>
    </row>
    <row r="11" spans="1:12" ht="15" x14ac:dyDescent="0.35">
      <c r="A11" s="67">
        <v>2031</v>
      </c>
      <c r="B11" s="16">
        <v>8481533688.999999</v>
      </c>
      <c r="C11" s="16">
        <v>8601839760</v>
      </c>
      <c r="D11" s="68">
        <v>8722122907</v>
      </c>
      <c r="E11" s="67">
        <v>2031</v>
      </c>
      <c r="F11" s="15">
        <v>45.549161974695423</v>
      </c>
      <c r="G11" s="15">
        <v>47.284914768486992</v>
      </c>
      <c r="H11" s="15">
        <v>49.058675272125804</v>
      </c>
      <c r="I11" s="73">
        <v>50.813431920840983</v>
      </c>
      <c r="J11" s="81">
        <f ca="1">VLOOKUP($A11,'Growth Scenarios'!$A$3:$D$80,MATCH('Scenario Picker'!$B$2,'Growth Scenarios'!$B$2:$D$2,0)+1)</f>
        <v>8601839760</v>
      </c>
      <c r="K11" s="79">
        <f ca="1">VLOOKUP($A11,'Growth Scenarios'!$E$3:$I$80,MATCH('Scenario Picker'!$B$3,'Growth Scenarios'!$F$2:$I$2,0)+1)</f>
        <v>49.058675272125804</v>
      </c>
      <c r="L11" s="11"/>
    </row>
    <row r="12" spans="1:12" ht="15" x14ac:dyDescent="0.35">
      <c r="A12" s="67">
        <v>2032</v>
      </c>
      <c r="B12" s="16">
        <v>8522260705</v>
      </c>
      <c r="C12" s="16">
        <v>8666398907</v>
      </c>
      <c r="D12" s="68">
        <v>8810537426</v>
      </c>
      <c r="E12" s="67">
        <v>2032</v>
      </c>
      <c r="F12" s="15">
        <v>45.380001765097212</v>
      </c>
      <c r="G12" s="15">
        <v>47.284914768486992</v>
      </c>
      <c r="H12" s="15">
        <v>49.234475085535536</v>
      </c>
      <c r="I12" s="73">
        <v>51.161711745754701</v>
      </c>
      <c r="J12" s="81">
        <f ca="1">VLOOKUP($A12,'Growth Scenarios'!$A$3:$D$80,MATCH('Scenario Picker'!$B$2,'Growth Scenarios'!$B$2:$D$2,0)+1)</f>
        <v>8666398907</v>
      </c>
      <c r="K12" s="79">
        <f ca="1">VLOOKUP($A12,'Growth Scenarios'!$E$3:$I$80,MATCH('Scenario Picker'!$B$3,'Growth Scenarios'!$F$2:$I$2,0)+1)</f>
        <v>49.234475085535536</v>
      </c>
      <c r="L12" s="11"/>
    </row>
    <row r="13" spans="1:12" ht="15" x14ac:dyDescent="0.35">
      <c r="A13" s="67">
        <v>2033</v>
      </c>
      <c r="B13" s="16">
        <v>8561963039.999999</v>
      </c>
      <c r="C13" s="16">
        <v>8730060717</v>
      </c>
      <c r="D13" s="68">
        <v>8898201730</v>
      </c>
      <c r="E13" s="67">
        <v>2033</v>
      </c>
      <c r="F13" s="15">
        <v>45.198578701696213</v>
      </c>
      <c r="G13" s="15">
        <v>47.284914768486992</v>
      </c>
      <c r="H13" s="15">
        <v>49.423019074514229</v>
      </c>
      <c r="I13" s="73">
        <v>51.535239260923241</v>
      </c>
      <c r="J13" s="81">
        <f ca="1">VLOOKUP($A13,'Growth Scenarios'!$A$3:$D$80,MATCH('Scenario Picker'!$B$2,'Growth Scenarios'!$B$2:$D$2,0)+1)</f>
        <v>8730060717</v>
      </c>
      <c r="K13" s="79">
        <f ca="1">VLOOKUP($A13,'Growth Scenarios'!$E$3:$I$80,MATCH('Scenario Picker'!$B$3,'Growth Scenarios'!$F$2:$I$2,0)+1)</f>
        <v>49.423019074514229</v>
      </c>
      <c r="L13" s="11"/>
    </row>
    <row r="14" spans="1:12" ht="15" x14ac:dyDescent="0.35">
      <c r="A14" s="67">
        <v>2034</v>
      </c>
      <c r="B14" s="16">
        <v>8600642612</v>
      </c>
      <c r="C14" s="16">
        <v>8792837445</v>
      </c>
      <c r="D14" s="68">
        <v>8985139303</v>
      </c>
      <c r="E14" s="67">
        <v>2034</v>
      </c>
      <c r="F14" s="15">
        <v>45.004489547644077</v>
      </c>
      <c r="G14" s="15">
        <v>47.284914768486992</v>
      </c>
      <c r="H14" s="15">
        <v>49.624726303112865</v>
      </c>
      <c r="I14" s="73">
        <v>51.934844680847249</v>
      </c>
      <c r="J14" s="81">
        <f ca="1">VLOOKUP($A14,'Growth Scenarios'!$A$3:$D$80,MATCH('Scenario Picker'!$B$2,'Growth Scenarios'!$B$2:$D$2,0)+1)</f>
        <v>8792837445</v>
      </c>
      <c r="K14" s="79">
        <f ca="1">VLOOKUP($A14,'Growth Scenarios'!$E$3:$I$80,MATCH('Scenario Picker'!$B$3,'Growth Scenarios'!$F$2:$I$2,0)+1)</f>
        <v>49.624726303112865</v>
      </c>
      <c r="L14" s="11"/>
    </row>
    <row r="15" spans="1:12" ht="15" x14ac:dyDescent="0.35">
      <c r="A15" s="67">
        <v>2035</v>
      </c>
      <c r="B15" s="16">
        <v>8632177807</v>
      </c>
      <c r="C15" s="16">
        <v>8854732372</v>
      </c>
      <c r="D15" s="68">
        <v>9077465967</v>
      </c>
      <c r="E15" s="67">
        <v>2035</v>
      </c>
      <c r="F15" s="15">
        <v>44.797368359716096</v>
      </c>
      <c r="G15" s="15">
        <v>47.284914768486992</v>
      </c>
      <c r="H15" s="15">
        <v>49.8399770779696</v>
      </c>
      <c r="I15" s="73">
        <v>52.361281437096352</v>
      </c>
      <c r="J15" s="81">
        <f ca="1">VLOOKUP($A15,'Growth Scenarios'!$A$3:$D$80,MATCH('Scenario Picker'!$B$2,'Growth Scenarios'!$B$2:$D$2,0)+1)</f>
        <v>8854732372</v>
      </c>
      <c r="K15" s="79">
        <f ca="1">VLOOKUP($A15,'Growth Scenarios'!$E$3:$I$80,MATCH('Scenario Picker'!$B$3,'Growth Scenarios'!$F$2:$I$2,0)+1)</f>
        <v>49.8399770779696</v>
      </c>
      <c r="L15" s="11"/>
    </row>
    <row r="16" spans="1:12" ht="15" x14ac:dyDescent="0.35">
      <c r="A16" s="67">
        <v>2036</v>
      </c>
      <c r="B16" s="16">
        <v>8662608274</v>
      </c>
      <c r="C16" s="16">
        <v>8915687990</v>
      </c>
      <c r="D16" s="68">
        <v>9169049168</v>
      </c>
      <c r="E16" s="67">
        <v>2036</v>
      </c>
      <c r="F16" s="15">
        <v>44.576891873222401</v>
      </c>
      <c r="G16" s="15">
        <v>47.284914768486992</v>
      </c>
      <c r="H16" s="15">
        <v>50.069107352038714</v>
      </c>
      <c r="I16" s="73">
        <v>52.815215091446859</v>
      </c>
      <c r="J16" s="81">
        <f ca="1">VLOOKUP($A16,'Growth Scenarios'!$A$3:$D$80,MATCH('Scenario Picker'!$B$2,'Growth Scenarios'!$B$2:$D$2,0)+1)</f>
        <v>8915687990</v>
      </c>
      <c r="K16" s="79">
        <f ca="1">VLOOKUP($A16,'Growth Scenarios'!$E$3:$I$80,MATCH('Scenario Picker'!$B$3,'Growth Scenarios'!$F$2:$I$2,0)+1)</f>
        <v>50.069107352038714</v>
      </c>
      <c r="L16" s="11"/>
    </row>
    <row r="17" spans="1:12" ht="15" x14ac:dyDescent="0.35">
      <c r="A17" s="67">
        <v>2037</v>
      </c>
      <c r="B17" s="16">
        <v>8691903476</v>
      </c>
      <c r="C17" s="16">
        <v>8975685239</v>
      </c>
      <c r="D17" s="68">
        <v>9259867274</v>
      </c>
      <c r="E17" s="67">
        <v>2037</v>
      </c>
      <c r="F17" s="15">
        <v>44.342784808146632</v>
      </c>
      <c r="G17" s="15">
        <v>47.284914768486992</v>
      </c>
      <c r="H17" s="15">
        <v>50.31240321018393</v>
      </c>
      <c r="I17" s="73">
        <v>53.29721241120258</v>
      </c>
      <c r="J17" s="81">
        <f ca="1">VLOOKUP($A17,'Growth Scenarios'!$A$3:$D$80,MATCH('Scenario Picker'!$B$2,'Growth Scenarios'!$B$2:$D$2,0)+1)</f>
        <v>8975685239</v>
      </c>
      <c r="K17" s="79">
        <f ca="1">VLOOKUP($A17,'Growth Scenarios'!$E$3:$I$80,MATCH('Scenario Picker'!$B$3,'Growth Scenarios'!$F$2:$I$2,0)+1)</f>
        <v>50.31240321018393</v>
      </c>
      <c r="L17" s="11"/>
    </row>
    <row r="18" spans="1:12" ht="15" x14ac:dyDescent="0.35">
      <c r="A18" s="67">
        <v>2038</v>
      </c>
      <c r="B18" s="16">
        <v>8719960539</v>
      </c>
      <c r="C18" s="16">
        <v>9034620009</v>
      </c>
      <c r="D18" s="68">
        <v>9349801505</v>
      </c>
      <c r="E18" s="67">
        <v>2038</v>
      </c>
      <c r="F18" s="15">
        <v>44.09482502302032</v>
      </c>
      <c r="G18" s="15">
        <v>47.284914768486992</v>
      </c>
      <c r="H18" s="15">
        <v>50.57009551301249</v>
      </c>
      <c r="I18" s="73">
        <v>53.807730758008582</v>
      </c>
      <c r="J18" s="81">
        <f ca="1">VLOOKUP($A18,'Growth Scenarios'!$A$3:$D$80,MATCH('Scenario Picker'!$B$2,'Growth Scenarios'!$B$2:$D$2,0)+1)</f>
        <v>9034620009</v>
      </c>
      <c r="K18" s="79">
        <f ca="1">VLOOKUP($A18,'Growth Scenarios'!$E$3:$I$80,MATCH('Scenario Picker'!$B$3,'Growth Scenarios'!$F$2:$I$2,0)+1)</f>
        <v>50.57009551301249</v>
      </c>
      <c r="L18" s="11"/>
    </row>
    <row r="19" spans="1:12" ht="15" x14ac:dyDescent="0.35">
      <c r="A19" s="67">
        <v>2039</v>
      </c>
      <c r="B19" s="16">
        <v>8746815625</v>
      </c>
      <c r="C19" s="16">
        <v>9092525843</v>
      </c>
      <c r="D19" s="68">
        <v>9438868000</v>
      </c>
      <c r="E19" s="67">
        <v>2039</v>
      </c>
      <c r="F19" s="15">
        <v>43.832848440658843</v>
      </c>
      <c r="G19" s="15">
        <v>47.284914768486992</v>
      </c>
      <c r="H19" s="15">
        <v>50.842354777802129</v>
      </c>
      <c r="I19" s="73">
        <v>54.347107946373761</v>
      </c>
      <c r="J19" s="81">
        <f ca="1">VLOOKUP($A19,'Growth Scenarios'!$A$3:$D$80,MATCH('Scenario Picker'!$B$2,'Growth Scenarios'!$B$2:$D$2,0)+1)</f>
        <v>9092525843</v>
      </c>
      <c r="K19" s="79">
        <f ca="1">VLOOKUP($A19,'Growth Scenarios'!$E$3:$I$80,MATCH('Scenario Picker'!$B$3,'Growth Scenarios'!$F$2:$I$2,0)+1)</f>
        <v>50.842354777802129</v>
      </c>
      <c r="L19" s="11"/>
    </row>
    <row r="20" spans="1:12" ht="15" x14ac:dyDescent="0.35">
      <c r="A20" s="67">
        <v>2040</v>
      </c>
      <c r="B20" s="16">
        <v>8772393790</v>
      </c>
      <c r="C20" s="16">
        <v>9149330917</v>
      </c>
      <c r="D20" s="68">
        <v>9526988610</v>
      </c>
      <c r="E20" s="67">
        <v>2040</v>
      </c>
      <c r="F20" s="15">
        <v>43.556753668716183</v>
      </c>
      <c r="G20" s="15">
        <v>47.284914768486992</v>
      </c>
      <c r="H20" s="15">
        <v>51.129286376587736</v>
      </c>
      <c r="I20" s="73">
        <v>54.915552730523508</v>
      </c>
      <c r="J20" s="81">
        <f ca="1">VLOOKUP($A20,'Growth Scenarios'!$A$3:$D$80,MATCH('Scenario Picker'!$B$2,'Growth Scenarios'!$B$2:$D$2,0)+1)</f>
        <v>9149330917</v>
      </c>
      <c r="K20" s="79">
        <f ca="1">VLOOKUP($A20,'Growth Scenarios'!$E$3:$I$80,MATCH('Scenario Picker'!$B$3,'Growth Scenarios'!$F$2:$I$2,0)+1)</f>
        <v>51.129286376587736</v>
      </c>
      <c r="L20" s="11"/>
    </row>
    <row r="21" spans="1:12" ht="15" x14ac:dyDescent="0.35">
      <c r="A21" s="67">
        <v>2041</v>
      </c>
      <c r="B21" s="16">
        <v>8796697090</v>
      </c>
      <c r="C21" s="16">
        <v>9205049488</v>
      </c>
      <c r="D21" s="68">
        <v>9614188906</v>
      </c>
      <c r="E21" s="67">
        <v>2041</v>
      </c>
      <c r="F21" s="15">
        <v>43.266506238160851</v>
      </c>
      <c r="G21" s="15">
        <v>47.284914768486992</v>
      </c>
      <c r="H21" s="15">
        <v>51.430926131323673</v>
      </c>
      <c r="I21" s="73">
        <v>55.513136077905081</v>
      </c>
      <c r="J21" s="81">
        <f ca="1">VLOOKUP($A21,'Growth Scenarios'!$A$3:$D$80,MATCH('Scenario Picker'!$B$2,'Growth Scenarios'!$B$2:$D$2,0)+1)</f>
        <v>9205049488</v>
      </c>
      <c r="K21" s="79">
        <f ca="1">VLOOKUP($A21,'Growth Scenarios'!$E$3:$I$80,MATCH('Scenario Picker'!$B$3,'Growth Scenarios'!$F$2:$I$2,0)+1)</f>
        <v>51.430926131323673</v>
      </c>
      <c r="L21" s="11"/>
    </row>
    <row r="22" spans="1:12" ht="15" x14ac:dyDescent="0.35">
      <c r="A22" s="67">
        <v>2042</v>
      </c>
      <c r="B22" s="16">
        <v>8819538478</v>
      </c>
      <c r="C22" s="16">
        <v>9259513662</v>
      </c>
      <c r="D22" s="68">
        <v>9700331209</v>
      </c>
      <c r="E22" s="67">
        <v>2042</v>
      </c>
      <c r="F22" s="15">
        <v>42.962142384308358</v>
      </c>
      <c r="G22" s="15">
        <v>47.284914768486992</v>
      </c>
      <c r="H22" s="15">
        <v>51.747236384444221</v>
      </c>
      <c r="I22" s="73">
        <v>56.139783384512157</v>
      </c>
      <c r="J22" s="81">
        <f ca="1">VLOOKUP($A22,'Growth Scenarios'!$A$3:$D$80,MATCH('Scenario Picker'!$B$2,'Growth Scenarios'!$B$2:$D$2,0)+1)</f>
        <v>9259513662</v>
      </c>
      <c r="K22" s="79">
        <f ca="1">VLOOKUP($A22,'Growth Scenarios'!$E$3:$I$80,MATCH('Scenario Picker'!$B$3,'Growth Scenarios'!$F$2:$I$2,0)+1)</f>
        <v>51.747236384444221</v>
      </c>
      <c r="L22" s="11"/>
    </row>
    <row r="23" spans="1:12" ht="15" x14ac:dyDescent="0.35">
      <c r="A23" s="67">
        <v>2043</v>
      </c>
      <c r="B23" s="16">
        <v>8840872354</v>
      </c>
      <c r="C23" s="16">
        <v>9312707079</v>
      </c>
      <c r="D23" s="68">
        <v>9785450764</v>
      </c>
      <c r="E23" s="67">
        <v>2043</v>
      </c>
      <c r="F23" s="15">
        <v>42.643772298013523</v>
      </c>
      <c r="G23" s="15">
        <v>47.284914768486992</v>
      </c>
      <c r="H23" s="15">
        <v>52.078102620060825</v>
      </c>
      <c r="I23" s="73">
        <v>56.795267781084476</v>
      </c>
      <c r="J23" s="81">
        <f ca="1">VLOOKUP($A23,'Growth Scenarios'!$A$3:$D$80,MATCH('Scenario Picker'!$B$2,'Growth Scenarios'!$B$2:$D$2,0)+1)</f>
        <v>9312707079</v>
      </c>
      <c r="K23" s="79">
        <f ca="1">VLOOKUP($A23,'Growth Scenarios'!$E$3:$I$80,MATCH('Scenario Picker'!$B$3,'Growth Scenarios'!$F$2:$I$2,0)+1)</f>
        <v>52.078102620060825</v>
      </c>
      <c r="L23" s="11"/>
    </row>
    <row r="24" spans="1:12" ht="15" x14ac:dyDescent="0.35">
      <c r="A24" s="67">
        <v>2044</v>
      </c>
      <c r="B24" s="16">
        <v>8860651393</v>
      </c>
      <c r="C24" s="16">
        <v>9364615549</v>
      </c>
      <c r="D24" s="68">
        <v>9869598346</v>
      </c>
      <c r="E24" s="67">
        <v>2044</v>
      </c>
      <c r="F24" s="15">
        <v>42.311582779045104</v>
      </c>
      <c r="G24" s="15">
        <v>47.284914768486992</v>
      </c>
      <c r="H24" s="15">
        <v>52.423330706441348</v>
      </c>
      <c r="I24" s="73">
        <v>57.479204670139474</v>
      </c>
      <c r="J24" s="81">
        <f ca="1">VLOOKUP($A24,'Growth Scenarios'!$A$3:$D$80,MATCH('Scenario Picker'!$B$2,'Growth Scenarios'!$B$2:$D$2,0)+1)</f>
        <v>9364615549</v>
      </c>
      <c r="K24" s="79">
        <f ca="1">VLOOKUP($A24,'Growth Scenarios'!$E$3:$I$80,MATCH('Scenario Picker'!$B$3,'Growth Scenarios'!$F$2:$I$2,0)+1)</f>
        <v>52.423330706441348</v>
      </c>
      <c r="L24" s="11"/>
    </row>
    <row r="25" spans="1:12" ht="15" x14ac:dyDescent="0.35">
      <c r="A25" s="67">
        <v>2045</v>
      </c>
      <c r="B25" s="16">
        <v>8878739404</v>
      </c>
      <c r="C25" s="16">
        <v>9415131838</v>
      </c>
      <c r="D25" s="68">
        <v>9952780528</v>
      </c>
      <c r="E25" s="67">
        <v>2045</v>
      </c>
      <c r="F25" s="15">
        <v>41.965839229520249</v>
      </c>
      <c r="G25" s="15">
        <v>47.284914768486992</v>
      </c>
      <c r="H25" s="15">
        <v>52.782644824332657</v>
      </c>
      <c r="I25" s="73">
        <v>58.191047621738853</v>
      </c>
      <c r="J25" s="81">
        <f ca="1">VLOOKUP($A25,'Growth Scenarios'!$A$3:$D$80,MATCH('Scenario Picker'!$B$2,'Growth Scenarios'!$B$2:$D$2,0)+1)</f>
        <v>9415131838</v>
      </c>
      <c r="K25" s="79">
        <f ca="1">VLOOKUP($A25,'Growth Scenarios'!$E$3:$I$80,MATCH('Scenario Picker'!$B$3,'Growth Scenarios'!$F$2:$I$2,0)+1)</f>
        <v>52.782644824332657</v>
      </c>
      <c r="L25" s="11"/>
    </row>
    <row r="26" spans="1:12" ht="15" x14ac:dyDescent="0.35">
      <c r="A26" s="67">
        <v>2046</v>
      </c>
      <c r="B26" s="16">
        <v>8894986499</v>
      </c>
      <c r="C26" s="16">
        <v>9464147498</v>
      </c>
      <c r="D26" s="68">
        <v>10035008564</v>
      </c>
      <c r="E26" s="67">
        <v>2046</v>
      </c>
      <c r="F26" s="15">
        <v>41.606886932516204</v>
      </c>
      <c r="G26" s="15">
        <v>47.284914768486992</v>
      </c>
      <c r="H26" s="15">
        <v>53.155686138162856</v>
      </c>
      <c r="I26" s="73">
        <v>58.930085740986179</v>
      </c>
      <c r="J26" s="81">
        <f ca="1">VLOOKUP($A26,'Growth Scenarios'!$A$3:$D$80,MATCH('Scenario Picker'!$B$2,'Growth Scenarios'!$B$2:$D$2,0)+1)</f>
        <v>9464147498</v>
      </c>
      <c r="K26" s="79">
        <f ca="1">VLOOKUP($A26,'Growth Scenarios'!$E$3:$I$80,MATCH('Scenario Picker'!$B$3,'Growth Scenarios'!$F$2:$I$2,0)+1)</f>
        <v>53.155686138162856</v>
      </c>
      <c r="L26" s="11"/>
    </row>
    <row r="27" spans="1:12" ht="15" x14ac:dyDescent="0.35">
      <c r="A27" s="67">
        <v>2047</v>
      </c>
      <c r="B27" s="16">
        <v>8909319205</v>
      </c>
      <c r="C27" s="16">
        <v>9511631710</v>
      </c>
      <c r="D27" s="68">
        <v>10116378290</v>
      </c>
      <c r="E27" s="67">
        <v>2047</v>
      </c>
      <c r="F27" s="15">
        <v>41.235151569518884</v>
      </c>
      <c r="G27" s="15">
        <v>47.284914768486992</v>
      </c>
      <c r="H27" s="15">
        <v>53.542012258282668</v>
      </c>
      <c r="I27" s="73">
        <v>59.695442602664542</v>
      </c>
      <c r="J27" s="81">
        <f ca="1">VLOOKUP($A27,'Growth Scenarios'!$A$3:$D$80,MATCH('Scenario Picker'!$B$2,'Growth Scenarios'!$B$2:$D$2,0)+1)</f>
        <v>9511631710</v>
      </c>
      <c r="K27" s="79">
        <f ca="1">VLOOKUP($A27,'Growth Scenarios'!$E$3:$I$80,MATCH('Scenario Picker'!$B$3,'Growth Scenarios'!$F$2:$I$2,0)+1)</f>
        <v>53.542012258282668</v>
      </c>
      <c r="L27" s="11"/>
    </row>
    <row r="28" spans="1:12" ht="15" x14ac:dyDescent="0.35">
      <c r="A28" s="67">
        <v>2048</v>
      </c>
      <c r="B28" s="16">
        <v>8921569114</v>
      </c>
      <c r="C28" s="16">
        <v>9557460245</v>
      </c>
      <c r="D28" s="68">
        <v>10196895622</v>
      </c>
      <c r="E28" s="67">
        <v>2048</v>
      </c>
      <c r="F28" s="15">
        <v>40.851138940094287</v>
      </c>
      <c r="G28" s="15">
        <v>47.284914768486992</v>
      </c>
      <c r="H28" s="15">
        <v>53.941097532297015</v>
      </c>
      <c r="I28" s="73">
        <v>60.486076828398367</v>
      </c>
      <c r="J28" s="81">
        <f ca="1">VLOOKUP($A28,'Growth Scenarios'!$A$3:$D$80,MATCH('Scenario Picker'!$B$2,'Growth Scenarios'!$B$2:$D$2,0)+1)</f>
        <v>9557460245</v>
      </c>
      <c r="K28" s="79">
        <f ca="1">VLOOKUP($A28,'Growth Scenarios'!$E$3:$I$80,MATCH('Scenario Picker'!$B$3,'Growth Scenarios'!$F$2:$I$2,0)+1)</f>
        <v>53.941097532297015</v>
      </c>
      <c r="L28" s="11"/>
    </row>
    <row r="29" spans="1:12" ht="15" x14ac:dyDescent="0.35">
      <c r="A29" s="67">
        <v>2049</v>
      </c>
      <c r="B29" s="16">
        <v>8931665704</v>
      </c>
      <c r="C29" s="16">
        <v>9601611841</v>
      </c>
      <c r="D29" s="68">
        <v>10276674272</v>
      </c>
      <c r="E29" s="67">
        <v>2049</v>
      </c>
      <c r="F29" s="15">
        <v>40.455433857929556</v>
      </c>
      <c r="G29" s="15">
        <v>47.284914768486992</v>
      </c>
      <c r="H29" s="15">
        <v>54.352334192354817</v>
      </c>
      <c r="I29" s="73">
        <v>61.300784359567444</v>
      </c>
      <c r="J29" s="81">
        <f ca="1">VLOOKUP($A29,'Growth Scenarios'!$A$3:$D$80,MATCH('Scenario Picker'!$B$2,'Growth Scenarios'!$B$2:$D$2,0)+1)</f>
        <v>9601611841</v>
      </c>
      <c r="K29" s="79">
        <f ca="1">VLOOKUP($A29,'Growth Scenarios'!$E$3:$I$80,MATCH('Scenario Picker'!$B$3,'Growth Scenarios'!$F$2:$I$2,0)+1)</f>
        <v>54.352334192354817</v>
      </c>
      <c r="L29" s="11"/>
    </row>
    <row r="30" spans="1:12" ht="15" x14ac:dyDescent="0.35">
      <c r="A30" s="67">
        <v>2050</v>
      </c>
      <c r="B30" s="16">
        <v>8939503169</v>
      </c>
      <c r="C30" s="16">
        <v>9644036216</v>
      </c>
      <c r="D30" s="68">
        <v>10355799518</v>
      </c>
      <c r="E30" s="67">
        <v>2050</v>
      </c>
      <c r="F30" s="15">
        <v>40.048698209007306</v>
      </c>
      <c r="G30" s="15">
        <v>47.284914768486992</v>
      </c>
      <c r="H30" s="15">
        <v>54.775034373192</v>
      </c>
      <c r="I30" s="73">
        <v>62.13820245528435</v>
      </c>
      <c r="J30" s="81">
        <f ca="1">VLOOKUP($A30,'Growth Scenarios'!$A$3:$D$80,MATCH('Scenario Picker'!$B$2,'Growth Scenarios'!$B$2:$D$2,0)+1)</f>
        <v>9644036216</v>
      </c>
      <c r="K30" s="79">
        <f ca="1">VLOOKUP($A30,'Growth Scenarios'!$E$3:$I$80,MATCH('Scenario Picker'!$B$3,'Growth Scenarios'!$F$2:$I$2,0)+1)</f>
        <v>54.775034373192</v>
      </c>
      <c r="L30" s="11"/>
    </row>
    <row r="31" spans="1:12" ht="15" x14ac:dyDescent="0.35">
      <c r="A31" s="67">
        <v>2051</v>
      </c>
      <c r="B31" s="16">
        <v>8945005928</v>
      </c>
      <c r="C31" s="16">
        <v>9684720958</v>
      </c>
      <c r="D31" s="68">
        <v>10434395512</v>
      </c>
      <c r="E31" s="67">
        <v>2051</v>
      </c>
      <c r="F31" s="15">
        <v>39.63166816994444</v>
      </c>
      <c r="G31" s="15">
        <v>47.284914768486992</v>
      </c>
      <c r="H31" s="15">
        <v>55.20843300297404</v>
      </c>
      <c r="I31" s="73">
        <v>62.99681541948884</v>
      </c>
      <c r="J31" s="81">
        <f ca="1">VLOOKUP($A31,'Growth Scenarios'!$A$3:$D$80,MATCH('Scenario Picker'!$B$2,'Growth Scenarios'!$B$2:$D$2,0)+1)</f>
        <v>9684720958</v>
      </c>
      <c r="K31" s="79">
        <f ca="1">VLOOKUP($A31,'Growth Scenarios'!$E$3:$I$80,MATCH('Scenario Picker'!$B$3,'Growth Scenarios'!$F$2:$I$2,0)+1)</f>
        <v>55.20843300297404</v>
      </c>
      <c r="L31" s="11"/>
    </row>
    <row r="32" spans="1:12" ht="15" x14ac:dyDescent="0.35">
      <c r="A32" s="67">
        <v>2052</v>
      </c>
      <c r="B32" s="16">
        <v>8948105360</v>
      </c>
      <c r="C32" s="16">
        <v>9723663649</v>
      </c>
      <c r="D32" s="68">
        <v>10512587339</v>
      </c>
      <c r="E32" s="67">
        <v>2052</v>
      </c>
      <c r="F32" s="15">
        <v>39.205150597217397</v>
      </c>
      <c r="G32" s="15">
        <v>47.284914768486992</v>
      </c>
      <c r="H32" s="15">
        <v>55.651691555794983</v>
      </c>
      <c r="I32" s="73">
        <v>63.874962035083776</v>
      </c>
      <c r="J32" s="81">
        <f ca="1">VLOOKUP($A32,'Growth Scenarios'!$A$3:$D$80,MATCH('Scenario Picker'!$B$2,'Growth Scenarios'!$B$2:$D$2,0)+1)</f>
        <v>9723663649</v>
      </c>
      <c r="K32" s="79">
        <f ca="1">VLOOKUP($A32,'Growth Scenarios'!$E$3:$I$80,MATCH('Scenario Picker'!$B$3,'Growth Scenarios'!$F$2:$I$2,0)+1)</f>
        <v>55.651691555794983</v>
      </c>
      <c r="L32" s="11"/>
    </row>
    <row r="33" spans="1:12" ht="15" x14ac:dyDescent="0.35">
      <c r="A33" s="67">
        <v>2053</v>
      </c>
      <c r="B33" s="16">
        <v>8948737100</v>
      </c>
      <c r="C33" s="16">
        <v>9760865381</v>
      </c>
      <c r="D33" s="68">
        <v>10590488317</v>
      </c>
      <c r="E33" s="67">
        <v>2053</v>
      </c>
      <c r="F33" s="15">
        <v>38.770018610866799</v>
      </c>
      <c r="G33" s="15">
        <v>47.284914768486992</v>
      </c>
      <c r="H33" s="15">
        <v>56.103902641314065</v>
      </c>
      <c r="I33" s="73">
        <v>64.77084465653769</v>
      </c>
      <c r="J33" s="81">
        <f ca="1">VLOOKUP($A33,'Growth Scenarios'!$A$3:$D$80,MATCH('Scenario Picker'!$B$2,'Growth Scenarios'!$B$2:$D$2,0)+1)</f>
        <v>9760865381</v>
      </c>
      <c r="K33" s="79">
        <f ca="1">VLOOKUP($A33,'Growth Scenarios'!$E$3:$I$80,MATCH('Scenario Picker'!$B$3,'Growth Scenarios'!$F$2:$I$2,0)+1)</f>
        <v>56.103902641314065</v>
      </c>
      <c r="L33" s="11"/>
    </row>
    <row r="34" spans="1:12" ht="15" x14ac:dyDescent="0.35">
      <c r="A34" s="67">
        <v>2054</v>
      </c>
      <c r="B34" s="16">
        <v>8946874020</v>
      </c>
      <c r="C34" s="16">
        <v>9796363847</v>
      </c>
      <c r="D34" s="68">
        <v>10668231353</v>
      </c>
      <c r="E34" s="67">
        <v>2054</v>
      </c>
      <c r="F34" s="15">
        <v>38.327206409070293</v>
      </c>
      <c r="G34" s="15">
        <v>47.284914768486992</v>
      </c>
      <c r="H34" s="15">
        <v>56.564095393713011</v>
      </c>
      <c r="I34" s="73">
        <v>65.682539886034363</v>
      </c>
      <c r="J34" s="81">
        <f ca="1">VLOOKUP($A34,'Growth Scenarios'!$A$3:$D$80,MATCH('Scenario Picker'!$B$2,'Growth Scenarios'!$B$2:$D$2,0)+1)</f>
        <v>9796363847</v>
      </c>
      <c r="K34" s="79">
        <f ca="1">VLOOKUP($A34,'Growth Scenarios'!$E$3:$I$80,MATCH('Scenario Picker'!$B$3,'Growth Scenarios'!$F$2:$I$2,0)+1)</f>
        <v>56.564095393713011</v>
      </c>
      <c r="L34" s="11"/>
    </row>
    <row r="35" spans="1:12" ht="15" x14ac:dyDescent="0.35">
      <c r="A35" s="67">
        <v>2055</v>
      </c>
      <c r="B35" s="16">
        <v>8942444911</v>
      </c>
      <c r="C35" s="16">
        <v>9830139471</v>
      </c>
      <c r="D35" s="68">
        <v>10745864365</v>
      </c>
      <c r="E35" s="67">
        <v>2055</v>
      </c>
      <c r="F35" s="15">
        <v>37.877703362432257</v>
      </c>
      <c r="G35" s="15">
        <v>47.284914768486992</v>
      </c>
      <c r="H35" s="15">
        <v>57.031241609207591</v>
      </c>
      <c r="I35" s="73">
        <v>66.608010732595275</v>
      </c>
      <c r="J35" s="81">
        <f ca="1">VLOOKUP($A35,'Growth Scenarios'!$A$3:$D$80,MATCH('Scenario Picker'!$B$2,'Growth Scenarios'!$B$2:$D$2,0)+1)</f>
        <v>9830139471</v>
      </c>
      <c r="K35" s="79">
        <f ca="1">VLOOKUP($A35,'Growth Scenarios'!$E$3:$I$80,MATCH('Scenario Picker'!$B$3,'Growth Scenarios'!$F$2:$I$2,0)+1)</f>
        <v>57.031241609207591</v>
      </c>
      <c r="L35" s="11"/>
    </row>
    <row r="36" spans="1:12" ht="15" x14ac:dyDescent="0.35">
      <c r="A36" s="67">
        <v>2056</v>
      </c>
      <c r="B36" s="16">
        <v>8935539936</v>
      </c>
      <c r="C36" s="16">
        <v>9862335670</v>
      </c>
      <c r="D36" s="68">
        <v>10823587538</v>
      </c>
      <c r="E36" s="67">
        <v>2056</v>
      </c>
      <c r="F36" s="15">
        <v>37.422547448706226</v>
      </c>
      <c r="G36" s="15">
        <v>47.284914768486992</v>
      </c>
      <c r="H36" s="15">
        <v>57.504262569015033</v>
      </c>
      <c r="I36" s="73">
        <v>67.545120129169433</v>
      </c>
      <c r="J36" s="81">
        <f ca="1">VLOOKUP($A36,'Growth Scenarios'!$A$3:$D$80,MATCH('Scenario Picker'!$B$2,'Growth Scenarios'!$B$2:$D$2,0)+1)</f>
        <v>9862335670</v>
      </c>
      <c r="K36" s="79">
        <f ca="1">VLOOKUP($A36,'Growth Scenarios'!$E$3:$I$80,MATCH('Scenario Picker'!$B$3,'Growth Scenarios'!$F$2:$I$2,0)+1)</f>
        <v>57.504262569015033</v>
      </c>
      <c r="L36" s="11"/>
    </row>
    <row r="37" spans="1:12" ht="15" x14ac:dyDescent="0.35">
      <c r="A37" s="67">
        <v>2057</v>
      </c>
      <c r="B37" s="16">
        <v>8926201486</v>
      </c>
      <c r="C37" s="16">
        <v>9893025114</v>
      </c>
      <c r="D37" s="68">
        <v>10901495104</v>
      </c>
      <c r="E37" s="67">
        <v>2057</v>
      </c>
      <c r="F37" s="15">
        <v>36.962818099686956</v>
      </c>
      <c r="G37" s="15">
        <v>47.284914768486992</v>
      </c>
      <c r="H37" s="15">
        <v>57.982036473224156</v>
      </c>
      <c r="I37" s="73">
        <v>68.491645659992756</v>
      </c>
      <c r="J37" s="81">
        <f ca="1">VLOOKUP($A37,'Growth Scenarios'!$A$3:$D$80,MATCH('Scenario Picker'!$B$2,'Growth Scenarios'!$B$2:$D$2,0)+1)</f>
        <v>9893025114</v>
      </c>
      <c r="K37" s="79">
        <f ca="1">VLOOKUP($A37,'Growth Scenarios'!$E$3:$I$80,MATCH('Scenario Picker'!$B$3,'Growth Scenarios'!$F$2:$I$2,0)+1)</f>
        <v>57.982036473224156</v>
      </c>
      <c r="L37" s="11"/>
    </row>
    <row r="38" spans="1:12" ht="15" x14ac:dyDescent="0.35">
      <c r="A38" s="67">
        <v>2058</v>
      </c>
      <c r="B38" s="16">
        <v>8914458863</v>
      </c>
      <c r="C38" s="16">
        <v>9922249272</v>
      </c>
      <c r="D38" s="68">
        <v>10979628049</v>
      </c>
      <c r="E38" s="67">
        <v>2058</v>
      </c>
      <c r="F38" s="15">
        <v>36.499628541949917</v>
      </c>
      <c r="G38" s="15">
        <v>47.284914768486992</v>
      </c>
      <c r="H38" s="15">
        <v>58.463406400684754</v>
      </c>
      <c r="I38" s="73">
        <v>69.445295330052161</v>
      </c>
      <c r="J38" s="81">
        <f ca="1">VLOOKUP($A38,'Growth Scenarios'!$A$3:$D$80,MATCH('Scenario Picker'!$B$2,'Growth Scenarios'!$B$2:$D$2,0)+1)</f>
        <v>9922249272</v>
      </c>
      <c r="K38" s="79">
        <f ca="1">VLOOKUP($A38,'Growth Scenarios'!$E$3:$I$80,MATCH('Scenario Picker'!$B$3,'Growth Scenarios'!$F$2:$I$2,0)+1)</f>
        <v>58.463406400684754</v>
      </c>
      <c r="L38" s="11"/>
    </row>
    <row r="39" spans="1:12" ht="15" x14ac:dyDescent="0.35">
      <c r="A39" s="67">
        <v>2059</v>
      </c>
      <c r="B39" s="16">
        <v>8900381497</v>
      </c>
      <c r="C39" s="16">
        <v>9950079486</v>
      </c>
      <c r="D39" s="68">
        <v>11058047591</v>
      </c>
      <c r="E39" s="67">
        <v>2059</v>
      </c>
      <c r="F39" s="15">
        <v>36.0341177217596</v>
      </c>
      <c r="G39" s="15">
        <v>47.284914768486992</v>
      </c>
      <c r="H39" s="15">
        <v>58.947188701049903</v>
      </c>
      <c r="I39" s="73">
        <v>70.403724190695044</v>
      </c>
      <c r="J39" s="81">
        <f ca="1">VLOOKUP($A39,'Growth Scenarios'!$A$3:$D$80,MATCH('Scenario Picker'!$B$2,'Growth Scenarios'!$B$2:$D$2,0)+1)</f>
        <v>9950079486</v>
      </c>
      <c r="K39" s="79">
        <f ca="1">VLOOKUP($A39,'Growth Scenarios'!$E$3:$I$80,MATCH('Scenario Picker'!$B$3,'Growth Scenarios'!$F$2:$I$2,0)+1)</f>
        <v>58.947188701049903</v>
      </c>
      <c r="L39" s="11"/>
    </row>
    <row r="40" spans="1:12" ht="15" x14ac:dyDescent="0.35">
      <c r="A40" s="67">
        <v>2060</v>
      </c>
      <c r="B40" s="16">
        <v>8884054037</v>
      </c>
      <c r="C40" s="16">
        <v>9976594679</v>
      </c>
      <c r="D40" s="68">
        <v>11136814462</v>
      </c>
      <c r="E40" s="67">
        <v>2060</v>
      </c>
      <c r="F40" s="15">
        <v>35.567441911624556</v>
      </c>
      <c r="G40" s="15">
        <v>47.284914768486992</v>
      </c>
      <c r="H40" s="15">
        <v>59.432181717666772</v>
      </c>
      <c r="I40" s="73">
        <v>71.364551620687863</v>
      </c>
      <c r="J40" s="81">
        <f ca="1">VLOOKUP($A40,'Growth Scenarios'!$A$3:$D$80,MATCH('Scenario Picker'!$B$2,'Growth Scenarios'!$B$2:$D$2,0)+1)</f>
        <v>9976594679</v>
      </c>
      <c r="K40" s="79">
        <f ca="1">VLOOKUP($A40,'Growth Scenarios'!$E$3:$I$80,MATCH('Scenario Picker'!$B$3,'Growth Scenarios'!$F$2:$I$2,0)+1)</f>
        <v>59.432181717666772</v>
      </c>
      <c r="L40" s="11"/>
    </row>
    <row r="41" spans="1:12" ht="15" x14ac:dyDescent="0.35">
      <c r="A41" s="67">
        <v>2061</v>
      </c>
      <c r="B41" s="16">
        <v>8865575454</v>
      </c>
      <c r="C41" s="16">
        <v>10001869905</v>
      </c>
      <c r="D41" s="68">
        <v>11215959888</v>
      </c>
      <c r="E41" s="67">
        <v>2061</v>
      </c>
      <c r="F41" s="15">
        <v>35.100766101489519</v>
      </c>
      <c r="G41" s="15">
        <v>47.284914768486992</v>
      </c>
      <c r="H41" s="15">
        <v>59.917174734283641</v>
      </c>
      <c r="I41" s="73">
        <v>72.325379050680695</v>
      </c>
      <c r="J41" s="81">
        <f ca="1">VLOOKUP($A41,'Growth Scenarios'!$A$3:$D$80,MATCH('Scenario Picker'!$B$2,'Growth Scenarios'!$B$2:$D$2,0)+1)</f>
        <v>10001869905</v>
      </c>
      <c r="K41" s="79">
        <f ca="1">VLOOKUP($A41,'Growth Scenarios'!$E$3:$I$80,MATCH('Scenario Picker'!$B$3,'Growth Scenarios'!$F$2:$I$2,0)+1)</f>
        <v>59.917174734283641</v>
      </c>
      <c r="L41" s="11"/>
    </row>
    <row r="42" spans="1:12" ht="15" x14ac:dyDescent="0.35">
      <c r="A42" s="67">
        <v>2062</v>
      </c>
      <c r="B42" s="16">
        <v>8845043371</v>
      </c>
      <c r="C42" s="16">
        <v>10025962521</v>
      </c>
      <c r="D42" s="68">
        <v>11295474302</v>
      </c>
      <c r="E42" s="67">
        <v>2062</v>
      </c>
      <c r="F42" s="15">
        <v>34.635255281299202</v>
      </c>
      <c r="G42" s="15">
        <v>47.284914768486992</v>
      </c>
      <c r="H42" s="15">
        <v>60.400957034648783</v>
      </c>
      <c r="I42" s="73">
        <v>73.283807911323564</v>
      </c>
      <c r="J42" s="81">
        <f ca="1">VLOOKUP($A42,'Growth Scenarios'!$A$3:$D$80,MATCH('Scenario Picker'!$B$2,'Growth Scenarios'!$B$2:$D$2,0)+1)</f>
        <v>10025962521</v>
      </c>
      <c r="K42" s="79">
        <f ca="1">VLOOKUP($A42,'Growth Scenarios'!$E$3:$I$80,MATCH('Scenario Picker'!$B$3,'Growth Scenarios'!$F$2:$I$2,0)+1)</f>
        <v>60.400957034648783</v>
      </c>
      <c r="L42" s="11"/>
    </row>
    <row r="43" spans="1:12" ht="15" x14ac:dyDescent="0.35">
      <c r="A43" s="67">
        <v>2063</v>
      </c>
      <c r="B43" s="16">
        <v>8822587979</v>
      </c>
      <c r="C43" s="16">
        <v>10048970678</v>
      </c>
      <c r="D43" s="68">
        <v>11375395203</v>
      </c>
      <c r="E43" s="67">
        <v>2063</v>
      </c>
      <c r="F43" s="15">
        <v>34.172065723562163</v>
      </c>
      <c r="G43" s="15">
        <v>47.284914768486992</v>
      </c>
      <c r="H43" s="15">
        <v>60.882326962109381</v>
      </c>
      <c r="I43" s="73">
        <v>74.237457581382984</v>
      </c>
      <c r="J43" s="81">
        <f ca="1">VLOOKUP($A43,'Growth Scenarios'!$A$3:$D$80,MATCH('Scenario Picker'!$B$2,'Growth Scenarios'!$B$2:$D$2,0)+1)</f>
        <v>10048970678</v>
      </c>
      <c r="K43" s="79">
        <f ca="1">VLOOKUP($A43,'Growth Scenarios'!$E$3:$I$80,MATCH('Scenario Picker'!$B$3,'Growth Scenarios'!$F$2:$I$2,0)+1)</f>
        <v>60.882326962109381</v>
      </c>
      <c r="L43" s="11"/>
    </row>
    <row r="44" spans="1:12" ht="15" x14ac:dyDescent="0.35">
      <c r="A44" s="67">
        <v>2064</v>
      </c>
      <c r="B44" s="16">
        <v>8798295537</v>
      </c>
      <c r="C44" s="16">
        <v>10070929392</v>
      </c>
      <c r="D44" s="68">
        <v>11455671669</v>
      </c>
      <c r="E44" s="67">
        <v>2064</v>
      </c>
      <c r="F44" s="15">
        <v>33.712336374542886</v>
      </c>
      <c r="G44" s="15">
        <v>47.284914768486992</v>
      </c>
      <c r="H44" s="15">
        <v>61.360100866318504</v>
      </c>
      <c r="I44" s="73">
        <v>75.183983112206306</v>
      </c>
      <c r="J44" s="81">
        <f ca="1">VLOOKUP($A44,'Growth Scenarios'!$A$3:$D$80,MATCH('Scenario Picker'!$B$2,'Growth Scenarios'!$B$2:$D$2,0)+1)</f>
        <v>10070929392</v>
      </c>
      <c r="K44" s="79">
        <f ca="1">VLOOKUP($A44,'Growth Scenarios'!$E$3:$I$80,MATCH('Scenario Picker'!$B$3,'Growth Scenarios'!$F$2:$I$2,0)+1)</f>
        <v>61.360100866318504</v>
      </c>
      <c r="L44" s="11"/>
    </row>
    <row r="45" spans="1:12" ht="15" x14ac:dyDescent="0.35">
      <c r="A45" s="67">
        <v>2065</v>
      </c>
      <c r="B45" s="16">
        <v>8772252269</v>
      </c>
      <c r="C45" s="16">
        <v>10091876081</v>
      </c>
      <c r="D45" s="68">
        <v>11536249764</v>
      </c>
      <c r="E45" s="67">
        <v>2065</v>
      </c>
      <c r="F45" s="15">
        <v>33.257180460816862</v>
      </c>
      <c r="G45" s="15">
        <v>47.284914768486992</v>
      </c>
      <c r="H45" s="15">
        <v>61.833121826125947</v>
      </c>
      <c r="I45" s="73">
        <v>76.121092508780492</v>
      </c>
      <c r="J45" s="81">
        <f ca="1">VLOOKUP($A45,'Growth Scenarios'!$A$3:$D$80,MATCH('Scenario Picker'!$B$2,'Growth Scenarios'!$B$2:$D$2,0)+1)</f>
        <v>10091876081</v>
      </c>
      <c r="K45" s="79">
        <f ca="1">VLOOKUP($A45,'Growth Scenarios'!$E$3:$I$80,MATCH('Scenario Picker'!$B$3,'Growth Scenarios'!$F$2:$I$2,0)+1)</f>
        <v>61.833121826125947</v>
      </c>
      <c r="L45" s="11"/>
    </row>
    <row r="46" spans="1:12" ht="15" x14ac:dyDescent="0.35">
      <c r="A46" s="67">
        <v>2066</v>
      </c>
      <c r="B46" s="16">
        <v>8744537010</v>
      </c>
      <c r="C46" s="16">
        <v>10111823041</v>
      </c>
      <c r="D46" s="68">
        <v>11617032414</v>
      </c>
      <c r="E46" s="67">
        <v>2066</v>
      </c>
      <c r="F46" s="15">
        <v>32.807677414178826</v>
      </c>
      <c r="G46" s="15">
        <v>47.284914768486992</v>
      </c>
      <c r="H46" s="15">
        <v>62.300268041620541</v>
      </c>
      <c r="I46" s="73">
        <v>77.046563355341377</v>
      </c>
      <c r="J46" s="81">
        <f ca="1">VLOOKUP($A46,'Growth Scenarios'!$A$3:$D$80,MATCH('Scenario Picker'!$B$2,'Growth Scenarios'!$B$2:$D$2,0)+1)</f>
        <v>10111823041</v>
      </c>
      <c r="K46" s="79">
        <f ca="1">VLOOKUP($A46,'Growth Scenarios'!$E$3:$I$80,MATCH('Scenario Picker'!$B$3,'Growth Scenarios'!$F$2:$I$2,0)+1)</f>
        <v>62.300268041620541</v>
      </c>
      <c r="L46" s="11"/>
    </row>
    <row r="47" spans="1:12" ht="15" x14ac:dyDescent="0.35">
      <c r="A47" s="67">
        <v>2067</v>
      </c>
      <c r="B47" s="16">
        <v>8715252033</v>
      </c>
      <c r="C47" s="16">
        <v>10130811174</v>
      </c>
      <c r="D47" s="68">
        <v>11697962642</v>
      </c>
      <c r="E47" s="67">
        <v>2067</v>
      </c>
      <c r="F47" s="15">
        <v>32.364865212382313</v>
      </c>
      <c r="G47" s="15">
        <v>47.284914768486992</v>
      </c>
      <c r="H47" s="15">
        <v>62.760460794019473</v>
      </c>
      <c r="I47" s="73">
        <v>77.958258584838049</v>
      </c>
      <c r="J47" s="81">
        <f ca="1">VLOOKUP($A47,'Growth Scenarios'!$A$3:$D$80,MATCH('Scenario Picker'!$B$2,'Growth Scenarios'!$B$2:$D$2,0)+1)</f>
        <v>10130811174</v>
      </c>
      <c r="K47" s="79">
        <f ca="1">VLOOKUP($A47,'Growth Scenarios'!$E$3:$I$80,MATCH('Scenario Picker'!$B$3,'Growth Scenarios'!$F$2:$I$2,0)+1)</f>
        <v>62.760460794019473</v>
      </c>
      <c r="L47" s="11"/>
    </row>
    <row r="48" spans="1:12" ht="15" x14ac:dyDescent="0.35">
      <c r="A48" s="67">
        <v>2068</v>
      </c>
      <c r="B48" s="16">
        <v>8684428212</v>
      </c>
      <c r="C48" s="16">
        <v>10148805547</v>
      </c>
      <c r="D48" s="68">
        <v>11778916376</v>
      </c>
      <c r="E48" s="67">
        <v>2068</v>
      </c>
      <c r="F48" s="15">
        <v>31.929733226031729</v>
      </c>
      <c r="G48" s="15">
        <v>47.284914768486992</v>
      </c>
      <c r="H48" s="15">
        <v>63.212671879538561</v>
      </c>
      <c r="I48" s="73">
        <v>78.85414120629197</v>
      </c>
      <c r="J48" s="81">
        <f ca="1">VLOOKUP($A48,'Growth Scenarios'!$A$3:$D$80,MATCH('Scenario Picker'!$B$2,'Growth Scenarios'!$B$2:$D$2,0)+1)</f>
        <v>10148805547</v>
      </c>
      <c r="K48" s="79">
        <f ca="1">VLOOKUP($A48,'Growth Scenarios'!$E$3:$I$80,MATCH('Scenario Picker'!$B$3,'Growth Scenarios'!$F$2:$I$2,0)+1)</f>
        <v>63.212671879538561</v>
      </c>
      <c r="L48" s="11"/>
    </row>
    <row r="49" spans="1:12" ht="15" x14ac:dyDescent="0.35">
      <c r="A49" s="67">
        <v>2069</v>
      </c>
      <c r="B49" s="16">
        <v>8652115936</v>
      </c>
      <c r="C49" s="16">
        <v>10165798334</v>
      </c>
      <c r="D49" s="68">
        <v>11859816208</v>
      </c>
      <c r="E49" s="67">
        <v>2069</v>
      </c>
      <c r="F49" s="15">
        <v>31.503215653304675</v>
      </c>
      <c r="G49" s="15">
        <v>47.284914768486992</v>
      </c>
      <c r="H49" s="15">
        <v>63.655930432359504</v>
      </c>
      <c r="I49" s="73">
        <v>79.732287821886914</v>
      </c>
      <c r="J49" s="81">
        <f ca="1">VLOOKUP($A49,'Growth Scenarios'!$A$3:$D$80,MATCH('Scenario Picker'!$B$2,'Growth Scenarios'!$B$2:$D$2,0)+1)</f>
        <v>10165798334</v>
      </c>
      <c r="K49" s="79">
        <f ca="1">VLOOKUP($A49,'Growth Scenarios'!$E$3:$I$80,MATCH('Scenario Picker'!$B$3,'Growth Scenarios'!$F$2:$I$2,0)+1)</f>
        <v>63.655930432359504</v>
      </c>
      <c r="L49" s="11"/>
    </row>
    <row r="50" spans="1:12" ht="15" x14ac:dyDescent="0.35">
      <c r="A50" s="67">
        <v>2070</v>
      </c>
      <c r="B50" s="16">
        <v>8618352322</v>
      </c>
      <c r="C50" s="16">
        <v>10181765935</v>
      </c>
      <c r="D50" s="68">
        <v>11940573515</v>
      </c>
      <c r="E50" s="67">
        <v>2070</v>
      </c>
      <c r="F50" s="15">
        <v>31.08618561424181</v>
      </c>
      <c r="G50" s="15">
        <v>47.284914768486992</v>
      </c>
      <c r="H50" s="15">
        <v>64.089329062141545</v>
      </c>
      <c r="I50" s="73">
        <v>80.590900786091396</v>
      </c>
      <c r="J50" s="81">
        <f ca="1">VLOOKUP($A50,'Growth Scenarios'!$A$3:$D$80,MATCH('Scenario Picker'!$B$2,'Growth Scenarios'!$B$2:$D$2,0)+1)</f>
        <v>10181765935</v>
      </c>
      <c r="K50" s="79">
        <f ca="1">VLOOKUP($A50,'Growth Scenarios'!$E$3:$I$80,MATCH('Scenario Picker'!$B$3,'Growth Scenarios'!$F$2:$I$2,0)+1)</f>
        <v>64.089329062141545</v>
      </c>
      <c r="L50" s="11"/>
    </row>
    <row r="51" spans="1:12" ht="15" x14ac:dyDescent="0.35">
      <c r="A51" s="67">
        <v>2071</v>
      </c>
      <c r="B51" s="16">
        <v>8583184807</v>
      </c>
      <c r="C51" s="16">
        <v>10196717983</v>
      </c>
      <c r="D51" s="68">
        <v>12021164167</v>
      </c>
      <c r="E51" s="67">
        <v>2071</v>
      </c>
      <c r="F51" s="15">
        <v>30.67944996531957</v>
      </c>
      <c r="G51" s="15">
        <v>47.284914768486992</v>
      </c>
      <c r="H51" s="15">
        <v>64.512029242978727</v>
      </c>
      <c r="I51" s="73">
        <v>81.428318881808309</v>
      </c>
      <c r="J51" s="81">
        <f ca="1">VLOOKUP($A51,'Growth Scenarios'!$A$3:$D$80,MATCH('Scenario Picker'!$B$2,'Growth Scenarios'!$B$2:$D$2,0)+1)</f>
        <v>10196717983</v>
      </c>
      <c r="K51" s="79">
        <f ca="1">VLOOKUP($A51,'Growth Scenarios'!$E$3:$I$80,MATCH('Scenario Picker'!$B$3,'Growth Scenarios'!$F$2:$I$2,0)+1)</f>
        <v>64.512029242978727</v>
      </c>
      <c r="L51" s="11"/>
    </row>
    <row r="52" spans="1:12" ht="15" x14ac:dyDescent="0.35">
      <c r="A52" s="67">
        <v>2072</v>
      </c>
      <c r="B52" s="16">
        <v>8546642865</v>
      </c>
      <c r="C52" s="16">
        <v>10210645154</v>
      </c>
      <c r="D52" s="68">
        <v>12101551813</v>
      </c>
      <c r="E52" s="67">
        <v>2072</v>
      </c>
      <c r="F52" s="15">
        <v>30.283744883154831</v>
      </c>
      <c r="G52" s="15">
        <v>47.284914768486992</v>
      </c>
      <c r="H52" s="15">
        <v>64.923265903036523</v>
      </c>
      <c r="I52" s="73">
        <v>82.243026412977358</v>
      </c>
      <c r="J52" s="81">
        <f ca="1">VLOOKUP($A52,'Growth Scenarios'!$A$3:$D$80,MATCH('Scenario Picker'!$B$2,'Growth Scenarios'!$B$2:$D$2,0)+1)</f>
        <v>10210645154</v>
      </c>
      <c r="K52" s="79">
        <f ca="1">VLOOKUP($A52,'Growth Scenarios'!$E$3:$I$80,MATCH('Scenario Picker'!$B$3,'Growth Scenarios'!$F$2:$I$2,0)+1)</f>
        <v>64.923265903036523</v>
      </c>
      <c r="L52" s="11"/>
    </row>
    <row r="53" spans="1:12" ht="15" x14ac:dyDescent="0.35">
      <c r="A53" s="67">
        <v>2073</v>
      </c>
      <c r="B53" s="16">
        <v>8508687157</v>
      </c>
      <c r="C53" s="16">
        <v>10223465184</v>
      </c>
      <c r="D53" s="68">
        <v>12181632528</v>
      </c>
      <c r="E53" s="67">
        <v>2073</v>
      </c>
      <c r="F53" s="15">
        <v>29.899732253730232</v>
      </c>
      <c r="G53" s="15">
        <v>47.284914768486992</v>
      </c>
      <c r="H53" s="15">
        <v>65.322351177050876</v>
      </c>
      <c r="I53" s="73">
        <v>83.033660638711183</v>
      </c>
      <c r="J53" s="81">
        <f ca="1">VLOOKUP($A53,'Growth Scenarios'!$A$3:$D$80,MATCH('Scenario Picker'!$B$2,'Growth Scenarios'!$B$2:$D$2,0)+1)</f>
        <v>10223465184</v>
      </c>
      <c r="K53" s="79">
        <f ca="1">VLOOKUP($A53,'Growth Scenarios'!$E$3:$I$80,MATCH('Scenario Picker'!$B$3,'Growth Scenarios'!$F$2:$I$2,0)+1)</f>
        <v>65.322351177050876</v>
      </c>
      <c r="L53" s="11"/>
    </row>
    <row r="54" spans="1:12" ht="15" x14ac:dyDescent="0.35">
      <c r="A54" s="67">
        <v>2074</v>
      </c>
      <c r="B54" s="16">
        <v>8469353044</v>
      </c>
      <c r="C54" s="16">
        <v>10235190464</v>
      </c>
      <c r="D54" s="68">
        <v>12261422777</v>
      </c>
      <c r="E54" s="67">
        <v>2074</v>
      </c>
      <c r="F54" s="15">
        <v>29.527996890732911</v>
      </c>
      <c r="G54" s="15">
        <v>47.284914768486992</v>
      </c>
      <c r="H54" s="15">
        <v>65.708677297170681</v>
      </c>
      <c r="I54" s="73">
        <v>83.799017500389567</v>
      </c>
      <c r="J54" s="81">
        <f ca="1">VLOOKUP($A54,'Growth Scenarios'!$A$3:$D$80,MATCH('Scenario Picker'!$B$2,'Growth Scenarios'!$B$2:$D$2,0)+1)</f>
        <v>10235190464</v>
      </c>
      <c r="K54" s="79">
        <f ca="1">VLOOKUP($A54,'Growth Scenarios'!$E$3:$I$80,MATCH('Scenario Picker'!$B$3,'Growth Scenarios'!$F$2:$I$2,0)+1)</f>
        <v>65.708677297170681</v>
      </c>
      <c r="L54" s="11"/>
    </row>
    <row r="55" spans="1:12" ht="15" x14ac:dyDescent="0.35">
      <c r="A55" s="67">
        <v>2075</v>
      </c>
      <c r="B55" s="16">
        <v>8428626668</v>
      </c>
      <c r="C55" s="16">
        <v>10245779647</v>
      </c>
      <c r="D55" s="68">
        <v>12340888367</v>
      </c>
      <c r="E55" s="67">
        <v>2075</v>
      </c>
      <c r="F55" s="15">
        <v>29.169044593728866</v>
      </c>
      <c r="G55" s="15">
        <v>47.284914768486992</v>
      </c>
      <c r="H55" s="15">
        <v>66.081718611000881</v>
      </c>
      <c r="I55" s="73">
        <v>84.538055619636893</v>
      </c>
      <c r="J55" s="81">
        <f ca="1">VLOOKUP($A55,'Growth Scenarios'!$A$3:$D$80,MATCH('Scenario Picker'!$B$2,'Growth Scenarios'!$B$2:$D$2,0)+1)</f>
        <v>10245779647</v>
      </c>
      <c r="K55" s="79">
        <f ca="1">VLOOKUP($A55,'Growth Scenarios'!$E$3:$I$80,MATCH('Scenario Picker'!$B$3,'Growth Scenarios'!$F$2:$I$2,0)+1)</f>
        <v>66.081718611000881</v>
      </c>
      <c r="L55" s="11"/>
    </row>
    <row r="56" spans="1:12" ht="15" x14ac:dyDescent="0.35">
      <c r="A56" s="67">
        <v>2076</v>
      </c>
      <c r="B56" s="16">
        <v>8386503596</v>
      </c>
      <c r="C56" s="16">
        <v>10255213216</v>
      </c>
      <c r="D56" s="68">
        <v>12420036107</v>
      </c>
      <c r="E56" s="67">
        <v>2076</v>
      </c>
      <c r="F56" s="15">
        <v>28.823301044204019</v>
      </c>
      <c r="G56" s="15">
        <v>47.284914768486992</v>
      </c>
      <c r="H56" s="15">
        <v>66.441032728892196</v>
      </c>
      <c r="I56" s="73">
        <v>85.249898571236272</v>
      </c>
      <c r="J56" s="81">
        <f ca="1">VLOOKUP($A56,'Growth Scenarios'!$A$3:$D$80,MATCH('Scenario Picker'!$B$2,'Growth Scenarios'!$B$2:$D$2,0)+1)</f>
        <v>10255213216</v>
      </c>
      <c r="K56" s="79">
        <f ca="1">VLOOKUP($A56,'Growth Scenarios'!$E$3:$I$80,MATCH('Scenario Picker'!$B$3,'Growth Scenarios'!$F$2:$I$2,0)+1)</f>
        <v>66.441032728892196</v>
      </c>
      <c r="L56" s="11"/>
    </row>
    <row r="57" spans="1:12" ht="15" x14ac:dyDescent="0.35">
      <c r="A57" s="67">
        <v>2077</v>
      </c>
      <c r="B57" s="16">
        <v>8342989249</v>
      </c>
      <c r="C57" s="16">
        <v>10263489648</v>
      </c>
      <c r="D57" s="68">
        <v>12498906340</v>
      </c>
      <c r="E57" s="67">
        <v>2077</v>
      </c>
      <c r="F57" s="15">
        <v>28.491111525235596</v>
      </c>
      <c r="G57" s="15">
        <v>47.284914768486992</v>
      </c>
      <c r="H57" s="15">
        <v>66.786260815272726</v>
      </c>
      <c r="I57" s="73">
        <v>85.933835460291277</v>
      </c>
      <c r="J57" s="81">
        <f ca="1">VLOOKUP($A57,'Growth Scenarios'!$A$3:$D$80,MATCH('Scenario Picker'!$B$2,'Growth Scenarios'!$B$2:$D$2,0)+1)</f>
        <v>10263489648</v>
      </c>
      <c r="K57" s="79">
        <f ca="1">VLOOKUP($A57,'Growth Scenarios'!$E$3:$I$80,MATCH('Scenario Picker'!$B$3,'Growth Scenarios'!$F$2:$I$2,0)+1)</f>
        <v>66.786260815272726</v>
      </c>
      <c r="L57" s="11"/>
    </row>
    <row r="58" spans="1:12" ht="15" x14ac:dyDescent="0.35">
      <c r="A58" s="67">
        <v>2078</v>
      </c>
      <c r="B58" s="16">
        <v>8298086442</v>
      </c>
      <c r="C58" s="16">
        <v>10270600397</v>
      </c>
      <c r="D58" s="68">
        <v>12577530640</v>
      </c>
      <c r="E58" s="67">
        <v>2078</v>
      </c>
      <c r="F58" s="15">
        <v>28.172741438940758</v>
      </c>
      <c r="G58" s="15">
        <v>47.284914768486992</v>
      </c>
      <c r="H58" s="15">
        <v>67.117127050889323</v>
      </c>
      <c r="I58" s="73">
        <v>86.589319856863582</v>
      </c>
      <c r="J58" s="81">
        <f ca="1">VLOOKUP($A58,'Growth Scenarios'!$A$3:$D$80,MATCH('Scenario Picker'!$B$2,'Growth Scenarios'!$B$2:$D$2,0)+1)</f>
        <v>10270600397</v>
      </c>
      <c r="K58" s="79">
        <f ca="1">VLOOKUP($A58,'Growth Scenarios'!$E$3:$I$80,MATCH('Scenario Picker'!$B$3,'Growth Scenarios'!$F$2:$I$2,0)+1)</f>
        <v>67.117127050889323</v>
      </c>
      <c r="L58" s="11"/>
    </row>
    <row r="59" spans="1:12" ht="15" x14ac:dyDescent="0.35">
      <c r="A59" s="67">
        <v>2079</v>
      </c>
      <c r="B59" s="16">
        <v>8251775028</v>
      </c>
      <c r="C59" s="16">
        <v>10276512248</v>
      </c>
      <c r="D59" s="68">
        <v>12655916695</v>
      </c>
      <c r="E59" s="67">
        <v>2079</v>
      </c>
      <c r="F59" s="15">
        <v>27.868377585088272</v>
      </c>
      <c r="G59" s="15">
        <v>47.284914768486992</v>
      </c>
      <c r="H59" s="15">
        <v>67.433437304009871</v>
      </c>
      <c r="I59" s="73">
        <v>87.215967163470665</v>
      </c>
      <c r="J59" s="81">
        <f ca="1">VLOOKUP($A59,'Growth Scenarios'!$A$3:$D$80,MATCH('Scenario Picker'!$B$2,'Growth Scenarios'!$B$2:$D$2,0)+1)</f>
        <v>10276512248</v>
      </c>
      <c r="K59" s="79">
        <f ca="1">VLOOKUP($A59,'Growth Scenarios'!$E$3:$I$80,MATCH('Scenario Picker'!$B$3,'Growth Scenarios'!$F$2:$I$2,0)+1)</f>
        <v>67.433437304009871</v>
      </c>
      <c r="L59" s="11"/>
    </row>
    <row r="60" spans="1:12" ht="15" x14ac:dyDescent="0.35">
      <c r="A60" s="67">
        <v>2080</v>
      </c>
      <c r="B60" s="16">
        <v>8204091507</v>
      </c>
      <c r="C60" s="16">
        <v>10281262698</v>
      </c>
      <c r="D60" s="68">
        <v>12734155524</v>
      </c>
      <c r="E60" s="67">
        <v>2080</v>
      </c>
      <c r="F60" s="15">
        <v>27.578130154532939</v>
      </c>
      <c r="G60" s="15">
        <v>47.284914768486992</v>
      </c>
      <c r="H60" s="15">
        <v>67.735077058745802</v>
      </c>
      <c r="I60" s="73">
        <v>87.813550510852238</v>
      </c>
      <c r="J60" s="81">
        <f ca="1">VLOOKUP($A60,'Growth Scenarios'!$A$3:$D$80,MATCH('Scenario Picker'!$B$2,'Growth Scenarios'!$B$2:$D$2,0)+1)</f>
        <v>10281262698</v>
      </c>
      <c r="K60" s="79">
        <f ca="1">VLOOKUP($A60,'Growth Scenarios'!$E$3:$I$80,MATCH('Scenario Picker'!$B$3,'Growth Scenarios'!$F$2:$I$2,0)+1)</f>
        <v>67.735077058745802</v>
      </c>
      <c r="L60" s="11"/>
    </row>
    <row r="61" spans="1:12" ht="15" x14ac:dyDescent="0.35">
      <c r="A61" s="67">
        <v>2081</v>
      </c>
      <c r="B61" s="16">
        <v>8155069166</v>
      </c>
      <c r="C61" s="16">
        <v>10284893359</v>
      </c>
      <c r="D61" s="68">
        <v>12812350298</v>
      </c>
      <c r="E61" s="67">
        <v>2081</v>
      </c>
      <c r="F61" s="15">
        <v>27.302035382590276</v>
      </c>
      <c r="G61" s="15">
        <v>47.284914768486992</v>
      </c>
      <c r="H61" s="15">
        <v>68.022008657531416</v>
      </c>
      <c r="I61" s="73">
        <v>88.381995295001985</v>
      </c>
      <c r="J61" s="81">
        <f ca="1">VLOOKUP($A61,'Growth Scenarios'!$A$3:$D$80,MATCH('Scenario Picker'!$B$2,'Growth Scenarios'!$B$2:$D$2,0)+1)</f>
        <v>10284893359</v>
      </c>
      <c r="K61" s="79">
        <f ca="1">VLOOKUP($A61,'Growth Scenarios'!$E$3:$I$80,MATCH('Scenario Picker'!$B$3,'Growth Scenarios'!$F$2:$I$2,0)+1)</f>
        <v>68.022008657531416</v>
      </c>
      <c r="L61" s="11"/>
    </row>
    <row r="62" spans="1:12" ht="15" x14ac:dyDescent="0.35">
      <c r="A62" s="67">
        <v>2082</v>
      </c>
      <c r="B62" s="16">
        <v>8104741389</v>
      </c>
      <c r="C62" s="16">
        <v>10287430111</v>
      </c>
      <c r="D62" s="68">
        <v>12890566260</v>
      </c>
      <c r="E62" s="67">
        <v>2082</v>
      </c>
      <c r="F62" s="15">
        <v>27.040058800228799</v>
      </c>
      <c r="G62" s="15">
        <v>47.284914768486992</v>
      </c>
      <c r="H62" s="15">
        <v>68.294267922321055</v>
      </c>
      <c r="I62" s="73">
        <v>88.921372483367165</v>
      </c>
      <c r="J62" s="81">
        <f ca="1">VLOOKUP($A62,'Growth Scenarios'!$A$3:$D$80,MATCH('Scenario Picker'!$B$2,'Growth Scenarios'!$B$2:$D$2,0)+1)</f>
        <v>10287430111</v>
      </c>
      <c r="K62" s="79">
        <f ca="1">VLOOKUP($A62,'Growth Scenarios'!$E$3:$I$80,MATCH('Scenario Picker'!$B$3,'Growth Scenarios'!$F$2:$I$2,0)+1)</f>
        <v>68.294267922321055</v>
      </c>
      <c r="L62" s="11"/>
    </row>
    <row r="63" spans="1:12" ht="15" x14ac:dyDescent="0.35">
      <c r="A63" s="67">
        <v>2083</v>
      </c>
      <c r="B63" s="16">
        <v>8053191432</v>
      </c>
      <c r="C63" s="16">
        <v>10288979989</v>
      </c>
      <c r="D63" s="68">
        <v>12968978559</v>
      </c>
      <c r="E63" s="67">
        <v>2083</v>
      </c>
      <c r="F63" s="15">
        <v>26.792099015102487</v>
      </c>
      <c r="G63" s="15">
        <v>47.284914768486992</v>
      </c>
      <c r="H63" s="15">
        <v>68.551960225149614</v>
      </c>
      <c r="I63" s="73">
        <v>89.431890830173174</v>
      </c>
      <c r="J63" s="81">
        <f ca="1">VLOOKUP($A63,'Growth Scenarios'!$A$3:$D$80,MATCH('Scenario Picker'!$B$2,'Growth Scenarios'!$B$2:$D$2,0)+1)</f>
        <v>10288979989</v>
      </c>
      <c r="K63" s="79">
        <f ca="1">VLOOKUP($A63,'Growth Scenarios'!$E$3:$I$80,MATCH('Scenario Picker'!$B$3,'Growth Scenarios'!$F$2:$I$2,0)+1)</f>
        <v>68.551960225149614</v>
      </c>
      <c r="L63" s="11"/>
    </row>
    <row r="64" spans="1:12" ht="15" x14ac:dyDescent="0.35">
      <c r="A64" s="67">
        <v>2084</v>
      </c>
      <c r="B64" s="16">
        <v>8000404711</v>
      </c>
      <c r="C64" s="16">
        <v>10289514658</v>
      </c>
      <c r="D64" s="68">
        <v>13047577724</v>
      </c>
      <c r="E64" s="67">
        <v>2084</v>
      </c>
      <c r="F64" s="15">
        <v>26.557991950026715</v>
      </c>
      <c r="G64" s="15">
        <v>47.284914768486992</v>
      </c>
      <c r="H64" s="15">
        <v>68.795256083294831</v>
      </c>
      <c r="I64" s="73">
        <v>89.913888149928894</v>
      </c>
      <c r="J64" s="81">
        <f ca="1">VLOOKUP($A64,'Growth Scenarios'!$A$3:$D$80,MATCH('Scenario Picker'!$B$2,'Growth Scenarios'!$B$2:$D$2,0)+1)</f>
        <v>10289514658</v>
      </c>
      <c r="K64" s="79">
        <f ca="1">VLOOKUP($A64,'Growth Scenarios'!$E$3:$I$80,MATCH('Scenario Picker'!$B$3,'Growth Scenarios'!$F$2:$I$2,0)+1)</f>
        <v>68.795256083294831</v>
      </c>
      <c r="L64" s="11"/>
    </row>
    <row r="65" spans="1:12" ht="15" x14ac:dyDescent="0.35">
      <c r="A65" s="67">
        <v>2085</v>
      </c>
      <c r="B65" s="16">
        <v>7946456830</v>
      </c>
      <c r="C65" s="16">
        <v>10289115830</v>
      </c>
      <c r="D65" s="68">
        <v>13126478913</v>
      </c>
      <c r="E65" s="67">
        <v>2085</v>
      </c>
      <c r="F65" s="15">
        <v>26.33751546353302</v>
      </c>
      <c r="G65" s="15">
        <v>47.284914768486992</v>
      </c>
      <c r="H65" s="15">
        <v>69.024386357363937</v>
      </c>
      <c r="I65" s="73">
        <v>90.367821804279401</v>
      </c>
      <c r="J65" s="81">
        <f ca="1">VLOOKUP($A65,'Growth Scenarios'!$A$3:$D$80,MATCH('Scenario Picker'!$B$2,'Growth Scenarios'!$B$2:$D$2,0)+1)</f>
        <v>10289115830</v>
      </c>
      <c r="K65" s="79">
        <f ca="1">VLOOKUP($A65,'Growth Scenarios'!$E$3:$I$80,MATCH('Scenario Picker'!$B$3,'Growth Scenarios'!$F$2:$I$2,0)+1)</f>
        <v>69.024386357363937</v>
      </c>
      <c r="L65" s="11"/>
    </row>
    <row r="66" spans="1:12" ht="15" x14ac:dyDescent="0.35">
      <c r="A66" s="67">
        <v>2086</v>
      </c>
      <c r="B66" s="16">
        <v>7891365386</v>
      </c>
      <c r="C66" s="16">
        <v>10287797368</v>
      </c>
      <c r="D66" s="68">
        <v>13205711278</v>
      </c>
      <c r="E66" s="67">
        <v>2086</v>
      </c>
      <c r="F66" s="15">
        <v>26.130394275605035</v>
      </c>
      <c r="G66" s="15">
        <v>47.284914768486992</v>
      </c>
      <c r="H66" s="15">
        <v>69.239637132220679</v>
      </c>
      <c r="I66" s="73">
        <v>90.79425856052849</v>
      </c>
      <c r="J66" s="81">
        <f ca="1">VLOOKUP($A66,'Growth Scenarios'!$A$3:$D$80,MATCH('Scenario Picker'!$B$2,'Growth Scenarios'!$B$2:$D$2,0)+1)</f>
        <v>10287797368</v>
      </c>
      <c r="K66" s="79">
        <f ca="1">VLOOKUP($A66,'Growth Scenarios'!$E$3:$I$80,MATCH('Scenario Picker'!$B$3,'Growth Scenarios'!$F$2:$I$2,0)+1)</f>
        <v>69.239637132220679</v>
      </c>
      <c r="L66" s="11"/>
    </row>
    <row r="67" spans="1:12" ht="15" x14ac:dyDescent="0.35">
      <c r="A67" s="67">
        <v>2087</v>
      </c>
      <c r="B67" s="16">
        <v>7835192737</v>
      </c>
      <c r="C67" s="16">
        <v>10285619351</v>
      </c>
      <c r="D67" s="68">
        <v>13285346203</v>
      </c>
      <c r="E67" s="67">
        <v>2087</v>
      </c>
      <c r="F67" s="15">
        <v>25.936305121552905</v>
      </c>
      <c r="G67" s="15">
        <v>47.284914768486992</v>
      </c>
      <c r="H67" s="15">
        <v>69.441344360819301</v>
      </c>
      <c r="I67" s="73">
        <v>91.193863980452505</v>
      </c>
      <c r="J67" s="81">
        <f ca="1">VLOOKUP($A67,'Growth Scenarios'!$A$3:$D$80,MATCH('Scenario Picker'!$B$2,'Growth Scenarios'!$B$2:$D$2,0)+1)</f>
        <v>10285619351</v>
      </c>
      <c r="K67" s="79">
        <f ca="1">VLOOKUP($A67,'Growth Scenarios'!$E$3:$I$80,MATCH('Scenario Picker'!$B$3,'Growth Scenarios'!$F$2:$I$2,0)+1)</f>
        <v>69.441344360819301</v>
      </c>
      <c r="L67" s="11"/>
    </row>
    <row r="68" spans="1:12" ht="15" x14ac:dyDescent="0.35">
      <c r="A68" s="67">
        <v>2088</v>
      </c>
      <c r="B68" s="16">
        <v>7777963333</v>
      </c>
      <c r="C68" s="16">
        <v>10282603396</v>
      </c>
      <c r="D68" s="68">
        <v>13365407548</v>
      </c>
      <c r="E68" s="67">
        <v>2088</v>
      </c>
      <c r="F68" s="15">
        <v>25.754882058151907</v>
      </c>
      <c r="G68" s="15">
        <v>47.284914768486992</v>
      </c>
      <c r="H68" s="15">
        <v>69.629888349798009</v>
      </c>
      <c r="I68" s="73">
        <v>91.567391495621038</v>
      </c>
      <c r="J68" s="81">
        <f ca="1">VLOOKUP($A68,'Growth Scenarios'!$A$3:$D$80,MATCH('Scenario Picker'!$B$2,'Growth Scenarios'!$B$2:$D$2,0)+1)</f>
        <v>10282603396</v>
      </c>
      <c r="K68" s="79">
        <f ca="1">VLOOKUP($A68,'Growth Scenarios'!$E$3:$I$80,MATCH('Scenario Picker'!$B$3,'Growth Scenarios'!$F$2:$I$2,0)+1)</f>
        <v>69.629888349798009</v>
      </c>
      <c r="L68" s="11"/>
    </row>
    <row r="69" spans="1:12" ht="15" x14ac:dyDescent="0.35">
      <c r="A69" s="67">
        <v>2089</v>
      </c>
      <c r="B69" s="16">
        <v>7719737518</v>
      </c>
      <c r="C69" s="16">
        <v>10278805749</v>
      </c>
      <c r="D69" s="68">
        <v>13445945413</v>
      </c>
      <c r="E69" s="67">
        <v>2089</v>
      </c>
      <c r="F69" s="15">
        <v>25.585721848553696</v>
      </c>
      <c r="G69" s="15">
        <v>47.284914768486992</v>
      </c>
      <c r="H69" s="15">
        <v>69.805688163207748</v>
      </c>
      <c r="I69" s="73">
        <v>91.915671320534756</v>
      </c>
      <c r="J69" s="81">
        <f ca="1">VLOOKUP($A69,'Growth Scenarios'!$A$3:$D$80,MATCH('Scenario Picker'!$B$2,'Growth Scenarios'!$B$2:$D$2,0)+1)</f>
        <v>10278805749</v>
      </c>
      <c r="K69" s="79">
        <f ca="1">VLOOKUP($A69,'Growth Scenarios'!$E$3:$I$80,MATCH('Scenario Picker'!$B$3,'Growth Scenarios'!$F$2:$I$2,0)+1)</f>
        <v>69.805688163207748</v>
      </c>
      <c r="L69" s="11"/>
    </row>
    <row r="70" spans="1:12" ht="15" x14ac:dyDescent="0.35">
      <c r="A70" s="67">
        <v>2090</v>
      </c>
      <c r="B70" s="16">
        <v>7660529339</v>
      </c>
      <c r="C70" s="16">
        <v>10274230810</v>
      </c>
      <c r="D70" s="68">
        <v>13526948101</v>
      </c>
      <c r="E70" s="67">
        <v>2090</v>
      </c>
      <c r="F70" s="15">
        <v>25.428389355956465</v>
      </c>
      <c r="G70" s="15">
        <v>47.284914768486992</v>
      </c>
      <c r="H70" s="15">
        <v>69.969196017138501</v>
      </c>
      <c r="I70" s="73">
        <v>92.239599347729524</v>
      </c>
      <c r="J70" s="81">
        <f ca="1">VLOOKUP($A70,'Growth Scenarios'!$A$3:$D$80,MATCH('Scenario Picker'!$B$2,'Growth Scenarios'!$B$2:$D$2,0)+1)</f>
        <v>10274230810</v>
      </c>
      <c r="K70" s="79">
        <f ca="1">VLOOKUP($A70,'Growth Scenarios'!$E$3:$I$80,MATCH('Scenario Picker'!$B$3,'Growth Scenarios'!$F$2:$I$2,0)+1)</f>
        <v>69.969196017138501</v>
      </c>
      <c r="L70" s="11"/>
    </row>
    <row r="71" spans="1:12" ht="15" x14ac:dyDescent="0.35">
      <c r="A71" s="67">
        <v>2091</v>
      </c>
      <c r="B71" s="16">
        <v>7600378118</v>
      </c>
      <c r="C71" s="16">
        <v>10268899331</v>
      </c>
      <c r="D71" s="68">
        <v>13608403177</v>
      </c>
      <c r="E71" s="67">
        <v>2091</v>
      </c>
      <c r="F71" s="15">
        <v>25.282422880457041</v>
      </c>
      <c r="G71" s="15">
        <v>47.284914768486992</v>
      </c>
      <c r="H71" s="15">
        <v>70.120891733393677</v>
      </c>
      <c r="I71" s="73">
        <v>92.540126159861998</v>
      </c>
      <c r="J71" s="81">
        <f ca="1">VLOOKUP($A71,'Growth Scenarios'!$A$3:$D$80,MATCH('Scenario Picker'!$B$2,'Growth Scenarios'!$B$2:$D$2,0)+1)</f>
        <v>10268899331</v>
      </c>
      <c r="K71" s="79">
        <f ca="1">VLOOKUP($A71,'Growth Scenarios'!$E$3:$I$80,MATCH('Scenario Picker'!$B$3,'Growth Scenarios'!$F$2:$I$2,0)+1)</f>
        <v>70.120891733393677</v>
      </c>
      <c r="L71" s="11"/>
    </row>
    <row r="72" spans="1:12" ht="15" x14ac:dyDescent="0.35">
      <c r="A72" s="67">
        <v>2092</v>
      </c>
      <c r="B72" s="16">
        <v>7539315006</v>
      </c>
      <c r="C72" s="16">
        <v>10262824096</v>
      </c>
      <c r="D72" s="68">
        <v>13690286310</v>
      </c>
      <c r="E72" s="67">
        <v>2092</v>
      </c>
      <c r="F72" s="15">
        <v>25.147339378755888</v>
      </c>
      <c r="G72" s="15">
        <v>47.284914768486992</v>
      </c>
      <c r="H72" s="15">
        <v>70.261277314909591</v>
      </c>
      <c r="I72" s="73">
        <v>92.818246282986422</v>
      </c>
      <c r="J72" s="81">
        <f ca="1">VLOOKUP($A72,'Growth Scenarios'!$A$3:$D$80,MATCH('Scenario Picker'!$B$2,'Growth Scenarios'!$B$2:$D$2,0)+1)</f>
        <v>10262824096</v>
      </c>
      <c r="K72" s="79">
        <f ca="1">VLOOKUP($A72,'Growth Scenarios'!$E$3:$I$80,MATCH('Scenario Picker'!$B$3,'Growth Scenarios'!$F$2:$I$2,0)+1)</f>
        <v>70.261277314909591</v>
      </c>
      <c r="L72" s="11"/>
    </row>
    <row r="73" spans="1:12" ht="15" x14ac:dyDescent="0.35">
      <c r="A73" s="67">
        <v>2093</v>
      </c>
      <c r="B73" s="16">
        <v>7477351994</v>
      </c>
      <c r="C73" s="16">
        <v>10255992655</v>
      </c>
      <c r="D73" s="68">
        <v>13772537713</v>
      </c>
      <c r="E73" s="67">
        <v>2093</v>
      </c>
      <c r="F73" s="15">
        <v>25.022639512289455</v>
      </c>
      <c r="G73" s="15">
        <v>47.284914768486992</v>
      </c>
      <c r="H73" s="15">
        <v>70.390871699481991</v>
      </c>
      <c r="I73" s="73">
        <v>93.074987793078236</v>
      </c>
      <c r="J73" s="81">
        <f ca="1">VLOOKUP($A73,'Growth Scenarios'!$A$3:$D$80,MATCH('Scenario Picker'!$B$2,'Growth Scenarios'!$B$2:$D$2,0)+1)</f>
        <v>10255992655</v>
      </c>
      <c r="K73" s="79">
        <f ca="1">VLOOKUP($A73,'Growth Scenarios'!$E$3:$I$80,MATCH('Scenario Picker'!$B$3,'Growth Scenarios'!$F$2:$I$2,0)+1)</f>
        <v>70.390871699481991</v>
      </c>
      <c r="L73" s="11"/>
    </row>
    <row r="74" spans="1:12" ht="15" x14ac:dyDescent="0.35">
      <c r="A74" s="67">
        <v>2094</v>
      </c>
      <c r="B74" s="16">
        <v>7414495578</v>
      </c>
      <c r="C74" s="16">
        <v>10248376862</v>
      </c>
      <c r="D74" s="68">
        <v>13855070025</v>
      </c>
      <c r="E74" s="67">
        <v>2094</v>
      </c>
      <c r="F74" s="15">
        <v>24.907812475763514</v>
      </c>
      <c r="G74" s="15">
        <v>47.284914768486992</v>
      </c>
      <c r="H74" s="15">
        <v>70.510205741710948</v>
      </c>
      <c r="I74" s="73">
        <v>93.311402374684661</v>
      </c>
      <c r="J74" s="81">
        <f ca="1">VLOOKUP($A74,'Growth Scenarios'!$A$3:$D$80,MATCH('Scenario Picker'!$B$2,'Growth Scenarios'!$B$2:$D$2,0)+1)</f>
        <v>10248376862</v>
      </c>
      <c r="K74" s="79">
        <f ca="1">VLOOKUP($A74,'Growth Scenarios'!$E$3:$I$80,MATCH('Scenario Picker'!$B$3,'Growth Scenarios'!$F$2:$I$2,0)+1)</f>
        <v>70.510205741710948</v>
      </c>
      <c r="L74" s="11"/>
    </row>
    <row r="75" spans="1:12" ht="15" x14ac:dyDescent="0.35">
      <c r="A75" s="67">
        <v>2095</v>
      </c>
      <c r="B75" s="16">
        <v>7350792198</v>
      </c>
      <c r="C75" s="16">
        <v>10239994812</v>
      </c>
      <c r="D75" s="68">
        <v>13937850785</v>
      </c>
      <c r="E75" s="67">
        <v>2095</v>
      </c>
      <c r="F75" s="15">
        <v>24.802340564798303</v>
      </c>
      <c r="G75" s="15">
        <v>47.284914768486992</v>
      </c>
      <c r="H75" s="15">
        <v>70.619817466073869</v>
      </c>
      <c r="I75" s="73">
        <v>93.528555916711653</v>
      </c>
      <c r="J75" s="81">
        <f ca="1">VLOOKUP($A75,'Growth Scenarios'!$A$3:$D$80,MATCH('Scenario Picker'!$B$2,'Growth Scenarios'!$B$2:$D$2,0)+1)</f>
        <v>10239994812</v>
      </c>
      <c r="K75" s="79">
        <f ca="1">VLOOKUP($A75,'Growth Scenarios'!$E$3:$I$80,MATCH('Scenario Picker'!$B$3,'Growth Scenarios'!$F$2:$I$2,0)+1)</f>
        <v>70.619817466073869</v>
      </c>
      <c r="L75" s="11"/>
    </row>
    <row r="76" spans="1:12" ht="15" x14ac:dyDescent="0.35">
      <c r="A76" s="67">
        <v>2096</v>
      </c>
      <c r="B76" s="16">
        <v>7286243659</v>
      </c>
      <c r="C76" s="16">
        <v>10230812389</v>
      </c>
      <c r="D76" s="68">
        <v>14020783038</v>
      </c>
      <c r="E76" s="67">
        <v>2096</v>
      </c>
      <c r="F76" s="15">
        <v>24.70570344831637</v>
      </c>
      <c r="G76" s="15">
        <v>47.284914768486992</v>
      </c>
      <c r="H76" s="15">
        <v>70.720247626844724</v>
      </c>
      <c r="I76" s="73">
        <v>93.727519716108887</v>
      </c>
      <c r="J76" s="81">
        <f ca="1">VLOOKUP($A76,'Growth Scenarios'!$A$3:$D$80,MATCH('Scenario Picker'!$B$2,'Growth Scenarios'!$B$2:$D$2,0)+1)</f>
        <v>10230812389</v>
      </c>
      <c r="K76" s="79">
        <f ca="1">VLOOKUP($A76,'Growth Scenarios'!$E$3:$I$80,MATCH('Scenario Picker'!$B$3,'Growth Scenarios'!$F$2:$I$2,0)+1)</f>
        <v>70.720247626844724</v>
      </c>
      <c r="L76" s="11"/>
    </row>
    <row r="77" spans="1:12" ht="15" x14ac:dyDescent="0.35">
      <c r="A77" s="67">
        <v>2097</v>
      </c>
      <c r="B77" s="16">
        <v>7220933546</v>
      </c>
      <c r="C77" s="16">
        <v>10220889358</v>
      </c>
      <c r="D77" s="68">
        <v>14103886454</v>
      </c>
      <c r="E77" s="67">
        <v>2097</v>
      </c>
      <c r="F77" s="15">
        <v>24.617382118260942</v>
      </c>
      <c r="G77" s="15">
        <v>47.284914768486992</v>
      </c>
      <c r="H77" s="15">
        <v>70.812035603347724</v>
      </c>
      <c r="I77" s="73">
        <v>93.909362345891111</v>
      </c>
      <c r="J77" s="81">
        <f ca="1">VLOOKUP($A77,'Growth Scenarios'!$A$3:$D$80,MATCH('Scenario Picker'!$B$2,'Growth Scenarios'!$B$2:$D$2,0)+1)</f>
        <v>10220889358</v>
      </c>
      <c r="K77" s="79">
        <f ca="1">VLOOKUP($A77,'Growth Scenarios'!$E$3:$I$80,MATCH('Scenario Picker'!$B$3,'Growth Scenarios'!$F$2:$I$2,0)+1)</f>
        <v>70.812035603347724</v>
      </c>
      <c r="L77" s="11"/>
    </row>
    <row r="78" spans="1:12" ht="15" x14ac:dyDescent="0.35">
      <c r="A78" s="67">
        <v>2098</v>
      </c>
      <c r="B78" s="16">
        <v>7154880935</v>
      </c>
      <c r="C78" s="16">
        <v>10210209263</v>
      </c>
      <c r="D78" s="68">
        <v>14187091490</v>
      </c>
      <c r="E78" s="67">
        <v>2098</v>
      </c>
      <c r="F78" s="15">
        <v>24.536862496089821</v>
      </c>
      <c r="G78" s="15">
        <v>47.284914768486992</v>
      </c>
      <c r="H78" s="15">
        <v>70.895715651907182</v>
      </c>
      <c r="I78" s="73">
        <v>94.075142229815853</v>
      </c>
      <c r="J78" s="81">
        <f ca="1">VLOOKUP($A78,'Growth Scenarios'!$A$3:$D$80,MATCH('Scenario Picker'!$B$2,'Growth Scenarios'!$B$2:$D$2,0)+1)</f>
        <v>10210209263</v>
      </c>
      <c r="K78" s="79">
        <f ca="1">VLOOKUP($A78,'Growth Scenarios'!$E$3:$I$80,MATCH('Scenario Picker'!$B$3,'Growth Scenarios'!$F$2:$I$2,0)+1)</f>
        <v>70.895715651907182</v>
      </c>
      <c r="L78" s="11"/>
    </row>
    <row r="79" spans="1:12" ht="15" x14ac:dyDescent="0.35">
      <c r="A79" s="67">
        <v>2099</v>
      </c>
      <c r="B79" s="16">
        <v>7088139596</v>
      </c>
      <c r="C79" s="16">
        <v>10198770461</v>
      </c>
      <c r="D79" s="68">
        <v>14270320563</v>
      </c>
      <c r="E79" s="67">
        <v>2099</v>
      </c>
      <c r="F79" s="15">
        <v>24.463638682125502</v>
      </c>
      <c r="G79" s="15">
        <v>47.284914768486992</v>
      </c>
      <c r="H79" s="15">
        <v>70.971813528959075</v>
      </c>
      <c r="I79" s="73">
        <v>94.225900952375866</v>
      </c>
      <c r="J79" s="81">
        <f ca="1">VLOOKUP($A79,'Growth Scenarios'!$A$3:$D$80,MATCH('Scenario Picker'!$B$2,'Growth Scenarios'!$B$2:$D$2,0)+1)</f>
        <v>10198770461</v>
      </c>
      <c r="K79" s="79">
        <f ca="1">VLOOKUP($A79,'Growth Scenarios'!$E$3:$I$80,MATCH('Scenario Picker'!$B$3,'Growth Scenarios'!$F$2:$I$2,0)+1)</f>
        <v>70.971813528959075</v>
      </c>
      <c r="L79" s="11"/>
    </row>
    <row r="80" spans="1:12" ht="15.6" thickBot="1" x14ac:dyDescent="0.4">
      <c r="A80" s="69">
        <v>2100</v>
      </c>
      <c r="B80" s="70">
        <v>7020776443</v>
      </c>
      <c r="C80" s="70">
        <v>10186607670</v>
      </c>
      <c r="D80" s="71">
        <v>14353569640</v>
      </c>
      <c r="E80" s="69">
        <v>2100</v>
      </c>
      <c r="F80" s="74">
        <v>24.397215840146675</v>
      </c>
      <c r="G80" s="74">
        <v>47.284914768486992</v>
      </c>
      <c r="H80" s="74">
        <v>71.040843493238256</v>
      </c>
      <c r="I80" s="75">
        <v>94.362657319784034</v>
      </c>
      <c r="J80" s="82">
        <f ca="1">VLOOKUP($A80,'Growth Scenarios'!$A$3:$D$80,MATCH('Scenario Picker'!$B$2,'Growth Scenarios'!$B$2:$D$2,0)+1)</f>
        <v>10186607670</v>
      </c>
      <c r="K80" s="80">
        <f ca="1">VLOOKUP($A80,'Growth Scenarios'!$E$3:$I$80,MATCH('Scenario Picker'!$B$3,'Growth Scenarios'!$F$2:$I$2,0)+1)</f>
        <v>71.040843493238256</v>
      </c>
      <c r="L80" s="11"/>
    </row>
  </sheetData>
  <mergeCells count="3">
    <mergeCell ref="J1:K1"/>
    <mergeCell ref="A1:D1"/>
    <mergeCell ref="E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32B54-8060-405B-9FA1-866DEA6D5DA0}">
  <dimension ref="A1:H88"/>
  <sheetViews>
    <sheetView workbookViewId="0"/>
  </sheetViews>
  <sheetFormatPr defaultRowHeight="13.8" x14ac:dyDescent="0.3"/>
  <cols>
    <col min="1" max="1" width="20.44140625" bestFit="1" customWidth="1"/>
    <col min="2" max="9" width="13.21875" customWidth="1"/>
  </cols>
  <sheetData>
    <row r="1" spans="1:8" ht="15" x14ac:dyDescent="0.35">
      <c r="A1" s="2" t="s">
        <v>52</v>
      </c>
    </row>
    <row r="2" spans="1:8" ht="15" x14ac:dyDescent="0.3">
      <c r="A2" s="37"/>
      <c r="B2" s="33" t="s">
        <v>22</v>
      </c>
      <c r="C2" s="33"/>
      <c r="D2" s="33"/>
      <c r="E2" s="33"/>
      <c r="F2" s="33"/>
      <c r="G2" s="33"/>
      <c r="H2" s="33"/>
    </row>
    <row r="3" spans="1:8" ht="45" x14ac:dyDescent="0.3">
      <c r="A3" s="37"/>
      <c r="B3" s="3" t="s">
        <v>18</v>
      </c>
      <c r="C3" s="3" t="s">
        <v>17</v>
      </c>
      <c r="D3" s="3" t="s">
        <v>19</v>
      </c>
      <c r="E3" s="3" t="s">
        <v>14</v>
      </c>
      <c r="F3" s="3" t="s">
        <v>20</v>
      </c>
      <c r="G3" s="3" t="s">
        <v>16</v>
      </c>
      <c r="H3" s="3" t="s">
        <v>15</v>
      </c>
    </row>
    <row r="4" spans="1:8" ht="15" x14ac:dyDescent="0.35">
      <c r="A4" s="10" t="s">
        <v>54</v>
      </c>
      <c r="B4" s="6">
        <f>VLOOKUP(B3,'Static Parameters'!$A$3:$C$9,3)</f>
        <v>0.31</v>
      </c>
      <c r="C4" s="6">
        <f>VLOOKUP(C3,'Static Parameters'!$A$3:$C$9,3)</f>
        <v>0.53</v>
      </c>
      <c r="D4" s="6">
        <f>VLOOKUP(D3,'Static Parameters'!$A$3:$C$9,3)</f>
        <v>0.11</v>
      </c>
      <c r="E4" s="6">
        <f>VLOOKUP(E3,'Static Parameters'!$A$3:$C$9,3)</f>
        <v>0.28999999999999998</v>
      </c>
      <c r="F4" s="6">
        <f>VLOOKUP(F3,'Static Parameters'!$A$3:$C$9,3)</f>
        <v>0.62</v>
      </c>
      <c r="G4" s="6">
        <f>VLOOKUP(G3,'Static Parameters'!$A$3:$C$9,3)</f>
        <v>0.28000000000000003</v>
      </c>
      <c r="H4" s="6">
        <f>VLOOKUP(H3,'Static Parameters'!$A$3:$C$9,3)</f>
        <v>0.01</v>
      </c>
    </row>
    <row r="5" spans="1:8" ht="15" x14ac:dyDescent="0.35">
      <c r="A5" s="14" t="s">
        <v>103</v>
      </c>
      <c r="B5" s="6">
        <v>0.6</v>
      </c>
      <c r="C5" s="6">
        <v>1</v>
      </c>
      <c r="D5" s="6">
        <v>0.6</v>
      </c>
      <c r="E5" s="6">
        <v>1</v>
      </c>
      <c r="F5" s="6">
        <v>0.75</v>
      </c>
      <c r="G5" s="6">
        <v>1</v>
      </c>
      <c r="H5" s="6">
        <v>0.75</v>
      </c>
    </row>
    <row r="6" spans="1:8" ht="15" x14ac:dyDescent="0.35">
      <c r="A6" s="10" t="s">
        <v>73</v>
      </c>
      <c r="B6" s="6">
        <f>B4+(B5-B4)*'Scenario Picker'!$B$6</f>
        <v>0.6</v>
      </c>
      <c r="C6" s="6">
        <f>C4+(C5-C4)*'Scenario Picker'!$B$6</f>
        <v>1</v>
      </c>
      <c r="D6" s="6">
        <f>D4+(D5-D4)*'Scenario Picker'!$B$6</f>
        <v>0.6</v>
      </c>
      <c r="E6" s="6">
        <f>E4+(E5-E4)*'Scenario Picker'!$B$6</f>
        <v>1</v>
      </c>
      <c r="F6" s="6">
        <f>F4+(F5-F4)*'Scenario Picker'!$B$6</f>
        <v>0.75</v>
      </c>
      <c r="G6" s="6">
        <f>G4+(G5-G4)*'Scenario Picker'!$B$6</f>
        <v>1</v>
      </c>
      <c r="H6" s="6">
        <f>H4+(H5-H4)*'Scenario Picker'!$B$6</f>
        <v>0.75</v>
      </c>
    </row>
    <row r="7" spans="1:8" ht="15" x14ac:dyDescent="0.35">
      <c r="A7" s="10" t="s">
        <v>55</v>
      </c>
      <c r="B7" s="4">
        <f>'Scenario Picker'!$B$7</f>
        <v>26</v>
      </c>
      <c r="C7" s="4">
        <f>'Scenario Picker'!$B$7</f>
        <v>26</v>
      </c>
      <c r="D7" s="4">
        <f>'Scenario Picker'!$B$7</f>
        <v>26</v>
      </c>
      <c r="E7" s="4">
        <f>'Scenario Picker'!$B$7</f>
        <v>26</v>
      </c>
      <c r="F7" s="4">
        <f>'Scenario Picker'!$B$7</f>
        <v>26</v>
      </c>
      <c r="G7" s="4">
        <f>'Scenario Picker'!$B$7</f>
        <v>26</v>
      </c>
      <c r="H7" s="4">
        <f>'Scenario Picker'!$B$7</f>
        <v>26</v>
      </c>
    </row>
    <row r="8" spans="1:8" ht="15" x14ac:dyDescent="0.35">
      <c r="A8" s="10" t="s">
        <v>57</v>
      </c>
      <c r="B8" s="6">
        <v>0.2</v>
      </c>
      <c r="C8" s="6">
        <v>0.2</v>
      </c>
      <c r="D8" s="6">
        <v>0.2</v>
      </c>
      <c r="E8" s="6">
        <v>0.2</v>
      </c>
      <c r="F8" s="6">
        <v>0.2</v>
      </c>
      <c r="G8" s="6">
        <v>0.2</v>
      </c>
      <c r="H8" s="6">
        <v>0.5</v>
      </c>
    </row>
    <row r="9" spans="1:8" ht="15" x14ac:dyDescent="0.35">
      <c r="A9" s="35"/>
      <c r="B9" s="36"/>
      <c r="C9" s="36"/>
      <c r="D9" s="36"/>
      <c r="E9" s="36"/>
      <c r="F9" s="36"/>
      <c r="G9" s="36"/>
      <c r="H9" s="36"/>
    </row>
    <row r="10" spans="1:8" ht="15" x14ac:dyDescent="0.35">
      <c r="A10" s="10" t="s">
        <v>3</v>
      </c>
      <c r="B10" s="33" t="s">
        <v>56</v>
      </c>
      <c r="C10" s="33"/>
      <c r="D10" s="33"/>
      <c r="E10" s="33"/>
      <c r="F10" s="33"/>
      <c r="G10" s="33"/>
      <c r="H10" s="33"/>
    </row>
    <row r="11" spans="1:8" ht="15" x14ac:dyDescent="0.35">
      <c r="A11" s="13">
        <v>2023</v>
      </c>
      <c r="B11" s="12">
        <f>B4</f>
        <v>0.31</v>
      </c>
      <c r="C11" s="12">
        <f t="shared" ref="C11:H11" si="0">C4</f>
        <v>0.53</v>
      </c>
      <c r="D11" s="12">
        <f t="shared" si="0"/>
        <v>0.11</v>
      </c>
      <c r="E11" s="12">
        <f t="shared" si="0"/>
        <v>0.28999999999999998</v>
      </c>
      <c r="F11" s="12">
        <f t="shared" si="0"/>
        <v>0.62</v>
      </c>
      <c r="G11" s="12">
        <f t="shared" si="0"/>
        <v>0.28000000000000003</v>
      </c>
      <c r="H11" s="12">
        <f t="shared" si="0"/>
        <v>0.01</v>
      </c>
    </row>
    <row r="12" spans="1:8" ht="15" x14ac:dyDescent="0.35">
      <c r="A12" s="13">
        <v>2024</v>
      </c>
      <c r="B12" s="12">
        <f>MIN(B$5,B$4+($A12-$A$11)/B$7*(B$6-B$4))</f>
        <v>0.32115384615384612</v>
      </c>
      <c r="C12" s="12">
        <f t="shared" ref="C12:H27" si="1">MIN(C$5,C$4+($A12-$A$11)/C$7*(C$6-C$4))</f>
        <v>0.54807692307692313</v>
      </c>
      <c r="D12" s="12">
        <f t="shared" si="1"/>
        <v>0.12884615384615383</v>
      </c>
      <c r="E12" s="12">
        <f t="shared" si="1"/>
        <v>0.31730769230769229</v>
      </c>
      <c r="F12" s="12">
        <f t="shared" si="1"/>
        <v>0.625</v>
      </c>
      <c r="G12" s="12">
        <f t="shared" si="1"/>
        <v>0.30769230769230771</v>
      </c>
      <c r="H12" s="12">
        <f t="shared" si="1"/>
        <v>3.8461538461538464E-2</v>
      </c>
    </row>
    <row r="13" spans="1:8" ht="15" x14ac:dyDescent="0.35">
      <c r="A13" s="13">
        <v>2025</v>
      </c>
      <c r="B13" s="12">
        <f t="shared" ref="B13:H28" si="2">MIN(B$5,B$4+($A13-$A$11)/B$7*(B$6-B$4))</f>
        <v>0.3323076923076923</v>
      </c>
      <c r="C13" s="12">
        <f t="shared" si="1"/>
        <v>0.56615384615384623</v>
      </c>
      <c r="D13" s="12">
        <f t="shared" si="1"/>
        <v>0.14769230769230768</v>
      </c>
      <c r="E13" s="12">
        <f t="shared" si="1"/>
        <v>0.3446153846153846</v>
      </c>
      <c r="F13" s="12">
        <f t="shared" si="1"/>
        <v>0.63</v>
      </c>
      <c r="G13" s="12">
        <f t="shared" si="1"/>
        <v>0.33538461538461539</v>
      </c>
      <c r="H13" s="12">
        <f t="shared" si="1"/>
        <v>6.6923076923076918E-2</v>
      </c>
    </row>
    <row r="14" spans="1:8" ht="15" x14ac:dyDescent="0.35">
      <c r="A14" s="13">
        <v>2026</v>
      </c>
      <c r="B14" s="12">
        <f t="shared" si="2"/>
        <v>0.34346153846153848</v>
      </c>
      <c r="C14" s="12">
        <f t="shared" si="1"/>
        <v>0.58423076923076922</v>
      </c>
      <c r="D14" s="12">
        <f t="shared" si="1"/>
        <v>0.16653846153846152</v>
      </c>
      <c r="E14" s="12">
        <f t="shared" si="1"/>
        <v>0.37192307692307691</v>
      </c>
      <c r="F14" s="12">
        <f t="shared" si="1"/>
        <v>0.63500000000000001</v>
      </c>
      <c r="G14" s="12">
        <f t="shared" si="1"/>
        <v>0.36307692307692307</v>
      </c>
      <c r="H14" s="12">
        <f t="shared" si="1"/>
        <v>9.5384615384615387E-2</v>
      </c>
    </row>
    <row r="15" spans="1:8" ht="15" x14ac:dyDescent="0.35">
      <c r="A15" s="13">
        <v>2027</v>
      </c>
      <c r="B15" s="12">
        <f t="shared" si="2"/>
        <v>0.35461538461538461</v>
      </c>
      <c r="C15" s="12">
        <f t="shared" si="1"/>
        <v>0.60230769230769232</v>
      </c>
      <c r="D15" s="12">
        <f t="shared" si="1"/>
        <v>0.18538461538461537</v>
      </c>
      <c r="E15" s="12">
        <f t="shared" si="1"/>
        <v>0.39923076923076922</v>
      </c>
      <c r="F15" s="12">
        <f t="shared" si="1"/>
        <v>0.64</v>
      </c>
      <c r="G15" s="12">
        <f t="shared" si="1"/>
        <v>0.39076923076923081</v>
      </c>
      <c r="H15" s="12">
        <f t="shared" si="1"/>
        <v>0.12384615384615384</v>
      </c>
    </row>
    <row r="16" spans="1:8" ht="15" x14ac:dyDescent="0.35">
      <c r="A16" s="13">
        <v>2028</v>
      </c>
      <c r="B16" s="12">
        <f t="shared" si="2"/>
        <v>0.36576923076923074</v>
      </c>
      <c r="C16" s="12">
        <f t="shared" si="1"/>
        <v>0.62038461538461542</v>
      </c>
      <c r="D16" s="12">
        <f t="shared" si="1"/>
        <v>0.20423076923076922</v>
      </c>
      <c r="E16" s="12">
        <f t="shared" si="1"/>
        <v>0.42653846153846153</v>
      </c>
      <c r="F16" s="12">
        <f t="shared" si="1"/>
        <v>0.64500000000000002</v>
      </c>
      <c r="G16" s="12">
        <f t="shared" si="1"/>
        <v>0.4184615384615385</v>
      </c>
      <c r="H16" s="12">
        <f t="shared" si="1"/>
        <v>0.15230769230769231</v>
      </c>
    </row>
    <row r="17" spans="1:8" ht="15" x14ac:dyDescent="0.35">
      <c r="A17" s="13">
        <v>2029</v>
      </c>
      <c r="B17" s="12">
        <f t="shared" si="2"/>
        <v>0.37692307692307692</v>
      </c>
      <c r="C17" s="12">
        <f t="shared" si="1"/>
        <v>0.63846153846153852</v>
      </c>
      <c r="D17" s="12">
        <f t="shared" si="1"/>
        <v>0.22307692307692306</v>
      </c>
      <c r="E17" s="12">
        <f t="shared" si="1"/>
        <v>0.45384615384615379</v>
      </c>
      <c r="F17" s="12">
        <f t="shared" si="1"/>
        <v>0.65</v>
      </c>
      <c r="G17" s="12">
        <f t="shared" si="1"/>
        <v>0.44615384615384618</v>
      </c>
      <c r="H17" s="12">
        <f t="shared" si="1"/>
        <v>0.18076923076923079</v>
      </c>
    </row>
    <row r="18" spans="1:8" ht="15" x14ac:dyDescent="0.35">
      <c r="A18" s="13">
        <v>2030</v>
      </c>
      <c r="B18" s="12">
        <f t="shared" si="2"/>
        <v>0.3880769230769231</v>
      </c>
      <c r="C18" s="12">
        <f t="shared" si="1"/>
        <v>0.65653846153846152</v>
      </c>
      <c r="D18" s="12">
        <f t="shared" si="1"/>
        <v>0.24192307692307691</v>
      </c>
      <c r="E18" s="12">
        <f t="shared" si="1"/>
        <v>0.48115384615384615</v>
      </c>
      <c r="F18" s="12">
        <f t="shared" si="1"/>
        <v>0.65500000000000003</v>
      </c>
      <c r="G18" s="12">
        <f t="shared" si="1"/>
        <v>0.47384615384615386</v>
      </c>
      <c r="H18" s="12">
        <f t="shared" si="1"/>
        <v>0.20923076923076922</v>
      </c>
    </row>
    <row r="19" spans="1:8" ht="15" x14ac:dyDescent="0.35">
      <c r="A19" s="13">
        <v>2031</v>
      </c>
      <c r="B19" s="12">
        <f t="shared" si="2"/>
        <v>0.39923076923076922</v>
      </c>
      <c r="C19" s="12">
        <f t="shared" si="1"/>
        <v>0.67461538461538462</v>
      </c>
      <c r="D19" s="12">
        <f t="shared" si="1"/>
        <v>0.26076923076923075</v>
      </c>
      <c r="E19" s="12">
        <f t="shared" si="1"/>
        <v>0.50846153846153841</v>
      </c>
      <c r="F19" s="12">
        <f t="shared" si="1"/>
        <v>0.66</v>
      </c>
      <c r="G19" s="12">
        <f t="shared" si="1"/>
        <v>0.5015384615384616</v>
      </c>
      <c r="H19" s="12">
        <f t="shared" si="1"/>
        <v>0.2376923076923077</v>
      </c>
    </row>
    <row r="20" spans="1:8" ht="15" x14ac:dyDescent="0.35">
      <c r="A20" s="13">
        <v>2032</v>
      </c>
      <c r="B20" s="12">
        <f t="shared" si="2"/>
        <v>0.41038461538461535</v>
      </c>
      <c r="C20" s="12">
        <f t="shared" si="1"/>
        <v>0.69269230769230772</v>
      </c>
      <c r="D20" s="12">
        <f t="shared" si="1"/>
        <v>0.2796153846153846</v>
      </c>
      <c r="E20" s="12">
        <f t="shared" si="1"/>
        <v>0.53576923076923078</v>
      </c>
      <c r="F20" s="12">
        <f t="shared" si="1"/>
        <v>0.66500000000000004</v>
      </c>
      <c r="G20" s="12">
        <f t="shared" si="1"/>
        <v>0.52923076923076928</v>
      </c>
      <c r="H20" s="12">
        <f t="shared" si="1"/>
        <v>0.26615384615384613</v>
      </c>
    </row>
    <row r="21" spans="1:8" ht="15" x14ac:dyDescent="0.35">
      <c r="A21" s="13">
        <v>2033</v>
      </c>
      <c r="B21" s="12">
        <f t="shared" si="2"/>
        <v>0.42153846153846153</v>
      </c>
      <c r="C21" s="12">
        <f t="shared" si="1"/>
        <v>0.71076923076923082</v>
      </c>
      <c r="D21" s="12">
        <f t="shared" si="1"/>
        <v>0.29846153846153844</v>
      </c>
      <c r="E21" s="12">
        <f t="shared" si="1"/>
        <v>0.56307692307692303</v>
      </c>
      <c r="F21" s="12">
        <f t="shared" si="1"/>
        <v>0.67</v>
      </c>
      <c r="G21" s="12">
        <f t="shared" si="1"/>
        <v>0.55692307692307697</v>
      </c>
      <c r="H21" s="12">
        <f t="shared" si="1"/>
        <v>0.29461538461538461</v>
      </c>
    </row>
    <row r="22" spans="1:8" ht="15" x14ac:dyDescent="0.35">
      <c r="A22" s="13">
        <v>2034</v>
      </c>
      <c r="B22" s="12">
        <f t="shared" si="2"/>
        <v>0.43269230769230771</v>
      </c>
      <c r="C22" s="12">
        <f t="shared" si="1"/>
        <v>0.72884615384615392</v>
      </c>
      <c r="D22" s="12">
        <f t="shared" si="1"/>
        <v>0.31730769230769229</v>
      </c>
      <c r="E22" s="12">
        <f t="shared" si="1"/>
        <v>0.59038461538461529</v>
      </c>
      <c r="F22" s="12">
        <f t="shared" si="1"/>
        <v>0.67500000000000004</v>
      </c>
      <c r="G22" s="12">
        <f t="shared" si="1"/>
        <v>0.58461538461538465</v>
      </c>
      <c r="H22" s="12">
        <f t="shared" si="1"/>
        <v>0.32307692307692309</v>
      </c>
    </row>
    <row r="23" spans="1:8" ht="15" x14ac:dyDescent="0.35">
      <c r="A23" s="13">
        <v>2035</v>
      </c>
      <c r="B23" s="12">
        <f t="shared" si="2"/>
        <v>0.44384615384615383</v>
      </c>
      <c r="C23" s="12">
        <f t="shared" si="1"/>
        <v>0.74692307692307691</v>
      </c>
      <c r="D23" s="12">
        <f t="shared" si="1"/>
        <v>0.33615384615384614</v>
      </c>
      <c r="E23" s="12">
        <f t="shared" si="1"/>
        <v>0.61769230769230765</v>
      </c>
      <c r="F23" s="12">
        <f t="shared" si="1"/>
        <v>0.68</v>
      </c>
      <c r="G23" s="12">
        <f t="shared" si="1"/>
        <v>0.61230769230769233</v>
      </c>
      <c r="H23" s="12">
        <f t="shared" si="1"/>
        <v>0.35153846153846158</v>
      </c>
    </row>
    <row r="24" spans="1:8" ht="15" x14ac:dyDescent="0.35">
      <c r="A24" s="13">
        <v>2036</v>
      </c>
      <c r="B24" s="12">
        <f t="shared" si="2"/>
        <v>0.45499999999999996</v>
      </c>
      <c r="C24" s="12">
        <f t="shared" si="1"/>
        <v>0.76500000000000001</v>
      </c>
      <c r="D24" s="12">
        <f t="shared" si="1"/>
        <v>0.35499999999999998</v>
      </c>
      <c r="E24" s="12">
        <f t="shared" si="1"/>
        <v>0.64500000000000002</v>
      </c>
      <c r="F24" s="12">
        <f t="shared" si="1"/>
        <v>0.68500000000000005</v>
      </c>
      <c r="G24" s="12">
        <f t="shared" si="1"/>
        <v>0.64</v>
      </c>
      <c r="H24" s="12">
        <f t="shared" si="1"/>
        <v>0.38</v>
      </c>
    </row>
    <row r="25" spans="1:8" ht="15" x14ac:dyDescent="0.35">
      <c r="A25" s="13">
        <v>2037</v>
      </c>
      <c r="B25" s="12">
        <f t="shared" si="2"/>
        <v>0.46615384615384614</v>
      </c>
      <c r="C25" s="12">
        <f t="shared" si="1"/>
        <v>0.783076923076923</v>
      </c>
      <c r="D25" s="12">
        <f t="shared" si="1"/>
        <v>0.37384615384615383</v>
      </c>
      <c r="E25" s="12">
        <f t="shared" si="1"/>
        <v>0.67230769230769227</v>
      </c>
      <c r="F25" s="12">
        <f t="shared" si="1"/>
        <v>0.69</v>
      </c>
      <c r="G25" s="12">
        <f t="shared" si="1"/>
        <v>0.6676923076923077</v>
      </c>
      <c r="H25" s="12">
        <f t="shared" si="1"/>
        <v>0.40846153846153843</v>
      </c>
    </row>
    <row r="26" spans="1:8" ht="15" x14ac:dyDescent="0.35">
      <c r="A26" s="13">
        <v>2038</v>
      </c>
      <c r="B26" s="12">
        <f t="shared" si="2"/>
        <v>0.47730769230769227</v>
      </c>
      <c r="C26" s="12">
        <f t="shared" si="1"/>
        <v>0.80115384615384611</v>
      </c>
      <c r="D26" s="12">
        <f t="shared" si="1"/>
        <v>0.39269230769230767</v>
      </c>
      <c r="E26" s="12">
        <f t="shared" si="1"/>
        <v>0.69961538461538453</v>
      </c>
      <c r="F26" s="12">
        <f t="shared" si="1"/>
        <v>0.69499999999999995</v>
      </c>
      <c r="G26" s="12">
        <f t="shared" si="1"/>
        <v>0.69538461538461538</v>
      </c>
      <c r="H26" s="12">
        <f t="shared" si="1"/>
        <v>0.43692307692307691</v>
      </c>
    </row>
    <row r="27" spans="1:8" ht="15" x14ac:dyDescent="0.35">
      <c r="A27" s="13">
        <v>2039</v>
      </c>
      <c r="B27" s="12">
        <f t="shared" si="2"/>
        <v>0.48846153846153845</v>
      </c>
      <c r="C27" s="12">
        <f t="shared" si="1"/>
        <v>0.81923076923076921</v>
      </c>
      <c r="D27" s="12">
        <f t="shared" si="1"/>
        <v>0.41153846153846152</v>
      </c>
      <c r="E27" s="12">
        <f t="shared" si="1"/>
        <v>0.72692307692307689</v>
      </c>
      <c r="F27" s="12">
        <f t="shared" si="1"/>
        <v>0.7</v>
      </c>
      <c r="G27" s="12">
        <f t="shared" si="1"/>
        <v>0.72307692307692317</v>
      </c>
      <c r="H27" s="12">
        <f t="shared" si="1"/>
        <v>0.4653846153846154</v>
      </c>
    </row>
    <row r="28" spans="1:8" ht="15" x14ac:dyDescent="0.35">
      <c r="A28" s="13">
        <v>2040</v>
      </c>
      <c r="B28" s="12">
        <f t="shared" si="2"/>
        <v>0.49961538461538457</v>
      </c>
      <c r="C28" s="12">
        <f t="shared" si="2"/>
        <v>0.83730769230769231</v>
      </c>
      <c r="D28" s="12">
        <f t="shared" si="2"/>
        <v>0.43038461538461537</v>
      </c>
      <c r="E28" s="12">
        <f t="shared" si="2"/>
        <v>0.75423076923076926</v>
      </c>
      <c r="F28" s="12">
        <f t="shared" si="2"/>
        <v>0.70499999999999996</v>
      </c>
      <c r="G28" s="12">
        <f t="shared" si="2"/>
        <v>0.75076923076923086</v>
      </c>
      <c r="H28" s="12">
        <f t="shared" si="2"/>
        <v>0.49384615384615388</v>
      </c>
    </row>
    <row r="29" spans="1:8" ht="15" x14ac:dyDescent="0.35">
      <c r="A29" s="13">
        <v>2041</v>
      </c>
      <c r="B29" s="12">
        <f t="shared" ref="B29:H44" si="3">MIN(B$5,B$4+($A29-$A$11)/B$7*(B$6-B$4))</f>
        <v>0.51076923076923075</v>
      </c>
      <c r="C29" s="12">
        <f t="shared" si="3"/>
        <v>0.85538461538461541</v>
      </c>
      <c r="D29" s="12">
        <f t="shared" si="3"/>
        <v>0.44923076923076921</v>
      </c>
      <c r="E29" s="12">
        <f t="shared" si="3"/>
        <v>0.78153846153846152</v>
      </c>
      <c r="F29" s="12">
        <f t="shared" si="3"/>
        <v>0.71</v>
      </c>
      <c r="G29" s="12">
        <f t="shared" si="3"/>
        <v>0.77846153846153854</v>
      </c>
      <c r="H29" s="12">
        <f t="shared" si="3"/>
        <v>0.52230769230769225</v>
      </c>
    </row>
    <row r="30" spans="1:8" ht="15" x14ac:dyDescent="0.35">
      <c r="A30" s="13">
        <v>2042</v>
      </c>
      <c r="B30" s="12">
        <f t="shared" si="3"/>
        <v>0.52192307692307693</v>
      </c>
      <c r="C30" s="12">
        <f t="shared" si="3"/>
        <v>0.87346153846153851</v>
      </c>
      <c r="D30" s="12">
        <f t="shared" si="3"/>
        <v>0.46807692307692306</v>
      </c>
      <c r="E30" s="12">
        <f t="shared" si="3"/>
        <v>0.80884615384615377</v>
      </c>
      <c r="F30" s="12">
        <f t="shared" si="3"/>
        <v>0.71499999999999997</v>
      </c>
      <c r="G30" s="12">
        <f t="shared" si="3"/>
        <v>0.80615384615384611</v>
      </c>
      <c r="H30" s="12">
        <f t="shared" si="3"/>
        <v>0.55076923076923079</v>
      </c>
    </row>
    <row r="31" spans="1:8" ht="15" x14ac:dyDescent="0.35">
      <c r="A31" s="13">
        <v>2043</v>
      </c>
      <c r="B31" s="12">
        <f t="shared" si="3"/>
        <v>0.533076923076923</v>
      </c>
      <c r="C31" s="12">
        <f t="shared" si="3"/>
        <v>0.89153846153846161</v>
      </c>
      <c r="D31" s="12">
        <f t="shared" si="3"/>
        <v>0.4869230769230769</v>
      </c>
      <c r="E31" s="12">
        <f t="shared" si="3"/>
        <v>0.83615384615384625</v>
      </c>
      <c r="F31" s="12">
        <f t="shared" si="3"/>
        <v>0.72</v>
      </c>
      <c r="G31" s="12">
        <f t="shared" si="3"/>
        <v>0.8338461538461539</v>
      </c>
      <c r="H31" s="12">
        <f t="shared" si="3"/>
        <v>0.57923076923076922</v>
      </c>
    </row>
    <row r="32" spans="1:8" ht="15" x14ac:dyDescent="0.35">
      <c r="A32" s="13">
        <v>2044</v>
      </c>
      <c r="B32" s="12">
        <f t="shared" si="3"/>
        <v>0.54423076923076918</v>
      </c>
      <c r="C32" s="12">
        <f t="shared" si="3"/>
        <v>0.9096153846153846</v>
      </c>
      <c r="D32" s="12">
        <f t="shared" si="3"/>
        <v>0.50576923076923075</v>
      </c>
      <c r="E32" s="12">
        <f t="shared" si="3"/>
        <v>0.8634615384615385</v>
      </c>
      <c r="F32" s="12">
        <f t="shared" si="3"/>
        <v>0.72499999999999998</v>
      </c>
      <c r="G32" s="12">
        <f t="shared" si="3"/>
        <v>0.86153846153846159</v>
      </c>
      <c r="H32" s="12">
        <f t="shared" si="3"/>
        <v>0.60769230769230775</v>
      </c>
    </row>
    <row r="33" spans="1:8" ht="15" x14ac:dyDescent="0.35">
      <c r="A33" s="13">
        <v>2045</v>
      </c>
      <c r="B33" s="12">
        <f t="shared" si="3"/>
        <v>0.55538461538461537</v>
      </c>
      <c r="C33" s="12">
        <f t="shared" si="3"/>
        <v>0.9276923076923077</v>
      </c>
      <c r="D33" s="12">
        <f t="shared" si="3"/>
        <v>0.52461538461538459</v>
      </c>
      <c r="E33" s="12">
        <f t="shared" si="3"/>
        <v>0.89076923076923076</v>
      </c>
      <c r="F33" s="12">
        <f t="shared" si="3"/>
        <v>0.73</v>
      </c>
      <c r="G33" s="12">
        <f t="shared" si="3"/>
        <v>0.88923076923076927</v>
      </c>
      <c r="H33" s="12">
        <f t="shared" si="3"/>
        <v>0.63615384615384618</v>
      </c>
    </row>
    <row r="34" spans="1:8" ht="15" x14ac:dyDescent="0.35">
      <c r="A34" s="13">
        <v>2046</v>
      </c>
      <c r="B34" s="12">
        <f t="shared" si="3"/>
        <v>0.56653846153846144</v>
      </c>
      <c r="C34" s="12">
        <f t="shared" si="3"/>
        <v>0.9457692307692307</v>
      </c>
      <c r="D34" s="12">
        <f t="shared" si="3"/>
        <v>0.54346153846153844</v>
      </c>
      <c r="E34" s="12">
        <f t="shared" si="3"/>
        <v>0.91807692307692301</v>
      </c>
      <c r="F34" s="12">
        <f t="shared" si="3"/>
        <v>0.73499999999999999</v>
      </c>
      <c r="G34" s="12">
        <f t="shared" si="3"/>
        <v>0.91692307692307695</v>
      </c>
      <c r="H34" s="12">
        <f t="shared" si="3"/>
        <v>0.66461538461538461</v>
      </c>
    </row>
    <row r="35" spans="1:8" ht="15" x14ac:dyDescent="0.35">
      <c r="A35" s="13">
        <v>2047</v>
      </c>
      <c r="B35" s="12">
        <f t="shared" si="3"/>
        <v>0.57769230769230773</v>
      </c>
      <c r="C35" s="12">
        <f t="shared" si="3"/>
        <v>0.9638461538461538</v>
      </c>
      <c r="D35" s="12">
        <f t="shared" si="3"/>
        <v>0.56230769230769229</v>
      </c>
      <c r="E35" s="12">
        <f t="shared" si="3"/>
        <v>0.94538461538461527</v>
      </c>
      <c r="F35" s="12">
        <f t="shared" si="3"/>
        <v>0.74</v>
      </c>
      <c r="G35" s="12">
        <f t="shared" si="3"/>
        <v>0.94461538461538463</v>
      </c>
      <c r="H35" s="12">
        <f t="shared" si="3"/>
        <v>0.69307692307692315</v>
      </c>
    </row>
    <row r="36" spans="1:8" ht="15" x14ac:dyDescent="0.35">
      <c r="A36" s="13">
        <v>2048</v>
      </c>
      <c r="B36" s="12">
        <f t="shared" si="3"/>
        <v>0.5888461538461538</v>
      </c>
      <c r="C36" s="12">
        <f t="shared" si="3"/>
        <v>0.9819230769230769</v>
      </c>
      <c r="D36" s="12">
        <f t="shared" si="3"/>
        <v>0.58115384615384613</v>
      </c>
      <c r="E36" s="12">
        <f t="shared" si="3"/>
        <v>0.97269230769230774</v>
      </c>
      <c r="F36" s="12">
        <f t="shared" si="3"/>
        <v>0.745</v>
      </c>
      <c r="G36" s="12">
        <f t="shared" si="3"/>
        <v>0.97230769230769232</v>
      </c>
      <c r="H36" s="12">
        <f t="shared" si="3"/>
        <v>0.72153846153846157</v>
      </c>
    </row>
    <row r="37" spans="1:8" ht="15" x14ac:dyDescent="0.35">
      <c r="A37" s="13">
        <v>2049</v>
      </c>
      <c r="B37" s="12">
        <f t="shared" si="3"/>
        <v>0.6</v>
      </c>
      <c r="C37" s="12">
        <f t="shared" si="3"/>
        <v>1</v>
      </c>
      <c r="D37" s="12">
        <f t="shared" si="3"/>
        <v>0.6</v>
      </c>
      <c r="E37" s="12">
        <f t="shared" si="3"/>
        <v>1</v>
      </c>
      <c r="F37" s="12">
        <f t="shared" si="3"/>
        <v>0.75</v>
      </c>
      <c r="G37" s="12">
        <f t="shared" si="3"/>
        <v>1</v>
      </c>
      <c r="H37" s="12">
        <f t="shared" si="3"/>
        <v>0.75</v>
      </c>
    </row>
    <row r="38" spans="1:8" ht="15" x14ac:dyDescent="0.35">
      <c r="A38" s="13">
        <v>2050</v>
      </c>
      <c r="B38" s="12">
        <f t="shared" si="3"/>
        <v>0.6</v>
      </c>
      <c r="C38" s="12">
        <f t="shared" si="3"/>
        <v>1</v>
      </c>
      <c r="D38" s="12">
        <f t="shared" si="3"/>
        <v>0.6</v>
      </c>
      <c r="E38" s="12">
        <f t="shared" si="3"/>
        <v>1</v>
      </c>
      <c r="F38" s="12">
        <f t="shared" si="3"/>
        <v>0.75</v>
      </c>
      <c r="G38" s="12">
        <f t="shared" si="3"/>
        <v>1</v>
      </c>
      <c r="H38" s="12">
        <f t="shared" si="3"/>
        <v>0.75</v>
      </c>
    </row>
    <row r="39" spans="1:8" ht="15" x14ac:dyDescent="0.35">
      <c r="A39" s="13">
        <v>2051</v>
      </c>
      <c r="B39" s="12">
        <f t="shared" si="3"/>
        <v>0.6</v>
      </c>
      <c r="C39" s="12">
        <f t="shared" si="3"/>
        <v>1</v>
      </c>
      <c r="D39" s="12">
        <f t="shared" si="3"/>
        <v>0.6</v>
      </c>
      <c r="E39" s="12">
        <f t="shared" si="3"/>
        <v>1</v>
      </c>
      <c r="F39" s="12">
        <f t="shared" si="3"/>
        <v>0.75</v>
      </c>
      <c r="G39" s="12">
        <f t="shared" si="3"/>
        <v>1</v>
      </c>
      <c r="H39" s="12">
        <f t="shared" si="3"/>
        <v>0.75</v>
      </c>
    </row>
    <row r="40" spans="1:8" ht="15" x14ac:dyDescent="0.35">
      <c r="A40" s="13">
        <v>2052</v>
      </c>
      <c r="B40" s="12">
        <f t="shared" si="3"/>
        <v>0.6</v>
      </c>
      <c r="C40" s="12">
        <f t="shared" si="3"/>
        <v>1</v>
      </c>
      <c r="D40" s="12">
        <f t="shared" si="3"/>
        <v>0.6</v>
      </c>
      <c r="E40" s="12">
        <f t="shared" si="3"/>
        <v>1</v>
      </c>
      <c r="F40" s="12">
        <f t="shared" si="3"/>
        <v>0.75</v>
      </c>
      <c r="G40" s="12">
        <f t="shared" si="3"/>
        <v>1</v>
      </c>
      <c r="H40" s="12">
        <f t="shared" si="3"/>
        <v>0.75</v>
      </c>
    </row>
    <row r="41" spans="1:8" ht="15" x14ac:dyDescent="0.35">
      <c r="A41" s="13">
        <v>2053</v>
      </c>
      <c r="B41" s="12">
        <f t="shared" si="3"/>
        <v>0.6</v>
      </c>
      <c r="C41" s="12">
        <f t="shared" si="3"/>
        <v>1</v>
      </c>
      <c r="D41" s="12">
        <f t="shared" si="3"/>
        <v>0.6</v>
      </c>
      <c r="E41" s="12">
        <f t="shared" si="3"/>
        <v>1</v>
      </c>
      <c r="F41" s="12">
        <f t="shared" si="3"/>
        <v>0.75</v>
      </c>
      <c r="G41" s="12">
        <f t="shared" si="3"/>
        <v>1</v>
      </c>
      <c r="H41" s="12">
        <f t="shared" si="3"/>
        <v>0.75</v>
      </c>
    </row>
    <row r="42" spans="1:8" ht="15" x14ac:dyDescent="0.35">
      <c r="A42" s="13">
        <v>2054</v>
      </c>
      <c r="B42" s="12">
        <f t="shared" si="3"/>
        <v>0.6</v>
      </c>
      <c r="C42" s="12">
        <f t="shared" si="3"/>
        <v>1</v>
      </c>
      <c r="D42" s="12">
        <f t="shared" si="3"/>
        <v>0.6</v>
      </c>
      <c r="E42" s="12">
        <f t="shared" si="3"/>
        <v>1</v>
      </c>
      <c r="F42" s="12">
        <f t="shared" si="3"/>
        <v>0.75</v>
      </c>
      <c r="G42" s="12">
        <f t="shared" si="3"/>
        <v>1</v>
      </c>
      <c r="H42" s="12">
        <f t="shared" si="3"/>
        <v>0.75</v>
      </c>
    </row>
    <row r="43" spans="1:8" ht="15" x14ac:dyDescent="0.35">
      <c r="A43" s="13">
        <v>2055</v>
      </c>
      <c r="B43" s="12">
        <f t="shared" si="3"/>
        <v>0.6</v>
      </c>
      <c r="C43" s="12">
        <f t="shared" si="3"/>
        <v>1</v>
      </c>
      <c r="D43" s="12">
        <f t="shared" si="3"/>
        <v>0.6</v>
      </c>
      <c r="E43" s="12">
        <f t="shared" si="3"/>
        <v>1</v>
      </c>
      <c r="F43" s="12">
        <f t="shared" si="3"/>
        <v>0.75</v>
      </c>
      <c r="G43" s="12">
        <f t="shared" si="3"/>
        <v>1</v>
      </c>
      <c r="H43" s="12">
        <f t="shared" si="3"/>
        <v>0.75</v>
      </c>
    </row>
    <row r="44" spans="1:8" ht="15" x14ac:dyDescent="0.35">
      <c r="A44" s="13">
        <v>2056</v>
      </c>
      <c r="B44" s="12">
        <f t="shared" si="3"/>
        <v>0.6</v>
      </c>
      <c r="C44" s="12">
        <f t="shared" si="3"/>
        <v>1</v>
      </c>
      <c r="D44" s="12">
        <f t="shared" si="3"/>
        <v>0.6</v>
      </c>
      <c r="E44" s="12">
        <f t="shared" si="3"/>
        <v>1</v>
      </c>
      <c r="F44" s="12">
        <f t="shared" si="3"/>
        <v>0.75</v>
      </c>
      <c r="G44" s="12">
        <f t="shared" si="3"/>
        <v>1</v>
      </c>
      <c r="H44" s="12">
        <f t="shared" si="3"/>
        <v>0.75</v>
      </c>
    </row>
    <row r="45" spans="1:8" ht="15" x14ac:dyDescent="0.35">
      <c r="A45" s="13">
        <v>2057</v>
      </c>
      <c r="B45" s="12">
        <f t="shared" ref="B45:H60" si="4">MIN(B$5,B$4+($A45-$A$11)/B$7*(B$6-B$4))</f>
        <v>0.6</v>
      </c>
      <c r="C45" s="12">
        <f t="shared" si="4"/>
        <v>1</v>
      </c>
      <c r="D45" s="12">
        <f t="shared" si="4"/>
        <v>0.6</v>
      </c>
      <c r="E45" s="12">
        <f t="shared" si="4"/>
        <v>1</v>
      </c>
      <c r="F45" s="12">
        <f t="shared" si="4"/>
        <v>0.75</v>
      </c>
      <c r="G45" s="12">
        <f t="shared" si="4"/>
        <v>1</v>
      </c>
      <c r="H45" s="12">
        <f t="shared" si="4"/>
        <v>0.75</v>
      </c>
    </row>
    <row r="46" spans="1:8" ht="15" x14ac:dyDescent="0.35">
      <c r="A46" s="13">
        <v>2058</v>
      </c>
      <c r="B46" s="12">
        <f t="shared" si="4"/>
        <v>0.6</v>
      </c>
      <c r="C46" s="12">
        <f t="shared" si="4"/>
        <v>1</v>
      </c>
      <c r="D46" s="12">
        <f t="shared" si="4"/>
        <v>0.6</v>
      </c>
      <c r="E46" s="12">
        <f t="shared" si="4"/>
        <v>1</v>
      </c>
      <c r="F46" s="12">
        <f t="shared" si="4"/>
        <v>0.75</v>
      </c>
      <c r="G46" s="12">
        <f t="shared" si="4"/>
        <v>1</v>
      </c>
      <c r="H46" s="12">
        <f t="shared" si="4"/>
        <v>0.75</v>
      </c>
    </row>
    <row r="47" spans="1:8" ht="15" x14ac:dyDescent="0.35">
      <c r="A47" s="13">
        <v>2059</v>
      </c>
      <c r="B47" s="12">
        <f t="shared" si="4"/>
        <v>0.6</v>
      </c>
      <c r="C47" s="12">
        <f t="shared" si="4"/>
        <v>1</v>
      </c>
      <c r="D47" s="12">
        <f t="shared" si="4"/>
        <v>0.6</v>
      </c>
      <c r="E47" s="12">
        <f t="shared" si="4"/>
        <v>1</v>
      </c>
      <c r="F47" s="12">
        <f t="shared" si="4"/>
        <v>0.75</v>
      </c>
      <c r="G47" s="12">
        <f t="shared" si="4"/>
        <v>1</v>
      </c>
      <c r="H47" s="12">
        <f t="shared" si="4"/>
        <v>0.75</v>
      </c>
    </row>
    <row r="48" spans="1:8" ht="15" x14ac:dyDescent="0.35">
      <c r="A48" s="13">
        <v>2060</v>
      </c>
      <c r="B48" s="12">
        <f t="shared" si="4"/>
        <v>0.6</v>
      </c>
      <c r="C48" s="12">
        <f t="shared" si="4"/>
        <v>1</v>
      </c>
      <c r="D48" s="12">
        <f t="shared" si="4"/>
        <v>0.6</v>
      </c>
      <c r="E48" s="12">
        <f t="shared" si="4"/>
        <v>1</v>
      </c>
      <c r="F48" s="12">
        <f t="shared" si="4"/>
        <v>0.75</v>
      </c>
      <c r="G48" s="12">
        <f t="shared" si="4"/>
        <v>1</v>
      </c>
      <c r="H48" s="12">
        <f t="shared" si="4"/>
        <v>0.75</v>
      </c>
    </row>
    <row r="49" spans="1:8" ht="15" x14ac:dyDescent="0.35">
      <c r="A49" s="13">
        <v>2061</v>
      </c>
      <c r="B49" s="12">
        <f t="shared" si="4"/>
        <v>0.6</v>
      </c>
      <c r="C49" s="12">
        <f t="shared" si="4"/>
        <v>1</v>
      </c>
      <c r="D49" s="12">
        <f t="shared" si="4"/>
        <v>0.6</v>
      </c>
      <c r="E49" s="12">
        <f t="shared" si="4"/>
        <v>1</v>
      </c>
      <c r="F49" s="12">
        <f t="shared" si="4"/>
        <v>0.75</v>
      </c>
      <c r="G49" s="12">
        <f t="shared" si="4"/>
        <v>1</v>
      </c>
      <c r="H49" s="12">
        <f t="shared" si="4"/>
        <v>0.75</v>
      </c>
    </row>
    <row r="50" spans="1:8" ht="15" x14ac:dyDescent="0.35">
      <c r="A50" s="13">
        <v>2062</v>
      </c>
      <c r="B50" s="12">
        <f t="shared" si="4"/>
        <v>0.6</v>
      </c>
      <c r="C50" s="12">
        <f t="shared" si="4"/>
        <v>1</v>
      </c>
      <c r="D50" s="12">
        <f t="shared" si="4"/>
        <v>0.6</v>
      </c>
      <c r="E50" s="12">
        <f t="shared" si="4"/>
        <v>1</v>
      </c>
      <c r="F50" s="12">
        <f t="shared" si="4"/>
        <v>0.75</v>
      </c>
      <c r="G50" s="12">
        <f t="shared" si="4"/>
        <v>1</v>
      </c>
      <c r="H50" s="12">
        <f t="shared" si="4"/>
        <v>0.75</v>
      </c>
    </row>
    <row r="51" spans="1:8" ht="15" x14ac:dyDescent="0.35">
      <c r="A51" s="13">
        <v>2063</v>
      </c>
      <c r="B51" s="12">
        <f t="shared" si="4"/>
        <v>0.6</v>
      </c>
      <c r="C51" s="12">
        <f t="shared" si="4"/>
        <v>1</v>
      </c>
      <c r="D51" s="12">
        <f t="shared" si="4"/>
        <v>0.6</v>
      </c>
      <c r="E51" s="12">
        <f t="shared" si="4"/>
        <v>1</v>
      </c>
      <c r="F51" s="12">
        <f t="shared" si="4"/>
        <v>0.75</v>
      </c>
      <c r="G51" s="12">
        <f t="shared" si="4"/>
        <v>1</v>
      </c>
      <c r="H51" s="12">
        <f t="shared" si="4"/>
        <v>0.75</v>
      </c>
    </row>
    <row r="52" spans="1:8" ht="15" x14ac:dyDescent="0.35">
      <c r="A52" s="13">
        <v>2064</v>
      </c>
      <c r="B52" s="12">
        <f t="shared" si="4"/>
        <v>0.6</v>
      </c>
      <c r="C52" s="12">
        <f t="shared" si="4"/>
        <v>1</v>
      </c>
      <c r="D52" s="12">
        <f t="shared" si="4"/>
        <v>0.6</v>
      </c>
      <c r="E52" s="12">
        <f t="shared" si="4"/>
        <v>1</v>
      </c>
      <c r="F52" s="12">
        <f t="shared" si="4"/>
        <v>0.75</v>
      </c>
      <c r="G52" s="12">
        <f t="shared" si="4"/>
        <v>1</v>
      </c>
      <c r="H52" s="12">
        <f t="shared" si="4"/>
        <v>0.75</v>
      </c>
    </row>
    <row r="53" spans="1:8" ht="15" x14ac:dyDescent="0.35">
      <c r="A53" s="13">
        <v>2065</v>
      </c>
      <c r="B53" s="12">
        <f t="shared" si="4"/>
        <v>0.6</v>
      </c>
      <c r="C53" s="12">
        <f t="shared" si="4"/>
        <v>1</v>
      </c>
      <c r="D53" s="12">
        <f t="shared" si="4"/>
        <v>0.6</v>
      </c>
      <c r="E53" s="12">
        <f t="shared" si="4"/>
        <v>1</v>
      </c>
      <c r="F53" s="12">
        <f t="shared" si="4"/>
        <v>0.75</v>
      </c>
      <c r="G53" s="12">
        <f t="shared" si="4"/>
        <v>1</v>
      </c>
      <c r="H53" s="12">
        <f t="shared" si="4"/>
        <v>0.75</v>
      </c>
    </row>
    <row r="54" spans="1:8" ht="15" x14ac:dyDescent="0.35">
      <c r="A54" s="13">
        <v>2066</v>
      </c>
      <c r="B54" s="12">
        <f t="shared" si="4"/>
        <v>0.6</v>
      </c>
      <c r="C54" s="12">
        <f t="shared" si="4"/>
        <v>1</v>
      </c>
      <c r="D54" s="12">
        <f t="shared" si="4"/>
        <v>0.6</v>
      </c>
      <c r="E54" s="12">
        <f t="shared" si="4"/>
        <v>1</v>
      </c>
      <c r="F54" s="12">
        <f t="shared" si="4"/>
        <v>0.75</v>
      </c>
      <c r="G54" s="12">
        <f t="shared" si="4"/>
        <v>1</v>
      </c>
      <c r="H54" s="12">
        <f t="shared" si="4"/>
        <v>0.75</v>
      </c>
    </row>
    <row r="55" spans="1:8" ht="15" x14ac:dyDescent="0.35">
      <c r="A55" s="13">
        <v>2067</v>
      </c>
      <c r="B55" s="12">
        <f t="shared" si="4"/>
        <v>0.6</v>
      </c>
      <c r="C55" s="12">
        <f t="shared" si="4"/>
        <v>1</v>
      </c>
      <c r="D55" s="12">
        <f t="shared" si="4"/>
        <v>0.6</v>
      </c>
      <c r="E55" s="12">
        <f t="shared" si="4"/>
        <v>1</v>
      </c>
      <c r="F55" s="12">
        <f t="shared" si="4"/>
        <v>0.75</v>
      </c>
      <c r="G55" s="12">
        <f t="shared" si="4"/>
        <v>1</v>
      </c>
      <c r="H55" s="12">
        <f t="shared" si="4"/>
        <v>0.75</v>
      </c>
    </row>
    <row r="56" spans="1:8" ht="15" x14ac:dyDescent="0.35">
      <c r="A56" s="13">
        <v>2068</v>
      </c>
      <c r="B56" s="12">
        <f t="shared" si="4"/>
        <v>0.6</v>
      </c>
      <c r="C56" s="12">
        <f t="shared" si="4"/>
        <v>1</v>
      </c>
      <c r="D56" s="12">
        <f t="shared" si="4"/>
        <v>0.6</v>
      </c>
      <c r="E56" s="12">
        <f t="shared" si="4"/>
        <v>1</v>
      </c>
      <c r="F56" s="12">
        <f t="shared" si="4"/>
        <v>0.75</v>
      </c>
      <c r="G56" s="12">
        <f t="shared" si="4"/>
        <v>1</v>
      </c>
      <c r="H56" s="12">
        <f t="shared" si="4"/>
        <v>0.75</v>
      </c>
    </row>
    <row r="57" spans="1:8" ht="15" x14ac:dyDescent="0.35">
      <c r="A57" s="13">
        <v>2069</v>
      </c>
      <c r="B57" s="12">
        <f t="shared" si="4"/>
        <v>0.6</v>
      </c>
      <c r="C57" s="12">
        <f t="shared" si="4"/>
        <v>1</v>
      </c>
      <c r="D57" s="12">
        <f t="shared" si="4"/>
        <v>0.6</v>
      </c>
      <c r="E57" s="12">
        <f t="shared" si="4"/>
        <v>1</v>
      </c>
      <c r="F57" s="12">
        <f t="shared" si="4"/>
        <v>0.75</v>
      </c>
      <c r="G57" s="12">
        <f t="shared" si="4"/>
        <v>1</v>
      </c>
      <c r="H57" s="12">
        <f t="shared" si="4"/>
        <v>0.75</v>
      </c>
    </row>
    <row r="58" spans="1:8" ht="15" x14ac:dyDescent="0.35">
      <c r="A58" s="13">
        <v>2070</v>
      </c>
      <c r="B58" s="12">
        <f t="shared" si="4"/>
        <v>0.6</v>
      </c>
      <c r="C58" s="12">
        <f t="shared" si="4"/>
        <v>1</v>
      </c>
      <c r="D58" s="12">
        <f t="shared" si="4"/>
        <v>0.6</v>
      </c>
      <c r="E58" s="12">
        <f t="shared" si="4"/>
        <v>1</v>
      </c>
      <c r="F58" s="12">
        <f t="shared" si="4"/>
        <v>0.75</v>
      </c>
      <c r="G58" s="12">
        <f t="shared" si="4"/>
        <v>1</v>
      </c>
      <c r="H58" s="12">
        <f t="shared" si="4"/>
        <v>0.75</v>
      </c>
    </row>
    <row r="59" spans="1:8" ht="15" x14ac:dyDescent="0.35">
      <c r="A59" s="13">
        <v>2071</v>
      </c>
      <c r="B59" s="12">
        <f t="shared" si="4"/>
        <v>0.6</v>
      </c>
      <c r="C59" s="12">
        <f t="shared" si="4"/>
        <v>1</v>
      </c>
      <c r="D59" s="12">
        <f t="shared" si="4"/>
        <v>0.6</v>
      </c>
      <c r="E59" s="12">
        <f t="shared" si="4"/>
        <v>1</v>
      </c>
      <c r="F59" s="12">
        <f t="shared" si="4"/>
        <v>0.75</v>
      </c>
      <c r="G59" s="12">
        <f t="shared" si="4"/>
        <v>1</v>
      </c>
      <c r="H59" s="12">
        <f t="shared" si="4"/>
        <v>0.75</v>
      </c>
    </row>
    <row r="60" spans="1:8" ht="15" x14ac:dyDescent="0.35">
      <c r="A60" s="13">
        <v>2072</v>
      </c>
      <c r="B60" s="12">
        <f t="shared" si="4"/>
        <v>0.6</v>
      </c>
      <c r="C60" s="12">
        <f t="shared" si="4"/>
        <v>1</v>
      </c>
      <c r="D60" s="12">
        <f t="shared" si="4"/>
        <v>0.6</v>
      </c>
      <c r="E60" s="12">
        <f t="shared" si="4"/>
        <v>1</v>
      </c>
      <c r="F60" s="12">
        <f t="shared" si="4"/>
        <v>0.75</v>
      </c>
      <c r="G60" s="12">
        <f t="shared" si="4"/>
        <v>1</v>
      </c>
      <c r="H60" s="12">
        <f t="shared" si="4"/>
        <v>0.75</v>
      </c>
    </row>
    <row r="61" spans="1:8" ht="15" x14ac:dyDescent="0.35">
      <c r="A61" s="13">
        <v>2073</v>
      </c>
      <c r="B61" s="12">
        <f t="shared" ref="B61:H76" si="5">MIN(B$5,B$4+($A61-$A$11)/B$7*(B$6-B$4))</f>
        <v>0.6</v>
      </c>
      <c r="C61" s="12">
        <f t="shared" si="5"/>
        <v>1</v>
      </c>
      <c r="D61" s="12">
        <f t="shared" si="5"/>
        <v>0.6</v>
      </c>
      <c r="E61" s="12">
        <f t="shared" si="5"/>
        <v>1</v>
      </c>
      <c r="F61" s="12">
        <f t="shared" si="5"/>
        <v>0.75</v>
      </c>
      <c r="G61" s="12">
        <f t="shared" si="5"/>
        <v>1</v>
      </c>
      <c r="H61" s="12">
        <f t="shared" si="5"/>
        <v>0.75</v>
      </c>
    </row>
    <row r="62" spans="1:8" ht="15" x14ac:dyDescent="0.35">
      <c r="A62" s="13">
        <v>2074</v>
      </c>
      <c r="B62" s="12">
        <f t="shared" si="5"/>
        <v>0.6</v>
      </c>
      <c r="C62" s="12">
        <f t="shared" si="5"/>
        <v>1</v>
      </c>
      <c r="D62" s="12">
        <f t="shared" si="5"/>
        <v>0.6</v>
      </c>
      <c r="E62" s="12">
        <f t="shared" si="5"/>
        <v>1</v>
      </c>
      <c r="F62" s="12">
        <f t="shared" si="5"/>
        <v>0.75</v>
      </c>
      <c r="G62" s="12">
        <f t="shared" si="5"/>
        <v>1</v>
      </c>
      <c r="H62" s="12">
        <f t="shared" si="5"/>
        <v>0.75</v>
      </c>
    </row>
    <row r="63" spans="1:8" ht="15" x14ac:dyDescent="0.35">
      <c r="A63" s="13">
        <v>2075</v>
      </c>
      <c r="B63" s="12">
        <f t="shared" si="5"/>
        <v>0.6</v>
      </c>
      <c r="C63" s="12">
        <f t="shared" si="5"/>
        <v>1</v>
      </c>
      <c r="D63" s="12">
        <f t="shared" si="5"/>
        <v>0.6</v>
      </c>
      <c r="E63" s="12">
        <f t="shared" si="5"/>
        <v>1</v>
      </c>
      <c r="F63" s="12">
        <f t="shared" si="5"/>
        <v>0.75</v>
      </c>
      <c r="G63" s="12">
        <f t="shared" si="5"/>
        <v>1</v>
      </c>
      <c r="H63" s="12">
        <f t="shared" si="5"/>
        <v>0.75</v>
      </c>
    </row>
    <row r="64" spans="1:8" ht="15" x14ac:dyDescent="0.35">
      <c r="A64" s="13">
        <v>2076</v>
      </c>
      <c r="B64" s="12">
        <f t="shared" si="5"/>
        <v>0.6</v>
      </c>
      <c r="C64" s="12">
        <f t="shared" si="5"/>
        <v>1</v>
      </c>
      <c r="D64" s="12">
        <f t="shared" si="5"/>
        <v>0.6</v>
      </c>
      <c r="E64" s="12">
        <f t="shared" si="5"/>
        <v>1</v>
      </c>
      <c r="F64" s="12">
        <f t="shared" si="5"/>
        <v>0.75</v>
      </c>
      <c r="G64" s="12">
        <f t="shared" si="5"/>
        <v>1</v>
      </c>
      <c r="H64" s="12">
        <f t="shared" si="5"/>
        <v>0.75</v>
      </c>
    </row>
    <row r="65" spans="1:8" ht="15" x14ac:dyDescent="0.35">
      <c r="A65" s="13">
        <v>2077</v>
      </c>
      <c r="B65" s="12">
        <f t="shared" si="5"/>
        <v>0.6</v>
      </c>
      <c r="C65" s="12">
        <f t="shared" si="5"/>
        <v>1</v>
      </c>
      <c r="D65" s="12">
        <f t="shared" si="5"/>
        <v>0.6</v>
      </c>
      <c r="E65" s="12">
        <f t="shared" si="5"/>
        <v>1</v>
      </c>
      <c r="F65" s="12">
        <f t="shared" si="5"/>
        <v>0.75</v>
      </c>
      <c r="G65" s="12">
        <f t="shared" si="5"/>
        <v>1</v>
      </c>
      <c r="H65" s="12">
        <f t="shared" si="5"/>
        <v>0.75</v>
      </c>
    </row>
    <row r="66" spans="1:8" ht="15" x14ac:dyDescent="0.35">
      <c r="A66" s="13">
        <v>2078</v>
      </c>
      <c r="B66" s="12">
        <f t="shared" si="5"/>
        <v>0.6</v>
      </c>
      <c r="C66" s="12">
        <f t="shared" si="5"/>
        <v>1</v>
      </c>
      <c r="D66" s="12">
        <f t="shared" si="5"/>
        <v>0.6</v>
      </c>
      <c r="E66" s="12">
        <f t="shared" si="5"/>
        <v>1</v>
      </c>
      <c r="F66" s="12">
        <f t="shared" si="5"/>
        <v>0.75</v>
      </c>
      <c r="G66" s="12">
        <f t="shared" si="5"/>
        <v>1</v>
      </c>
      <c r="H66" s="12">
        <f t="shared" si="5"/>
        <v>0.75</v>
      </c>
    </row>
    <row r="67" spans="1:8" ht="15" x14ac:dyDescent="0.35">
      <c r="A67" s="13">
        <v>2079</v>
      </c>
      <c r="B67" s="12">
        <f t="shared" si="5"/>
        <v>0.6</v>
      </c>
      <c r="C67" s="12">
        <f t="shared" si="5"/>
        <v>1</v>
      </c>
      <c r="D67" s="12">
        <f t="shared" si="5"/>
        <v>0.6</v>
      </c>
      <c r="E67" s="12">
        <f t="shared" si="5"/>
        <v>1</v>
      </c>
      <c r="F67" s="12">
        <f t="shared" si="5"/>
        <v>0.75</v>
      </c>
      <c r="G67" s="12">
        <f t="shared" si="5"/>
        <v>1</v>
      </c>
      <c r="H67" s="12">
        <f t="shared" si="5"/>
        <v>0.75</v>
      </c>
    </row>
    <row r="68" spans="1:8" ht="15" x14ac:dyDescent="0.35">
      <c r="A68" s="13">
        <v>2080</v>
      </c>
      <c r="B68" s="12">
        <f t="shared" si="5"/>
        <v>0.6</v>
      </c>
      <c r="C68" s="12">
        <f t="shared" si="5"/>
        <v>1</v>
      </c>
      <c r="D68" s="12">
        <f t="shared" si="5"/>
        <v>0.6</v>
      </c>
      <c r="E68" s="12">
        <f t="shared" si="5"/>
        <v>1</v>
      </c>
      <c r="F68" s="12">
        <f t="shared" si="5"/>
        <v>0.75</v>
      </c>
      <c r="G68" s="12">
        <f t="shared" si="5"/>
        <v>1</v>
      </c>
      <c r="H68" s="12">
        <f t="shared" si="5"/>
        <v>0.75</v>
      </c>
    </row>
    <row r="69" spans="1:8" ht="15" x14ac:dyDescent="0.35">
      <c r="A69" s="13">
        <v>2081</v>
      </c>
      <c r="B69" s="12">
        <f t="shared" si="5"/>
        <v>0.6</v>
      </c>
      <c r="C69" s="12">
        <f t="shared" si="5"/>
        <v>1</v>
      </c>
      <c r="D69" s="12">
        <f t="shared" si="5"/>
        <v>0.6</v>
      </c>
      <c r="E69" s="12">
        <f t="shared" si="5"/>
        <v>1</v>
      </c>
      <c r="F69" s="12">
        <f t="shared" si="5"/>
        <v>0.75</v>
      </c>
      <c r="G69" s="12">
        <f t="shared" si="5"/>
        <v>1</v>
      </c>
      <c r="H69" s="12">
        <f t="shared" si="5"/>
        <v>0.75</v>
      </c>
    </row>
    <row r="70" spans="1:8" ht="15" x14ac:dyDescent="0.35">
      <c r="A70" s="13">
        <v>2082</v>
      </c>
      <c r="B70" s="12">
        <f t="shared" si="5"/>
        <v>0.6</v>
      </c>
      <c r="C70" s="12">
        <f t="shared" si="5"/>
        <v>1</v>
      </c>
      <c r="D70" s="12">
        <f t="shared" si="5"/>
        <v>0.6</v>
      </c>
      <c r="E70" s="12">
        <f t="shared" si="5"/>
        <v>1</v>
      </c>
      <c r="F70" s="12">
        <f t="shared" si="5"/>
        <v>0.75</v>
      </c>
      <c r="G70" s="12">
        <f t="shared" si="5"/>
        <v>1</v>
      </c>
      <c r="H70" s="12">
        <f t="shared" si="5"/>
        <v>0.75</v>
      </c>
    </row>
    <row r="71" spans="1:8" ht="15" x14ac:dyDescent="0.35">
      <c r="A71" s="13">
        <v>2083</v>
      </c>
      <c r="B71" s="12">
        <f t="shared" si="5"/>
        <v>0.6</v>
      </c>
      <c r="C71" s="12">
        <f t="shared" si="5"/>
        <v>1</v>
      </c>
      <c r="D71" s="12">
        <f t="shared" si="5"/>
        <v>0.6</v>
      </c>
      <c r="E71" s="12">
        <f t="shared" si="5"/>
        <v>1</v>
      </c>
      <c r="F71" s="12">
        <f t="shared" si="5"/>
        <v>0.75</v>
      </c>
      <c r="G71" s="12">
        <f t="shared" si="5"/>
        <v>1</v>
      </c>
      <c r="H71" s="12">
        <f t="shared" si="5"/>
        <v>0.75</v>
      </c>
    </row>
    <row r="72" spans="1:8" ht="15" x14ac:dyDescent="0.35">
      <c r="A72" s="13">
        <v>2084</v>
      </c>
      <c r="B72" s="12">
        <f t="shared" si="5"/>
        <v>0.6</v>
      </c>
      <c r="C72" s="12">
        <f t="shared" si="5"/>
        <v>1</v>
      </c>
      <c r="D72" s="12">
        <f t="shared" si="5"/>
        <v>0.6</v>
      </c>
      <c r="E72" s="12">
        <f t="shared" si="5"/>
        <v>1</v>
      </c>
      <c r="F72" s="12">
        <f t="shared" si="5"/>
        <v>0.75</v>
      </c>
      <c r="G72" s="12">
        <f t="shared" si="5"/>
        <v>1</v>
      </c>
      <c r="H72" s="12">
        <f t="shared" si="5"/>
        <v>0.75</v>
      </c>
    </row>
    <row r="73" spans="1:8" ht="15" x14ac:dyDescent="0.35">
      <c r="A73" s="13">
        <v>2085</v>
      </c>
      <c r="B73" s="12">
        <f t="shared" si="5"/>
        <v>0.6</v>
      </c>
      <c r="C73" s="12">
        <f t="shared" si="5"/>
        <v>1</v>
      </c>
      <c r="D73" s="12">
        <f t="shared" si="5"/>
        <v>0.6</v>
      </c>
      <c r="E73" s="12">
        <f t="shared" si="5"/>
        <v>1</v>
      </c>
      <c r="F73" s="12">
        <f t="shared" si="5"/>
        <v>0.75</v>
      </c>
      <c r="G73" s="12">
        <f t="shared" si="5"/>
        <v>1</v>
      </c>
      <c r="H73" s="12">
        <f t="shared" si="5"/>
        <v>0.75</v>
      </c>
    </row>
    <row r="74" spans="1:8" ht="15" x14ac:dyDescent="0.35">
      <c r="A74" s="13">
        <v>2086</v>
      </c>
      <c r="B74" s="12">
        <f t="shared" si="5"/>
        <v>0.6</v>
      </c>
      <c r="C74" s="12">
        <f t="shared" si="5"/>
        <v>1</v>
      </c>
      <c r="D74" s="12">
        <f t="shared" si="5"/>
        <v>0.6</v>
      </c>
      <c r="E74" s="12">
        <f t="shared" si="5"/>
        <v>1</v>
      </c>
      <c r="F74" s="12">
        <f t="shared" si="5"/>
        <v>0.75</v>
      </c>
      <c r="G74" s="12">
        <f t="shared" si="5"/>
        <v>1</v>
      </c>
      <c r="H74" s="12">
        <f t="shared" si="5"/>
        <v>0.75</v>
      </c>
    </row>
    <row r="75" spans="1:8" ht="15" x14ac:dyDescent="0.35">
      <c r="A75" s="13">
        <v>2087</v>
      </c>
      <c r="B75" s="12">
        <f t="shared" si="5"/>
        <v>0.6</v>
      </c>
      <c r="C75" s="12">
        <f t="shared" si="5"/>
        <v>1</v>
      </c>
      <c r="D75" s="12">
        <f t="shared" si="5"/>
        <v>0.6</v>
      </c>
      <c r="E75" s="12">
        <f t="shared" si="5"/>
        <v>1</v>
      </c>
      <c r="F75" s="12">
        <f t="shared" si="5"/>
        <v>0.75</v>
      </c>
      <c r="G75" s="12">
        <f t="shared" si="5"/>
        <v>1</v>
      </c>
      <c r="H75" s="12">
        <f t="shared" si="5"/>
        <v>0.75</v>
      </c>
    </row>
    <row r="76" spans="1:8" ht="15" x14ac:dyDescent="0.35">
      <c r="A76" s="13">
        <v>2088</v>
      </c>
      <c r="B76" s="12">
        <f t="shared" si="5"/>
        <v>0.6</v>
      </c>
      <c r="C76" s="12">
        <f t="shared" si="5"/>
        <v>1</v>
      </c>
      <c r="D76" s="12">
        <f t="shared" si="5"/>
        <v>0.6</v>
      </c>
      <c r="E76" s="12">
        <f t="shared" si="5"/>
        <v>1</v>
      </c>
      <c r="F76" s="12">
        <f t="shared" si="5"/>
        <v>0.75</v>
      </c>
      <c r="G76" s="12">
        <f t="shared" si="5"/>
        <v>1</v>
      </c>
      <c r="H76" s="12">
        <f t="shared" si="5"/>
        <v>0.75</v>
      </c>
    </row>
    <row r="77" spans="1:8" ht="15" x14ac:dyDescent="0.35">
      <c r="A77" s="13">
        <v>2089</v>
      </c>
      <c r="B77" s="12">
        <f t="shared" ref="B77:H88" si="6">MIN(B$5,B$4+($A77-$A$11)/B$7*(B$6-B$4))</f>
        <v>0.6</v>
      </c>
      <c r="C77" s="12">
        <f t="shared" si="6"/>
        <v>1</v>
      </c>
      <c r="D77" s="12">
        <f t="shared" si="6"/>
        <v>0.6</v>
      </c>
      <c r="E77" s="12">
        <f t="shared" si="6"/>
        <v>1</v>
      </c>
      <c r="F77" s="12">
        <f t="shared" si="6"/>
        <v>0.75</v>
      </c>
      <c r="G77" s="12">
        <f t="shared" si="6"/>
        <v>1</v>
      </c>
      <c r="H77" s="12">
        <f t="shared" si="6"/>
        <v>0.75</v>
      </c>
    </row>
    <row r="78" spans="1:8" ht="15" x14ac:dyDescent="0.35">
      <c r="A78" s="13">
        <v>2090</v>
      </c>
      <c r="B78" s="12">
        <f t="shared" si="6"/>
        <v>0.6</v>
      </c>
      <c r="C78" s="12">
        <f t="shared" si="6"/>
        <v>1</v>
      </c>
      <c r="D78" s="12">
        <f t="shared" si="6"/>
        <v>0.6</v>
      </c>
      <c r="E78" s="12">
        <f t="shared" si="6"/>
        <v>1</v>
      </c>
      <c r="F78" s="12">
        <f t="shared" si="6"/>
        <v>0.75</v>
      </c>
      <c r="G78" s="12">
        <f t="shared" si="6"/>
        <v>1</v>
      </c>
      <c r="H78" s="12">
        <f t="shared" si="6"/>
        <v>0.75</v>
      </c>
    </row>
    <row r="79" spans="1:8" ht="15" x14ac:dyDescent="0.35">
      <c r="A79" s="13">
        <v>2091</v>
      </c>
      <c r="B79" s="12">
        <f t="shared" si="6"/>
        <v>0.6</v>
      </c>
      <c r="C79" s="12">
        <f t="shared" si="6"/>
        <v>1</v>
      </c>
      <c r="D79" s="12">
        <f t="shared" si="6"/>
        <v>0.6</v>
      </c>
      <c r="E79" s="12">
        <f t="shared" si="6"/>
        <v>1</v>
      </c>
      <c r="F79" s="12">
        <f t="shared" si="6"/>
        <v>0.75</v>
      </c>
      <c r="G79" s="12">
        <f t="shared" si="6"/>
        <v>1</v>
      </c>
      <c r="H79" s="12">
        <f t="shared" si="6"/>
        <v>0.75</v>
      </c>
    </row>
    <row r="80" spans="1:8" ht="15" x14ac:dyDescent="0.35">
      <c r="A80" s="13">
        <v>2092</v>
      </c>
      <c r="B80" s="12">
        <f t="shared" si="6"/>
        <v>0.6</v>
      </c>
      <c r="C80" s="12">
        <f t="shared" si="6"/>
        <v>1</v>
      </c>
      <c r="D80" s="12">
        <f t="shared" si="6"/>
        <v>0.6</v>
      </c>
      <c r="E80" s="12">
        <f t="shared" si="6"/>
        <v>1</v>
      </c>
      <c r="F80" s="12">
        <f t="shared" si="6"/>
        <v>0.75</v>
      </c>
      <c r="G80" s="12">
        <f t="shared" si="6"/>
        <v>1</v>
      </c>
      <c r="H80" s="12">
        <f t="shared" si="6"/>
        <v>0.75</v>
      </c>
    </row>
    <row r="81" spans="1:8" ht="15" x14ac:dyDescent="0.35">
      <c r="A81" s="13">
        <v>2093</v>
      </c>
      <c r="B81" s="12">
        <f t="shared" si="6"/>
        <v>0.6</v>
      </c>
      <c r="C81" s="12">
        <f t="shared" si="6"/>
        <v>1</v>
      </c>
      <c r="D81" s="12">
        <f t="shared" si="6"/>
        <v>0.6</v>
      </c>
      <c r="E81" s="12">
        <f t="shared" si="6"/>
        <v>1</v>
      </c>
      <c r="F81" s="12">
        <f t="shared" si="6"/>
        <v>0.75</v>
      </c>
      <c r="G81" s="12">
        <f t="shared" si="6"/>
        <v>1</v>
      </c>
      <c r="H81" s="12">
        <f t="shared" si="6"/>
        <v>0.75</v>
      </c>
    </row>
    <row r="82" spans="1:8" ht="15" x14ac:dyDescent="0.35">
      <c r="A82" s="13">
        <v>2094</v>
      </c>
      <c r="B82" s="12">
        <f t="shared" si="6"/>
        <v>0.6</v>
      </c>
      <c r="C82" s="12">
        <f t="shared" si="6"/>
        <v>1</v>
      </c>
      <c r="D82" s="12">
        <f t="shared" si="6"/>
        <v>0.6</v>
      </c>
      <c r="E82" s="12">
        <f t="shared" si="6"/>
        <v>1</v>
      </c>
      <c r="F82" s="12">
        <f t="shared" si="6"/>
        <v>0.75</v>
      </c>
      <c r="G82" s="12">
        <f t="shared" si="6"/>
        <v>1</v>
      </c>
      <c r="H82" s="12">
        <f t="shared" si="6"/>
        <v>0.75</v>
      </c>
    </row>
    <row r="83" spans="1:8" ht="15" x14ac:dyDescent="0.35">
      <c r="A83" s="13">
        <v>2095</v>
      </c>
      <c r="B83" s="12">
        <f t="shared" si="6"/>
        <v>0.6</v>
      </c>
      <c r="C83" s="12">
        <f t="shared" si="6"/>
        <v>1</v>
      </c>
      <c r="D83" s="12">
        <f t="shared" si="6"/>
        <v>0.6</v>
      </c>
      <c r="E83" s="12">
        <f t="shared" si="6"/>
        <v>1</v>
      </c>
      <c r="F83" s="12">
        <f t="shared" si="6"/>
        <v>0.75</v>
      </c>
      <c r="G83" s="12">
        <f t="shared" si="6"/>
        <v>1</v>
      </c>
      <c r="H83" s="12">
        <f t="shared" si="6"/>
        <v>0.75</v>
      </c>
    </row>
    <row r="84" spans="1:8" ht="15" x14ac:dyDescent="0.35">
      <c r="A84" s="13">
        <v>2096</v>
      </c>
      <c r="B84" s="12">
        <f t="shared" si="6"/>
        <v>0.6</v>
      </c>
      <c r="C84" s="12">
        <f t="shared" si="6"/>
        <v>1</v>
      </c>
      <c r="D84" s="12">
        <f t="shared" si="6"/>
        <v>0.6</v>
      </c>
      <c r="E84" s="12">
        <f t="shared" si="6"/>
        <v>1</v>
      </c>
      <c r="F84" s="12">
        <f t="shared" si="6"/>
        <v>0.75</v>
      </c>
      <c r="G84" s="12">
        <f t="shared" si="6"/>
        <v>1</v>
      </c>
      <c r="H84" s="12">
        <f t="shared" si="6"/>
        <v>0.75</v>
      </c>
    </row>
    <row r="85" spans="1:8" ht="15" x14ac:dyDescent="0.35">
      <c r="A85" s="13">
        <v>2097</v>
      </c>
      <c r="B85" s="12">
        <f t="shared" si="6"/>
        <v>0.6</v>
      </c>
      <c r="C85" s="12">
        <f t="shared" si="6"/>
        <v>1</v>
      </c>
      <c r="D85" s="12">
        <f t="shared" si="6"/>
        <v>0.6</v>
      </c>
      <c r="E85" s="12">
        <f t="shared" si="6"/>
        <v>1</v>
      </c>
      <c r="F85" s="12">
        <f t="shared" si="6"/>
        <v>0.75</v>
      </c>
      <c r="G85" s="12">
        <f t="shared" si="6"/>
        <v>1</v>
      </c>
      <c r="H85" s="12">
        <f t="shared" si="6"/>
        <v>0.75</v>
      </c>
    </row>
    <row r="86" spans="1:8" ht="15" x14ac:dyDescent="0.35">
      <c r="A86" s="13">
        <v>2098</v>
      </c>
      <c r="B86" s="12">
        <f t="shared" si="6"/>
        <v>0.6</v>
      </c>
      <c r="C86" s="12">
        <f t="shared" si="6"/>
        <v>1</v>
      </c>
      <c r="D86" s="12">
        <f t="shared" si="6"/>
        <v>0.6</v>
      </c>
      <c r="E86" s="12">
        <f t="shared" si="6"/>
        <v>1</v>
      </c>
      <c r="F86" s="12">
        <f t="shared" si="6"/>
        <v>0.75</v>
      </c>
      <c r="G86" s="12">
        <f t="shared" si="6"/>
        <v>1</v>
      </c>
      <c r="H86" s="12">
        <f t="shared" si="6"/>
        <v>0.75</v>
      </c>
    </row>
    <row r="87" spans="1:8" ht="15" x14ac:dyDescent="0.35">
      <c r="A87" s="13">
        <v>2099</v>
      </c>
      <c r="B87" s="12">
        <f t="shared" si="6"/>
        <v>0.6</v>
      </c>
      <c r="C87" s="12">
        <f t="shared" si="6"/>
        <v>1</v>
      </c>
      <c r="D87" s="12">
        <f t="shared" si="6"/>
        <v>0.6</v>
      </c>
      <c r="E87" s="12">
        <f t="shared" si="6"/>
        <v>1</v>
      </c>
      <c r="F87" s="12">
        <f t="shared" si="6"/>
        <v>0.75</v>
      </c>
      <c r="G87" s="12">
        <f t="shared" si="6"/>
        <v>1</v>
      </c>
      <c r="H87" s="12">
        <f t="shared" si="6"/>
        <v>0.75</v>
      </c>
    </row>
    <row r="88" spans="1:8" ht="15" x14ac:dyDescent="0.35">
      <c r="A88" s="13">
        <v>2100</v>
      </c>
      <c r="B88" s="12">
        <f t="shared" si="6"/>
        <v>0.6</v>
      </c>
      <c r="C88" s="12">
        <f t="shared" si="6"/>
        <v>1</v>
      </c>
      <c r="D88" s="12">
        <f t="shared" si="6"/>
        <v>0.6</v>
      </c>
      <c r="E88" s="12">
        <f t="shared" si="6"/>
        <v>1</v>
      </c>
      <c r="F88" s="12">
        <f t="shared" si="6"/>
        <v>0.75</v>
      </c>
      <c r="G88" s="12">
        <f t="shared" si="6"/>
        <v>1</v>
      </c>
      <c r="H88" s="12">
        <f t="shared" si="6"/>
        <v>0.75</v>
      </c>
    </row>
  </sheetData>
  <mergeCells count="4">
    <mergeCell ref="B2:H2"/>
    <mergeCell ref="B10:H10"/>
    <mergeCell ref="A9:H9"/>
    <mergeCell ref="A2:A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73593-E8AE-4707-BFB5-20F0151EEC51}">
  <dimension ref="A1:R82"/>
  <sheetViews>
    <sheetView topLeftCell="A4" workbookViewId="0">
      <selection activeCell="A4" sqref="A4"/>
    </sheetView>
  </sheetViews>
  <sheetFormatPr defaultRowHeight="13.8" x14ac:dyDescent="0.3"/>
  <cols>
    <col min="1" max="1" width="42.21875" customWidth="1"/>
    <col min="2" max="17" width="11.77734375" customWidth="1"/>
    <col min="18" max="18" width="25.33203125" customWidth="1"/>
  </cols>
  <sheetData>
    <row r="1" spans="1:18" ht="15.6" thickBot="1" x14ac:dyDescent="0.4">
      <c r="J1" s="38"/>
      <c r="K1" s="38"/>
      <c r="L1" s="38"/>
      <c r="M1" s="38"/>
      <c r="N1" s="38"/>
      <c r="O1" s="38"/>
      <c r="P1" s="38"/>
      <c r="Q1" s="27"/>
    </row>
    <row r="2" spans="1:18" ht="15" customHeight="1" x14ac:dyDescent="0.3">
      <c r="A2" s="39"/>
      <c r="B2" s="41" t="s">
        <v>22</v>
      </c>
      <c r="C2" s="42"/>
      <c r="D2" s="42"/>
      <c r="E2" s="42"/>
      <c r="F2" s="42"/>
      <c r="G2" s="42"/>
      <c r="H2" s="42"/>
      <c r="I2" s="43"/>
      <c r="J2" s="41" t="s">
        <v>22</v>
      </c>
      <c r="K2" s="42"/>
      <c r="L2" s="42"/>
      <c r="M2" s="42"/>
      <c r="N2" s="42"/>
      <c r="O2" s="42"/>
      <c r="P2" s="42"/>
      <c r="Q2" s="43"/>
    </row>
    <row r="3" spans="1:18" ht="45" x14ac:dyDescent="0.3">
      <c r="A3" s="40"/>
      <c r="B3" s="23" t="s">
        <v>18</v>
      </c>
      <c r="C3" s="3" t="s">
        <v>17</v>
      </c>
      <c r="D3" s="3" t="s">
        <v>19</v>
      </c>
      <c r="E3" s="3" t="s">
        <v>14</v>
      </c>
      <c r="F3" s="3" t="s">
        <v>20</v>
      </c>
      <c r="G3" s="3" t="s">
        <v>16</v>
      </c>
      <c r="H3" s="3" t="s">
        <v>15</v>
      </c>
      <c r="I3" s="22" t="s">
        <v>9</v>
      </c>
      <c r="J3" s="23" t="s">
        <v>18</v>
      </c>
      <c r="K3" s="3" t="s">
        <v>17</v>
      </c>
      <c r="L3" s="3" t="s">
        <v>19</v>
      </c>
      <c r="M3" s="3" t="s">
        <v>14</v>
      </c>
      <c r="N3" s="3" t="s">
        <v>20</v>
      </c>
      <c r="O3" s="3" t="s">
        <v>16</v>
      </c>
      <c r="P3" s="3" t="s">
        <v>15</v>
      </c>
      <c r="Q3" s="22" t="s">
        <v>9</v>
      </c>
    </row>
    <row r="4" spans="1:18" ht="15" x14ac:dyDescent="0.35">
      <c r="A4" s="30" t="s">
        <v>3</v>
      </c>
      <c r="B4" s="44" t="s">
        <v>68</v>
      </c>
      <c r="C4" s="34"/>
      <c r="D4" s="34"/>
      <c r="E4" s="34"/>
      <c r="F4" s="34"/>
      <c r="G4" s="34"/>
      <c r="H4" s="34"/>
      <c r="I4" s="45"/>
      <c r="J4" s="44" t="s">
        <v>69</v>
      </c>
      <c r="K4" s="34"/>
      <c r="L4" s="34"/>
      <c r="M4" s="34"/>
      <c r="N4" s="34"/>
      <c r="O4" s="34"/>
      <c r="P4" s="34"/>
      <c r="Q4" s="45"/>
      <c r="R4" s="28" t="s">
        <v>108</v>
      </c>
    </row>
    <row r="5" spans="1:18" ht="15" x14ac:dyDescent="0.35">
      <c r="A5" s="31">
        <v>2023</v>
      </c>
      <c r="B5" s="25">
        <f ca="1">'Electrification Scenario'!B11*(1-'Electrification Scenario'!B$8*('Electrification Scenario'!B11-'Electrification Scenario'!B$4)/('Electrification Scenario'!B$5-'Electrification Scenario'!B$4))*VLOOKUP(B$3,'Static Parameters'!$A$3:$B$9,2)*VLOOKUP($A5,'Growth Scenarios'!$E$3:$I$80,MATCH('Scenario Picker'!$B$3,'Growth Scenarios'!$F$2:$I$2,0)+1)/1000000000*VLOOKUP($A5,'Growth Scenarios'!$A$3:$D$80,MATCH('Scenario Picker'!$B$2,'Growth Scenarios'!$B$2:$D$2,0)+1)</f>
        <v>2.8802758182691006</v>
      </c>
      <c r="C5" s="21">
        <f ca="1">'Electrification Scenario'!C11*(1-'Electrification Scenario'!C$8*('Electrification Scenario'!C11-'Electrification Scenario'!C$4)/('Electrification Scenario'!C$5-'Electrification Scenario'!C$4))*VLOOKUP(C$3,'Static Parameters'!$A$3:$B$9,2)*VLOOKUP($A5,'Growth Scenarios'!$E$3:$I$80,MATCH('Scenario Picker'!$B$3,'Growth Scenarios'!$F$2:$I$2,0)+1)/1000000000*VLOOKUP($A5,'Growth Scenarios'!$A$3:$D$80,MATCH('Scenario Picker'!$B$2,'Growth Scenarios'!$B$2:$D$2,0)+1)</f>
        <v>18.055922602697695</v>
      </c>
      <c r="D5" s="21">
        <f ca="1">'Electrification Scenario'!D11*(1-'Electrification Scenario'!D$8*('Electrification Scenario'!D11-'Electrification Scenario'!D$4)/('Electrification Scenario'!D$5-'Electrification Scenario'!D$4))*VLOOKUP(D$3,'Static Parameters'!$A$3:$B$9,2)*VLOOKUP($A5,'Growth Scenarios'!$E$3:$I$80,MATCH('Scenario Picker'!$B$3,'Growth Scenarios'!$F$2:$I$2,0)+1)/1000000000*VLOOKUP($A5,'Growth Scenarios'!$A$3:$D$80,MATCH('Scenario Picker'!$B$2,'Growth Scenarios'!$B$2:$D$2,0)+1)</f>
        <v>4.2584723119570032E-2</v>
      </c>
      <c r="E5" s="21">
        <f ca="1">'Electrification Scenario'!E11*(1-'Electrification Scenario'!E$8*('Electrification Scenario'!E11-'Electrification Scenario'!E$4)/('Electrification Scenario'!E$5-'Electrification Scenario'!E$4))*VLOOKUP(E$3,'Static Parameters'!$A$3:$B$9,2)*VLOOKUP($A5,'Growth Scenarios'!$E$3:$I$80,MATCH('Scenario Picker'!$B$3,'Growth Scenarios'!$F$2:$I$2,0)+1)/1000000000*VLOOKUP($A5,'Growth Scenarios'!$A$3:$D$80,MATCH('Scenario Picker'!$B$2,'Growth Scenarios'!$B$2:$D$2,0)+1)</f>
        <v>37.83459082250527</v>
      </c>
      <c r="F5" s="21">
        <f ca="1">'Electrification Scenario'!F11*(1-'Electrification Scenario'!F$8*('Electrification Scenario'!F11-'Electrification Scenario'!F$4)/('Electrification Scenario'!F$5-'Electrification Scenario'!F$4))*VLOOKUP(F$3,'Static Parameters'!$A$3:$B$9,2)*VLOOKUP($A5,'Growth Scenarios'!$E$3:$I$80,MATCH('Scenario Picker'!$B$3,'Growth Scenarios'!$F$2:$I$2,0)+1)/1000000000*VLOOKUP($A5,'Growth Scenarios'!$A$3:$D$80,MATCH('Scenario Picker'!$B$2,'Growth Scenarios'!$B$2:$D$2,0)+1)</f>
        <v>4.0803907425478929</v>
      </c>
      <c r="G5" s="21">
        <f ca="1">'Electrification Scenario'!G11*(1-'Electrification Scenario'!G$8*('Electrification Scenario'!G11-'Electrification Scenario'!G$4)/('Electrification Scenario'!G$5-'Electrification Scenario'!G$4))*VLOOKUP(G$3,'Static Parameters'!$A$3:$B$9,2)*VLOOKUP($A5,'Growth Scenarios'!$E$3:$I$80,MATCH('Scenario Picker'!$B$3,'Growth Scenarios'!$F$2:$I$2,0)+1)/1000000000*VLOOKUP($A5,'Growth Scenarios'!$A$3:$D$80,MATCH('Scenario Picker'!$B$2,'Growth Scenarios'!$B$2:$D$2,0)+1)</f>
        <v>24.389432332117391</v>
      </c>
      <c r="H5" s="21">
        <f ca="1">'Electrification Scenario'!H11*(1-'Electrification Scenario'!H$8*('Electrification Scenario'!H11-'Electrification Scenario'!H$4)/('Electrification Scenario'!H$5-'Electrification Scenario'!H$4))*VLOOKUP(H$3,'Static Parameters'!$A$3:$B$9,2)*VLOOKUP($A5,'Growth Scenarios'!$E$3:$I$80,MATCH('Scenario Picker'!$B$3,'Growth Scenarios'!$F$2:$I$2,0)+1)/1000000000*VLOOKUP($A5,'Growth Scenarios'!$A$3:$D$80,MATCH('Scenario Picker'!$B$2,'Growth Scenarios'!$B$2:$D$2,0)+1)</f>
        <v>1.1923722473479608</v>
      </c>
      <c r="I5" s="28">
        <f ca="1">SUM(B5:H5)</f>
        <v>88.475569288604888</v>
      </c>
      <c r="J5" s="25">
        <f ca="1">(1-'Electrification Scenario'!B11)*VLOOKUP(B$3,'Static Parameters'!$A$3:$B$9,2)*VLOOKUP($A5,'Growth Scenarios'!$E$3:$I$80,MATCH('Scenario Picker'!$B$3,'Growth Scenarios'!$F$2:$I$2,0)+1)/1000000000*VLOOKUP($A5,'Growth Scenarios'!$A$3:$D$80,MATCH('Scenario Picker'!$B$2,'Growth Scenarios'!$B$2:$D$2,0)+1)</f>
        <v>6.410936498727998</v>
      </c>
      <c r="K5" s="21">
        <f ca="1">(1-'Electrification Scenario'!C11)*VLOOKUP(C$3,'Static Parameters'!$A$3:$B$9,2)*VLOOKUP($A5,'Growth Scenarios'!$E$3:$I$80,MATCH('Scenario Picker'!$B$3,'Growth Scenarios'!$F$2:$I$2,0)+1)/1000000000*VLOOKUP($A5,'Growth Scenarios'!$A$3:$D$80,MATCH('Scenario Picker'!$B$2,'Growth Scenarios'!$B$2:$D$2,0)+1)</f>
        <v>16.01185589295833</v>
      </c>
      <c r="L5" s="21">
        <f ca="1">(1-'Electrification Scenario'!D11)*VLOOKUP(D$3,'Static Parameters'!$A$3:$B$9,2)*VLOOKUP($A5,'Growth Scenarios'!$E$3:$I$80,MATCH('Scenario Picker'!$B$3,'Growth Scenarios'!$F$2:$I$2,0)+1)/1000000000*VLOOKUP($A5,'Growth Scenarios'!$A$3:$D$80,MATCH('Scenario Picker'!$B$2,'Growth Scenarios'!$B$2:$D$2,0)+1)</f>
        <v>0.34454912342197574</v>
      </c>
      <c r="M5" s="21">
        <f ca="1">(1-'Electrification Scenario'!E11)*VLOOKUP(E$3,'Static Parameters'!$A$3:$B$9,2)*VLOOKUP($A5,'Growth Scenarios'!$E$3:$I$80,MATCH('Scenario Picker'!$B$3,'Growth Scenarios'!$F$2:$I$2,0)+1)/1000000000*VLOOKUP($A5,'Growth Scenarios'!$A$3:$D$80,MATCH('Scenario Picker'!$B$2,'Growth Scenarios'!$B$2:$D$2,0)+1)</f>
        <v>92.629515461995666</v>
      </c>
      <c r="N5" s="21">
        <f ca="1">(1-'Electrification Scenario'!F11)*VLOOKUP(F$3,'Static Parameters'!$A$3:$B$9,2)*VLOOKUP($A5,'Growth Scenarios'!$E$3:$I$80,MATCH('Scenario Picker'!$B$3,'Growth Scenarios'!$F$2:$I$2,0)+1)/1000000000*VLOOKUP($A5,'Growth Scenarios'!$A$3:$D$80,MATCH('Scenario Picker'!$B$2,'Growth Scenarios'!$B$2:$D$2,0)+1)</f>
        <v>2.5008846486583858</v>
      </c>
      <c r="O5" s="21">
        <f ca="1">(1-'Electrification Scenario'!G11)*VLOOKUP(G$3,'Static Parameters'!$A$3:$B$9,2)*VLOOKUP($A5,'Growth Scenarios'!$E$3:$I$80,MATCH('Scenario Picker'!$B$3,'Growth Scenarios'!$F$2:$I$2,0)+1)/1000000000*VLOOKUP($A5,'Growth Scenarios'!$A$3:$D$80,MATCH('Scenario Picker'!$B$2,'Growth Scenarios'!$B$2:$D$2,0)+1)</f>
        <v>62.715683139730416</v>
      </c>
      <c r="P5" s="21">
        <f ca="1">(1-'Electrification Scenario'!H11)*VLOOKUP(H$3,'Static Parameters'!$A$3:$B$9,2)*VLOOKUP($A5,'Growth Scenarios'!$E$3:$I$80,MATCH('Scenario Picker'!$B$3,'Growth Scenarios'!$F$2:$I$2,0)+1)/1000000000*VLOOKUP($A5,'Growth Scenarios'!$A$3:$D$80,MATCH('Scenario Picker'!$B$2,'Growth Scenarios'!$B$2:$D$2,0)+1)</f>
        <v>118.04485248744813</v>
      </c>
      <c r="Q5" s="28">
        <f ca="1">SUM(J5:P5)</f>
        <v>298.65827725294088</v>
      </c>
      <c r="R5" s="28">
        <f ca="1">Q5+I5</f>
        <v>387.13384654154578</v>
      </c>
    </row>
    <row r="6" spans="1:18" ht="15" x14ac:dyDescent="0.35">
      <c r="A6" s="31">
        <v>2024</v>
      </c>
      <c r="B6" s="25">
        <f ca="1">'Electrification Scenario'!B12*(1-'Electrification Scenario'!B$8*('Electrification Scenario'!B12-'Electrification Scenario'!B$4)/('Electrification Scenario'!B$5-'Electrification Scenario'!B$4))*VLOOKUP(B$3,'Static Parameters'!$A$3:$B$9,2)*VLOOKUP($A6,'Growth Scenarios'!$E$3:$I$80,MATCH('Scenario Picker'!$B$3,'Growth Scenarios'!$F$2:$I$2,0)+1)/1000000000*VLOOKUP($A6,'Growth Scenarios'!$A$3:$D$80,MATCH('Scenario Picker'!$B$2,'Growth Scenarios'!$B$2:$D$2,0)+1)</f>
        <v>2.9925560545771277</v>
      </c>
      <c r="C6" s="21">
        <f ca="1">'Electrification Scenario'!C12*(1-'Electrification Scenario'!C$8*('Electrification Scenario'!C12-'Electrification Scenario'!C$4)/('Electrification Scenario'!C$5-'Electrification Scenario'!C$4))*VLOOKUP(C$3,'Static Parameters'!$A$3:$B$9,2)*VLOOKUP($A6,'Growth Scenarios'!$E$3:$I$80,MATCH('Scenario Picker'!$B$3,'Growth Scenarios'!$F$2:$I$2,0)+1)/1000000000*VLOOKUP($A6,'Growth Scenarios'!$A$3:$D$80,MATCH('Scenario Picker'!$B$2,'Growth Scenarios'!$B$2:$D$2,0)+1)</f>
        <v>18.725874712773049</v>
      </c>
      <c r="D6" s="21">
        <f ca="1">'Electrification Scenario'!D12*(1-'Electrification Scenario'!D$8*('Electrification Scenario'!D12-'Electrification Scenario'!D$4)/('Electrification Scenario'!D$5-'Electrification Scenario'!D$4))*VLOOKUP(D$3,'Static Parameters'!$A$3:$B$9,2)*VLOOKUP($A6,'Growth Scenarios'!$E$3:$I$80,MATCH('Scenario Picker'!$B$3,'Growth Scenarios'!$F$2:$I$2,0)+1)/1000000000*VLOOKUP($A6,'Growth Scenarios'!$A$3:$D$80,MATCH('Scenario Picker'!$B$2,'Growth Scenarios'!$B$2:$D$2,0)+1)</f>
        <v>5.0025263387392105E-2</v>
      </c>
      <c r="E6" s="21">
        <f ca="1">'Electrification Scenario'!E12*(1-'Electrification Scenario'!E$8*('Electrification Scenario'!E12-'Electrification Scenario'!E$4)/('Electrification Scenario'!E$5-'Electrification Scenario'!E$4))*VLOOKUP(E$3,'Static Parameters'!$A$3:$B$9,2)*VLOOKUP($A6,'Growth Scenarios'!$E$3:$I$80,MATCH('Scenario Picker'!$B$3,'Growth Scenarios'!$F$2:$I$2,0)+1)/1000000000*VLOOKUP($A6,'Growth Scenarios'!$A$3:$D$80,MATCH('Scenario Picker'!$B$2,'Growth Scenarios'!$B$2:$D$2,0)+1)</f>
        <v>41.517235382924447</v>
      </c>
      <c r="F6" s="21">
        <f ca="1">'Electrification Scenario'!F12*(1-'Electrification Scenario'!F$8*('Electrification Scenario'!F12-'Electrification Scenario'!F$4)/('Electrification Scenario'!F$5-'Electrification Scenario'!F$4))*VLOOKUP(F$3,'Static Parameters'!$A$3:$B$9,2)*VLOOKUP($A6,'Growth Scenarios'!$E$3:$I$80,MATCH('Scenario Picker'!$B$3,'Growth Scenarios'!$F$2:$I$2,0)+1)/1000000000*VLOOKUP($A6,'Growth Scenarios'!$A$3:$D$80,MATCH('Scenario Picker'!$B$2,'Growth Scenarios'!$B$2:$D$2,0)+1)</f>
        <v>4.1252176151543498</v>
      </c>
      <c r="G6" s="21">
        <f ca="1">'Electrification Scenario'!G12*(1-'Electrification Scenario'!G$8*('Electrification Scenario'!G12-'Electrification Scenario'!G$4)/('Electrification Scenario'!G$5-'Electrification Scenario'!G$4))*VLOOKUP(G$3,'Static Parameters'!$A$3:$B$9,2)*VLOOKUP($A6,'Growth Scenarios'!$E$3:$I$80,MATCH('Scenario Picker'!$B$3,'Growth Scenarios'!$F$2:$I$2,0)+1)/1000000000*VLOOKUP($A6,'Growth Scenarios'!$A$3:$D$80,MATCH('Scenario Picker'!$B$2,'Growth Scenarios'!$B$2:$D$2,0)+1)</f>
        <v>26.879245999195764</v>
      </c>
      <c r="H6" s="21">
        <f ca="1">'Electrification Scenario'!H12*(1-'Electrification Scenario'!H$8*('Electrification Scenario'!H12-'Electrification Scenario'!H$4)/('Electrification Scenario'!H$5-'Electrification Scenario'!H$4))*VLOOKUP(H$3,'Static Parameters'!$A$3:$B$9,2)*VLOOKUP($A6,'Growth Scenarios'!$E$3:$I$80,MATCH('Scenario Picker'!$B$3,'Growth Scenarios'!$F$2:$I$2,0)+1)/1000000000*VLOOKUP($A6,'Growth Scenarios'!$A$3:$D$80,MATCH('Scenario Picker'!$B$2,'Growth Scenarios'!$B$2:$D$2,0)+1)</f>
        <v>4.5458569784169569</v>
      </c>
      <c r="I6" s="28">
        <f t="shared" ref="I6:I69" ca="1" si="0">SUM(B6:H6)</f>
        <v>98.836012006429087</v>
      </c>
      <c r="J6" s="25">
        <f ca="1">(1-'Electrification Scenario'!B12)*VLOOKUP(B$3,'Static Parameters'!$A$3:$B$9,2)*VLOOKUP($A6,'Growth Scenarios'!$E$3:$I$80,MATCH('Scenario Picker'!$B$3,'Growth Scenarios'!$F$2:$I$2,0)+1)/1000000000*VLOOKUP($A6,'Growth Scenarios'!$A$3:$D$80,MATCH('Scenario Picker'!$B$2,'Growth Scenarios'!$B$2:$D$2,0)+1)</f>
        <v>6.3746180821865286</v>
      </c>
      <c r="K6" s="21">
        <f ca="1">(1-'Electrification Scenario'!C12)*VLOOKUP(C$3,'Static Parameters'!$A$3:$B$9,2)*VLOOKUP($A6,'Growth Scenarios'!$E$3:$I$80,MATCH('Scenario Picker'!$B$3,'Growth Scenarios'!$F$2:$I$2,0)+1)/1000000000*VLOOKUP($A6,'Growth Scenarios'!$A$3:$D$80,MATCH('Scenario Picker'!$B$2,'Growth Scenarios'!$B$2:$D$2,0)+1)</f>
        <v>15.560328368698938</v>
      </c>
      <c r="L6" s="21">
        <f ca="1">(1-'Electrification Scenario'!D12)*VLOOKUP(D$3,'Static Parameters'!$A$3:$B$9,2)*VLOOKUP($A6,'Growth Scenarios'!$E$3:$I$80,MATCH('Scenario Picker'!$B$3,'Growth Scenarios'!$F$2:$I$2,0)+1)/1000000000*VLOOKUP($A6,'Growth Scenarios'!$A$3:$D$80,MATCH('Scenario Picker'!$B$2,'Growth Scenarios'!$B$2:$D$2,0)+1)</f>
        <v>0.34085245411124854</v>
      </c>
      <c r="M6" s="21">
        <f ca="1">(1-'Electrification Scenario'!E12)*VLOOKUP(E$3,'Static Parameters'!$A$3:$B$9,2)*VLOOKUP($A6,'Growth Scenarios'!$E$3:$I$80,MATCH('Scenario Picker'!$B$3,'Growth Scenarios'!$F$2:$I$2,0)+1)/1000000000*VLOOKUP($A6,'Growth Scenarios'!$A$3:$D$80,MATCH('Scenario Picker'!$B$2,'Growth Scenarios'!$B$2:$D$2,0)+1)</f>
        <v>90.017402533331619</v>
      </c>
      <c r="N6" s="21">
        <f ca="1">(1-'Electrification Scenario'!F12)*VLOOKUP(F$3,'Static Parameters'!$A$3:$B$9,2)*VLOOKUP($A6,'Growth Scenarios'!$E$3:$I$80,MATCH('Scenario Picker'!$B$3,'Growth Scenarios'!$F$2:$I$2,0)+1)/1000000000*VLOOKUP($A6,'Growth Scenarios'!$A$3:$D$80,MATCH('Scenario Picker'!$B$2,'Growth Scenarios'!$B$2:$D$2,0)+1)</f>
        <v>2.4943176277677463</v>
      </c>
      <c r="O6" s="21">
        <f ca="1">(1-'Electrification Scenario'!G12)*VLOOKUP(G$3,'Static Parameters'!$A$3:$B$9,2)*VLOOKUP($A6,'Growth Scenarios'!$E$3:$I$80,MATCH('Scenario Picker'!$B$3,'Growth Scenarios'!$F$2:$I$2,0)+1)/1000000000*VLOOKUP($A6,'Growth Scenarios'!$A$3:$D$80,MATCH('Scenario Picker'!$B$2,'Growth Scenarios'!$B$2:$D$2,0)+1)</f>
        <v>60.947127556315969</v>
      </c>
      <c r="P6" s="21">
        <f ca="1">(1-'Electrification Scenario'!H12)*VLOOKUP(H$3,'Static Parameters'!$A$3:$B$9,2)*VLOOKUP($A6,'Growth Scenarios'!$E$3:$I$80,MATCH('Scenario Picker'!$B$3,'Growth Scenarios'!$F$2:$I$2,0)+1)/1000000000*VLOOKUP($A6,'Growth Scenarios'!$A$3:$D$80,MATCH('Scenario Picker'!$B$2,'Growth Scenarios'!$B$2:$D$2,0)+1)</f>
        <v>115.87478572435381</v>
      </c>
      <c r="Q6" s="28">
        <f t="shared" ref="Q6:Q69" ca="1" si="1">SUM(J6:P6)</f>
        <v>291.60943234676586</v>
      </c>
      <c r="R6" s="28">
        <f t="shared" ref="R6:R69" ca="1" si="2">Q6+I6</f>
        <v>390.44544435319494</v>
      </c>
    </row>
    <row r="7" spans="1:18" ht="15" x14ac:dyDescent="0.35">
      <c r="A7" s="31">
        <v>2025</v>
      </c>
      <c r="B7" s="25">
        <f ca="1">'Electrification Scenario'!B13*(1-'Electrification Scenario'!B$8*('Electrification Scenario'!B13-'Electrification Scenario'!B$4)/('Electrification Scenario'!B$5-'Electrification Scenario'!B$4))*VLOOKUP(B$3,'Static Parameters'!$A$3:$B$9,2)*VLOOKUP($A7,'Growth Scenarios'!$E$3:$I$80,MATCH('Scenario Picker'!$B$3,'Growth Scenarios'!$F$2:$I$2,0)+1)/1000000000*VLOOKUP($A7,'Growth Scenarios'!$A$3:$D$80,MATCH('Scenario Picker'!$B$2,'Growth Scenarios'!$B$2:$D$2,0)+1)</f>
        <v>3.1054203711004678</v>
      </c>
      <c r="C7" s="21">
        <f ca="1">'Electrification Scenario'!C13*(1-'Electrification Scenario'!C$8*('Electrification Scenario'!C13-'Electrification Scenario'!C$4)/('Electrification Scenario'!C$5-'Electrification Scenario'!C$4))*VLOOKUP(C$3,'Static Parameters'!$A$3:$B$9,2)*VLOOKUP($A7,'Growth Scenarios'!$E$3:$I$80,MATCH('Scenario Picker'!$B$3,'Growth Scenarios'!$F$2:$I$2,0)+1)/1000000000*VLOOKUP($A7,'Growth Scenarios'!$A$3:$D$80,MATCH('Scenario Picker'!$B$2,'Growth Scenarios'!$B$2:$D$2,0)+1)</f>
        <v>19.399292688602923</v>
      </c>
      <c r="D7" s="21">
        <f ca="1">'Electrification Scenario'!D13*(1-'Electrification Scenario'!D$8*('Electrification Scenario'!D13-'Electrification Scenario'!D$4)/('Electrification Scenario'!D$5-'Electrification Scenario'!D$4))*VLOOKUP(D$3,'Static Parameters'!$A$3:$B$9,2)*VLOOKUP($A7,'Growth Scenarios'!$E$3:$I$80,MATCH('Scenario Picker'!$B$3,'Growth Scenarios'!$F$2:$I$2,0)+1)/1000000000*VLOOKUP($A7,'Growth Scenarios'!$A$3:$D$80,MATCH('Scenario Picker'!$B$2,'Growth Scenarios'!$B$2:$D$2,0)+1)</f>
        <v>5.7507784650008657E-2</v>
      </c>
      <c r="E7" s="21">
        <f ca="1">'Electrification Scenario'!E13*(1-'Electrification Scenario'!E$8*('Electrification Scenario'!E13-'Electrification Scenario'!E$4)/('Electrification Scenario'!E$5-'Electrification Scenario'!E$4))*VLOOKUP(E$3,'Static Parameters'!$A$3:$B$9,2)*VLOOKUP($A7,'Growth Scenarios'!$E$3:$I$80,MATCH('Scenario Picker'!$B$3,'Growth Scenarios'!$F$2:$I$2,0)+1)/1000000000*VLOOKUP($A7,'Growth Scenarios'!$A$3:$D$80,MATCH('Scenario Picker'!$B$2,'Growth Scenarios'!$B$2:$D$2,0)+1)</f>
        <v>45.220287996456804</v>
      </c>
      <c r="F7" s="21">
        <f ca="1">'Electrification Scenario'!F13*(1-'Electrification Scenario'!F$8*('Electrification Scenario'!F13-'Electrification Scenario'!F$4)/('Electrification Scenario'!F$5-'Electrification Scenario'!F$4))*VLOOKUP(F$3,'Static Parameters'!$A$3:$B$9,2)*VLOOKUP($A7,'Growth Scenarios'!$E$3:$I$80,MATCH('Scenario Picker'!$B$3,'Growth Scenarios'!$F$2:$I$2,0)+1)/1000000000*VLOOKUP($A7,'Growth Scenarios'!$A$3:$D$80,MATCH('Scenario Picker'!$B$2,'Growth Scenarios'!$B$2:$D$2,0)+1)</f>
        <v>4.1702129462607846</v>
      </c>
      <c r="G7" s="21">
        <f ca="1">'Electrification Scenario'!G13*(1-'Electrification Scenario'!G$8*('Electrification Scenario'!G13-'Electrification Scenario'!G$4)/('Electrification Scenario'!G$5-'Electrification Scenario'!G$4))*VLOOKUP(G$3,'Static Parameters'!$A$3:$B$9,2)*VLOOKUP($A7,'Growth Scenarios'!$E$3:$I$80,MATCH('Scenario Picker'!$B$3,'Growth Scenarios'!$F$2:$I$2,0)+1)/1000000000*VLOOKUP($A7,'Growth Scenarios'!$A$3:$D$80,MATCH('Scenario Picker'!$B$2,'Growth Scenarios'!$B$2:$D$2,0)+1)</f>
        <v>29.382883719613798</v>
      </c>
      <c r="H7" s="21">
        <f ca="1">'Electrification Scenario'!H13*(1-'Electrification Scenario'!H$8*('Electrification Scenario'!H13-'Electrification Scenario'!H$4)/('Electrification Scenario'!H$5-'Electrification Scenario'!H$4))*VLOOKUP(H$3,'Static Parameters'!$A$3:$B$9,2)*VLOOKUP($A7,'Growth Scenarios'!$E$3:$I$80,MATCH('Scenario Picker'!$B$3,'Growth Scenarios'!$F$2:$I$2,0)+1)/1000000000*VLOOKUP($A7,'Growth Scenarios'!$A$3:$D$80,MATCH('Scenario Picker'!$B$2,'Growth Scenarios'!$B$2:$D$2,0)+1)</f>
        <v>7.837822456266438</v>
      </c>
      <c r="I7" s="28">
        <f t="shared" ca="1" si="0"/>
        <v>109.17342796295124</v>
      </c>
      <c r="J7" s="25">
        <f ca="1">(1-'Electrification Scenario'!B13)*VLOOKUP(B$3,'Static Parameters'!$A$3:$B$9,2)*VLOOKUP($A7,'Growth Scenarios'!$E$3:$I$80,MATCH('Scenario Picker'!$B$3,'Growth Scenarios'!$F$2:$I$2,0)+1)/1000000000*VLOOKUP($A7,'Growth Scenarios'!$A$3:$D$80,MATCH('Scenario Picker'!$B$2,'Growth Scenarios'!$B$2:$D$2,0)+1)</f>
        <v>6.3370883006904064</v>
      </c>
      <c r="K7" s="21">
        <f ca="1">(1-'Electrification Scenario'!C13)*VLOOKUP(C$3,'Static Parameters'!$A$3:$B$9,2)*VLOOKUP($A7,'Growth Scenarios'!$E$3:$I$80,MATCH('Scenario Picker'!$B$3,'Growth Scenarios'!$F$2:$I$2,0)+1)/1000000000*VLOOKUP($A7,'Growth Scenarios'!$A$3:$D$80,MATCH('Scenario Picker'!$B$2,'Growth Scenarios'!$B$2:$D$2,0)+1)</f>
        <v>15.098039868465159</v>
      </c>
      <c r="L7" s="21">
        <f ca="1">(1-'Electrification Scenario'!D13)*VLOOKUP(D$3,'Static Parameters'!$A$3:$B$9,2)*VLOOKUP($A7,'Growth Scenarios'!$E$3:$I$80,MATCH('Scenario Picker'!$B$3,'Growth Scenarios'!$F$2:$I$2,0)+1)/1000000000*VLOOKUP($A7,'Growth Scenarios'!$A$3:$D$80,MATCH('Scenario Picker'!$B$2,'Growth Scenarios'!$B$2:$D$2,0)+1)</f>
        <v>0.33705327559355669</v>
      </c>
      <c r="M7" s="21">
        <f ca="1">(1-'Electrification Scenario'!E13)*VLOOKUP(E$3,'Static Parameters'!$A$3:$B$9,2)*VLOOKUP($A7,'Growth Scenarios'!$E$3:$I$80,MATCH('Scenario Picker'!$B$3,'Growth Scenarios'!$F$2:$I$2,0)+1)/1000000000*VLOOKUP($A7,'Growth Scenarios'!$A$3:$D$80,MATCH('Scenario Picker'!$B$2,'Growth Scenarios'!$B$2:$D$2,0)+1)</f>
        <v>87.343036734227766</v>
      </c>
      <c r="N7" s="21">
        <f ca="1">(1-'Electrification Scenario'!F13)*VLOOKUP(F$3,'Static Parameters'!$A$3:$B$9,2)*VLOOKUP($A7,'Growth Scenarios'!$E$3:$I$80,MATCH('Scenario Picker'!$B$3,'Growth Scenarios'!$F$2:$I$2,0)+1)/1000000000*VLOOKUP($A7,'Growth Scenarios'!$A$3:$D$80,MATCH('Scenario Picker'!$B$2,'Growth Scenarios'!$B$2:$D$2,0)+1)</f>
        <v>2.4874410058921592</v>
      </c>
      <c r="O7" s="21">
        <f ca="1">(1-'Electrification Scenario'!G13)*VLOOKUP(G$3,'Static Parameters'!$A$3:$B$9,2)*VLOOKUP($A7,'Growth Scenarios'!$E$3:$I$80,MATCH('Scenario Picker'!$B$3,'Growth Scenarios'!$F$2:$I$2,0)+1)/1000000000*VLOOKUP($A7,'Growth Scenarios'!$A$3:$D$80,MATCH('Scenario Picker'!$B$2,'Growth Scenarios'!$B$2:$D$2,0)+1)</f>
        <v>59.13642308247961</v>
      </c>
      <c r="P7" s="21">
        <f ca="1">(1-'Electrification Scenario'!H13)*VLOOKUP(H$3,'Static Parameters'!$A$3:$B$9,2)*VLOOKUP($A7,'Growth Scenarios'!$E$3:$I$80,MATCH('Scenario Picker'!$B$3,'Growth Scenarios'!$F$2:$I$2,0)+1)/1000000000*VLOOKUP($A7,'Growth Scenarios'!$A$3:$D$80,MATCH('Scenario Picker'!$B$2,'Growth Scenarios'!$B$2:$D$2,0)+1)</f>
        <v>113.65022741412919</v>
      </c>
      <c r="Q7" s="28">
        <f t="shared" ca="1" si="1"/>
        <v>284.38930968147787</v>
      </c>
      <c r="R7" s="28">
        <f t="shared" ca="1" si="2"/>
        <v>393.56273764442909</v>
      </c>
    </row>
    <row r="8" spans="1:18" ht="15" x14ac:dyDescent="0.35">
      <c r="A8" s="31">
        <v>2026</v>
      </c>
      <c r="B8" s="25">
        <f ca="1">'Electrification Scenario'!B14*(1-'Electrification Scenario'!B$8*('Electrification Scenario'!B14-'Electrification Scenario'!B$4)/('Electrification Scenario'!B$5-'Electrification Scenario'!B$4))*VLOOKUP(B$3,'Static Parameters'!$A$3:$B$9,2)*VLOOKUP($A8,'Growth Scenarios'!$E$3:$I$80,MATCH('Scenario Picker'!$B$3,'Growth Scenarios'!$F$2:$I$2,0)+1)/1000000000*VLOOKUP($A8,'Growth Scenarios'!$A$3:$D$80,MATCH('Scenario Picker'!$B$2,'Growth Scenarios'!$B$2:$D$2,0)+1)</f>
        <v>3.2187839867801893</v>
      </c>
      <c r="C8" s="21">
        <f ca="1">'Electrification Scenario'!C14*(1-'Electrification Scenario'!C$8*('Electrification Scenario'!C14-'Electrification Scenario'!C$4)/('Electrification Scenario'!C$5-'Electrification Scenario'!C$4))*VLOOKUP(C$3,'Static Parameters'!$A$3:$B$9,2)*VLOOKUP($A8,'Growth Scenarios'!$E$3:$I$80,MATCH('Scenario Picker'!$B$3,'Growth Scenarios'!$F$2:$I$2,0)+1)/1000000000*VLOOKUP($A8,'Growth Scenarios'!$A$3:$D$80,MATCH('Scenario Picker'!$B$2,'Growth Scenarios'!$B$2:$D$2,0)+1)</f>
        <v>20.075648240056058</v>
      </c>
      <c r="D8" s="21">
        <f ca="1">'Electrification Scenario'!D14*(1-'Electrification Scenario'!D$8*('Electrification Scenario'!D14-'Electrification Scenario'!D$4)/('Electrification Scenario'!D$5-'Electrification Scenario'!D$4))*VLOOKUP(D$3,'Static Parameters'!$A$3:$B$9,2)*VLOOKUP($A8,'Growth Scenarios'!$E$3:$I$80,MATCH('Scenario Picker'!$B$3,'Growth Scenarios'!$F$2:$I$2,0)+1)/1000000000*VLOOKUP($A8,'Growth Scenarios'!$A$3:$D$80,MATCH('Scenario Picker'!$B$2,'Growth Scenarios'!$B$2:$D$2,0)+1)</f>
        <v>6.5030490214437381E-2</v>
      </c>
      <c r="E8" s="21">
        <f ca="1">'Electrification Scenario'!E14*(1-'Electrification Scenario'!E$8*('Electrification Scenario'!E14-'Electrification Scenario'!E$4)/('Electrification Scenario'!E$5-'Electrification Scenario'!E$4))*VLOOKUP(E$3,'Static Parameters'!$A$3:$B$9,2)*VLOOKUP($A8,'Growth Scenarios'!$E$3:$I$80,MATCH('Scenario Picker'!$B$3,'Growth Scenarios'!$F$2:$I$2,0)+1)/1000000000*VLOOKUP($A8,'Growth Scenarios'!$A$3:$D$80,MATCH('Scenario Picker'!$B$2,'Growth Scenarios'!$B$2:$D$2,0)+1)</f>
        <v>48.942427530232429</v>
      </c>
      <c r="F8" s="21">
        <f ca="1">'Electrification Scenario'!F14*(1-'Electrification Scenario'!F$8*('Electrification Scenario'!F14-'Electrification Scenario'!F$4)/('Electrification Scenario'!F$5-'Electrification Scenario'!F$4))*VLOOKUP(F$3,'Static Parameters'!$A$3:$B$9,2)*VLOOKUP($A8,'Growth Scenarios'!$E$3:$I$80,MATCH('Scenario Picker'!$B$3,'Growth Scenarios'!$F$2:$I$2,0)+1)/1000000000*VLOOKUP($A8,'Growth Scenarios'!$A$3:$D$80,MATCH('Scenario Picker'!$B$2,'Growth Scenarios'!$B$2:$D$2,0)+1)</f>
        <v>4.2152673645464533</v>
      </c>
      <c r="G8" s="21">
        <f ca="1">'Electrification Scenario'!G14*(1-'Electrification Scenario'!G$8*('Electrification Scenario'!G14-'Electrification Scenario'!G$4)/('Electrification Scenario'!G$5-'Electrification Scenario'!G$4))*VLOOKUP(G$3,'Static Parameters'!$A$3:$B$9,2)*VLOOKUP($A8,'Growth Scenarios'!$E$3:$I$80,MATCH('Scenario Picker'!$B$3,'Growth Scenarios'!$F$2:$I$2,0)+1)/1000000000*VLOOKUP($A8,'Growth Scenarios'!$A$3:$D$80,MATCH('Scenario Picker'!$B$2,'Growth Scenarios'!$B$2:$D$2,0)+1)</f>
        <v>31.899482959691689</v>
      </c>
      <c r="H8" s="21">
        <f ca="1">'Electrification Scenario'!H14*(1-'Electrification Scenario'!H$8*('Electrification Scenario'!H14-'Electrification Scenario'!H$4)/('Electrification Scenario'!H$5-'Electrification Scenario'!H$4))*VLOOKUP(H$3,'Static Parameters'!$A$3:$B$9,2)*VLOOKUP($A8,'Growth Scenarios'!$E$3:$I$80,MATCH('Scenario Picker'!$B$3,'Growth Scenarios'!$F$2:$I$2,0)+1)/1000000000*VLOOKUP($A8,'Growth Scenarios'!$A$3:$D$80,MATCH('Scenario Picker'!$B$2,'Growth Scenarios'!$B$2:$D$2,0)+1)</f>
        <v>11.065317927589955</v>
      </c>
      <c r="I8" s="28">
        <f t="shared" ca="1" si="0"/>
        <v>119.4819584991112</v>
      </c>
      <c r="J8" s="25">
        <f ca="1">(1-'Electrification Scenario'!B14)*VLOOKUP(B$3,'Static Parameters'!$A$3:$B$9,2)*VLOOKUP($A8,'Growth Scenarios'!$E$3:$I$80,MATCH('Scenario Picker'!$B$3,'Growth Scenarios'!$F$2:$I$2,0)+1)/1000000000*VLOOKUP($A8,'Growth Scenarios'!$A$3:$D$80,MATCH('Scenario Picker'!$B$2,'Growth Scenarios'!$B$2:$D$2,0)+1)</f>
        <v>6.2981576258598544</v>
      </c>
      <c r="K8" s="21">
        <f ca="1">(1-'Electrification Scenario'!C14)*VLOOKUP(C$3,'Static Parameters'!$A$3:$B$9,2)*VLOOKUP($A8,'Growth Scenarios'!$E$3:$I$80,MATCH('Scenario Picker'!$B$3,'Growth Scenarios'!$F$2:$I$2,0)+1)/1000000000*VLOOKUP($A8,'Growth Scenarios'!$A$3:$D$80,MATCH('Scenario Picker'!$B$2,'Growth Scenarios'!$B$2:$D$2,0)+1)</f>
        <v>14.624368742257278</v>
      </c>
      <c r="L8" s="21">
        <f ca="1">(1-'Electrification Scenario'!D14)*VLOOKUP(D$3,'Static Parameters'!$A$3:$B$9,2)*VLOOKUP($A8,'Growth Scenarios'!$E$3:$I$80,MATCH('Scenario Picker'!$B$3,'Growth Scenarios'!$F$2:$I$2,0)+1)/1000000000*VLOOKUP($A8,'Growth Scenarios'!$A$3:$D$80,MATCH('Scenario Picker'!$B$2,'Growth Scenarios'!$B$2:$D$2,0)+1)</f>
        <v>0.33314068480858972</v>
      </c>
      <c r="M8" s="21">
        <f ca="1">(1-'Electrification Scenario'!E14)*VLOOKUP(E$3,'Static Parameters'!$A$3:$B$9,2)*VLOOKUP($A8,'Growth Scenarios'!$E$3:$I$80,MATCH('Scenario Picker'!$B$3,'Growth Scenarios'!$F$2:$I$2,0)+1)/1000000000*VLOOKUP($A8,'Growth Scenarios'!$A$3:$D$80,MATCH('Scenario Picker'!$B$2,'Growth Scenarios'!$B$2:$D$2,0)+1)</f>
        <v>84.60282178336314</v>
      </c>
      <c r="N8" s="21">
        <f ca="1">(1-'Electrification Scenario'!F14)*VLOOKUP(F$3,'Static Parameters'!$A$3:$B$9,2)*VLOOKUP($A8,'Growth Scenarios'!$E$3:$I$80,MATCH('Scenario Picker'!$B$3,'Growth Scenarios'!$F$2:$I$2,0)+1)/1000000000*VLOOKUP($A8,'Growth Scenarios'!$A$3:$D$80,MATCH('Scenario Picker'!$B$2,'Growth Scenarios'!$B$2:$D$2,0)+1)</f>
        <v>2.4801839723197863</v>
      </c>
      <c r="O8" s="21">
        <f ca="1">(1-'Electrification Scenario'!G14)*VLOOKUP(G$3,'Static Parameters'!$A$3:$B$9,2)*VLOOKUP($A8,'Growth Scenarios'!$E$3:$I$80,MATCH('Scenario Picker'!$B$3,'Growth Scenarios'!$F$2:$I$2,0)+1)/1000000000*VLOOKUP($A8,'Growth Scenarios'!$A$3:$D$80,MATCH('Scenario Picker'!$B$2,'Growth Scenarios'!$B$2:$D$2,0)+1)</f>
        <v>57.281134822187589</v>
      </c>
      <c r="P8" s="21">
        <f ca="1">(1-'Electrification Scenario'!H14)*VLOOKUP(H$3,'Static Parameters'!$A$3:$B$9,2)*VLOOKUP($A8,'Growth Scenarios'!$E$3:$I$80,MATCH('Scenario Picker'!$B$3,'Growth Scenarios'!$F$2:$I$2,0)+1)/1000000000*VLOOKUP($A8,'Growth Scenarios'!$A$3:$D$80,MATCH('Scenario Picker'!$B$2,'Growth Scenarios'!$B$2:$D$2,0)+1)</f>
        <v>111.36707075509891</v>
      </c>
      <c r="Q8" s="28">
        <f t="shared" ca="1" si="1"/>
        <v>276.98687838589518</v>
      </c>
      <c r="R8" s="28">
        <f t="shared" ca="1" si="2"/>
        <v>396.4688368850064</v>
      </c>
    </row>
    <row r="9" spans="1:18" ht="15" x14ac:dyDescent="0.35">
      <c r="A9" s="31">
        <v>2027</v>
      </c>
      <c r="B9" s="25">
        <f ca="1">'Electrification Scenario'!B15*(1-'Electrification Scenario'!B$8*('Electrification Scenario'!B15-'Electrification Scenario'!B$4)/('Electrification Scenario'!B$5-'Electrification Scenario'!B$4))*VLOOKUP(B$3,'Static Parameters'!$A$3:$B$9,2)*VLOOKUP($A9,'Growth Scenarios'!$E$3:$I$80,MATCH('Scenario Picker'!$B$3,'Growth Scenarios'!$F$2:$I$2,0)+1)/1000000000*VLOOKUP($A9,'Growth Scenarios'!$A$3:$D$80,MATCH('Scenario Picker'!$B$2,'Growth Scenarios'!$B$2:$D$2,0)+1)</f>
        <v>3.3328189826779542</v>
      </c>
      <c r="C9" s="21">
        <f ca="1">'Electrification Scenario'!C15*(1-'Electrification Scenario'!C$8*('Electrification Scenario'!C15-'Electrification Scenario'!C$4)/('Electrification Scenario'!C$5-'Electrification Scenario'!C$4))*VLOOKUP(C$3,'Static Parameters'!$A$3:$B$9,2)*VLOOKUP($A9,'Growth Scenarios'!$E$3:$I$80,MATCH('Scenario Picker'!$B$3,'Growth Scenarios'!$F$2:$I$2,0)+1)/1000000000*VLOOKUP($A9,'Growth Scenarios'!$A$3:$D$80,MATCH('Scenario Picker'!$B$2,'Growth Scenarios'!$B$2:$D$2,0)+1)</f>
        <v>20.756015833554027</v>
      </c>
      <c r="D9" s="21">
        <f ca="1">'Electrification Scenario'!D15*(1-'Electrification Scenario'!D$8*('Electrification Scenario'!D15-'Electrification Scenario'!D$4)/('Electrification Scenario'!D$5-'Electrification Scenario'!D$4))*VLOOKUP(D$3,'Static Parameters'!$A$3:$B$9,2)*VLOOKUP($A9,'Growth Scenarios'!$E$3:$I$80,MATCH('Scenario Picker'!$B$3,'Growth Scenarios'!$F$2:$I$2,0)+1)/1000000000*VLOOKUP($A9,'Growth Scenarios'!$A$3:$D$80,MATCH('Scenario Picker'!$B$2,'Growth Scenarios'!$B$2:$D$2,0)+1)</f>
        <v>7.2596653545316969E-2</v>
      </c>
      <c r="E9" s="21">
        <f ca="1">'Electrification Scenario'!E15*(1-'Electrification Scenario'!E$8*('Electrification Scenario'!E15-'Electrification Scenario'!E$4)/('Electrification Scenario'!E$5-'Electrification Scenario'!E$4))*VLOOKUP(E$3,'Static Parameters'!$A$3:$B$9,2)*VLOOKUP($A9,'Growth Scenarios'!$E$3:$I$80,MATCH('Scenario Picker'!$B$3,'Growth Scenarios'!$F$2:$I$2,0)+1)/1000000000*VLOOKUP($A9,'Growth Scenarios'!$A$3:$D$80,MATCH('Scenario Picker'!$B$2,'Growth Scenarios'!$B$2:$D$2,0)+1)</f>
        <v>52.686192925462962</v>
      </c>
      <c r="F9" s="21">
        <f ca="1">'Electrification Scenario'!F15*(1-'Electrification Scenario'!F$8*('Electrification Scenario'!F15-'Electrification Scenario'!F$4)/('Electrification Scenario'!F$5-'Electrification Scenario'!F$4))*VLOOKUP(F$3,'Static Parameters'!$A$3:$B$9,2)*VLOOKUP($A9,'Growth Scenarios'!$E$3:$I$80,MATCH('Scenario Picker'!$B$3,'Growth Scenarios'!$F$2:$I$2,0)+1)/1000000000*VLOOKUP($A9,'Growth Scenarios'!$A$3:$D$80,MATCH('Scenario Picker'!$B$2,'Growth Scenarios'!$B$2:$D$2,0)+1)</f>
        <v>4.2606102396056569</v>
      </c>
      <c r="G9" s="21">
        <f ca="1">'Electrification Scenario'!G15*(1-'Electrification Scenario'!G$8*('Electrification Scenario'!G15-'Electrification Scenario'!G$4)/('Electrification Scenario'!G$5-'Electrification Scenario'!G$4))*VLOOKUP(G$3,'Static Parameters'!$A$3:$B$9,2)*VLOOKUP($A9,'Growth Scenarios'!$E$3:$I$80,MATCH('Scenario Picker'!$B$3,'Growth Scenarios'!$F$2:$I$2,0)+1)/1000000000*VLOOKUP($A9,'Growth Scenarios'!$A$3:$D$80,MATCH('Scenario Picker'!$B$2,'Growth Scenarios'!$B$2:$D$2,0)+1)</f>
        <v>34.430695021700124</v>
      </c>
      <c r="H9" s="21">
        <f ca="1">'Electrification Scenario'!H15*(1-'Electrification Scenario'!H$8*('Electrification Scenario'!H15-'Electrification Scenario'!H$4)/('Electrification Scenario'!H$5-'Electrification Scenario'!H$4))*VLOOKUP(H$3,'Static Parameters'!$A$3:$B$9,2)*VLOOKUP($A9,'Growth Scenarios'!$E$3:$I$80,MATCH('Scenario Picker'!$B$3,'Growth Scenarios'!$F$2:$I$2,0)+1)/1000000000*VLOOKUP($A9,'Growth Scenarios'!$A$3:$D$80,MATCH('Scenario Picker'!$B$2,'Growth Scenarios'!$B$2:$D$2,0)+1)</f>
        <v>14.22613260622477</v>
      </c>
      <c r="I9" s="28">
        <f t="shared" ca="1" si="0"/>
        <v>129.76506226277081</v>
      </c>
      <c r="J9" s="25">
        <f ca="1">(1-'Electrification Scenario'!B15)*VLOOKUP(B$3,'Static Parameters'!$A$3:$B$9,2)*VLOOKUP($A9,'Growth Scenarios'!$E$3:$I$80,MATCH('Scenario Picker'!$B$3,'Growth Scenarios'!$F$2:$I$2,0)+1)/1000000000*VLOOKUP($A9,'Growth Scenarios'!$A$3:$D$80,MATCH('Scenario Picker'!$B$2,'Growth Scenarios'!$B$2:$D$2,0)+1)</f>
        <v>6.2581442419978055</v>
      </c>
      <c r="K9" s="21">
        <f ca="1">(1-'Electrification Scenario'!C15)*VLOOKUP(C$3,'Static Parameters'!$A$3:$B$9,2)*VLOOKUP($A9,'Growth Scenarios'!$E$3:$I$80,MATCH('Scenario Picker'!$B$3,'Growth Scenarios'!$F$2:$I$2,0)+1)/1000000000*VLOOKUP($A9,'Growth Scenarios'!$A$3:$D$80,MATCH('Scenario Picker'!$B$2,'Growth Scenarios'!$B$2:$D$2,0)+1)</f>
        <v>14.139875369186138</v>
      </c>
      <c r="L9" s="21">
        <f ca="1">(1-'Electrification Scenario'!D15)*VLOOKUP(D$3,'Static Parameters'!$A$3:$B$9,2)*VLOOKUP($A9,'Growth Scenarios'!$E$3:$I$80,MATCH('Scenario Picker'!$B$3,'Growth Scenarios'!$F$2:$I$2,0)+1)/1000000000*VLOOKUP($A9,'Growth Scenarios'!$A$3:$D$80,MATCH('Scenario Picker'!$B$2,'Growth Scenarios'!$B$2:$D$2,0)+1)</f>
        <v>0.32913064919922896</v>
      </c>
      <c r="M9" s="21">
        <f ca="1">(1-'Electrification Scenario'!E15)*VLOOKUP(E$3,'Static Parameters'!$A$3:$B$9,2)*VLOOKUP($A9,'Growth Scenarios'!$E$3:$I$80,MATCH('Scenario Picker'!$B$3,'Growth Scenarios'!$F$2:$I$2,0)+1)/1000000000*VLOOKUP($A9,'Growth Scenarios'!$A$3:$D$80,MATCH('Scenario Picker'!$B$2,'Growth Scenarios'!$B$2:$D$2,0)+1)</f>
        <v>81.799999506411211</v>
      </c>
      <c r="N9" s="21">
        <f ca="1">(1-'Electrification Scenario'!F15)*VLOOKUP(F$3,'Static Parameters'!$A$3:$B$9,2)*VLOOKUP($A9,'Growth Scenarios'!$E$3:$I$80,MATCH('Scenario Picker'!$B$3,'Growth Scenarios'!$F$2:$I$2,0)+1)/1000000000*VLOOKUP($A9,'Growth Scenarios'!$A$3:$D$80,MATCH('Scenario Picker'!$B$2,'Growth Scenarios'!$B$2:$D$2,0)+1)</f>
        <v>2.4726755854854261</v>
      </c>
      <c r="O9" s="21">
        <f ca="1">(1-'Electrification Scenario'!G15)*VLOOKUP(G$3,'Static Parameters'!$A$3:$B$9,2)*VLOOKUP($A9,'Growth Scenarios'!$E$3:$I$80,MATCH('Scenario Picker'!$B$3,'Growth Scenarios'!$F$2:$I$2,0)+1)/1000000000*VLOOKUP($A9,'Growth Scenarios'!$A$3:$D$80,MATCH('Scenario Picker'!$B$2,'Growth Scenarios'!$B$2:$D$2,0)+1)</f>
        <v>55.383457683949587</v>
      </c>
      <c r="P9" s="21">
        <f ca="1">(1-'Electrification Scenario'!H15)*VLOOKUP(H$3,'Static Parameters'!$A$3:$B$9,2)*VLOOKUP($A9,'Growth Scenarios'!$E$3:$I$80,MATCH('Scenario Picker'!$B$3,'Growth Scenarios'!$F$2:$I$2,0)+1)/1000000000*VLOOKUP($A9,'Growth Scenarios'!$A$3:$D$80,MATCH('Scenario Picker'!$B$2,'Growth Scenarios'!$B$2:$D$2,0)+1)</f>
        <v>109.03019953435307</v>
      </c>
      <c r="Q9" s="28">
        <f t="shared" ca="1" si="1"/>
        <v>269.41348257058246</v>
      </c>
      <c r="R9" s="28">
        <f t="shared" ca="1" si="2"/>
        <v>399.17854483335327</v>
      </c>
    </row>
    <row r="10" spans="1:18" ht="15" x14ac:dyDescent="0.35">
      <c r="A10" s="31">
        <v>2028</v>
      </c>
      <c r="B10" s="25">
        <f ca="1">'Electrification Scenario'!B16*(1-'Electrification Scenario'!B$8*('Electrification Scenario'!B16-'Electrification Scenario'!B$4)/('Electrification Scenario'!B$5-'Electrification Scenario'!B$4))*VLOOKUP(B$3,'Static Parameters'!$A$3:$B$9,2)*VLOOKUP($A10,'Growth Scenarios'!$E$3:$I$80,MATCH('Scenario Picker'!$B$3,'Growth Scenarios'!$F$2:$I$2,0)+1)/1000000000*VLOOKUP($A10,'Growth Scenarios'!$A$3:$D$80,MATCH('Scenario Picker'!$B$2,'Growth Scenarios'!$B$2:$D$2,0)+1)</f>
        <v>3.4473650197913042</v>
      </c>
      <c r="C10" s="21">
        <f ca="1">'Electrification Scenario'!C16*(1-'Electrification Scenario'!C$8*('Electrification Scenario'!C16-'Electrification Scenario'!C$4)/('Electrification Scenario'!C$5-'Electrification Scenario'!C$4))*VLOOKUP(C$3,'Static Parameters'!$A$3:$B$9,2)*VLOOKUP($A10,'Growth Scenarios'!$E$3:$I$80,MATCH('Scenario Picker'!$B$3,'Growth Scenarios'!$F$2:$I$2,0)+1)/1000000000*VLOOKUP($A10,'Growth Scenarios'!$A$3:$D$80,MATCH('Scenario Picker'!$B$2,'Growth Scenarios'!$B$2:$D$2,0)+1)</f>
        <v>21.439396265740314</v>
      </c>
      <c r="D10" s="21">
        <f ca="1">'Electrification Scenario'!D16*(1-'Electrification Scenario'!D$8*('Electrification Scenario'!D16-'Electrification Scenario'!D$4)/('Electrification Scenario'!D$5-'Electrification Scenario'!D$4))*VLOOKUP(D$3,'Static Parameters'!$A$3:$B$9,2)*VLOOKUP($A10,'Growth Scenarios'!$E$3:$I$80,MATCH('Scenario Picker'!$B$3,'Growth Scenarios'!$F$2:$I$2,0)+1)/1000000000*VLOOKUP($A10,'Growth Scenarios'!$A$3:$D$80,MATCH('Scenario Picker'!$B$2,'Growth Scenarios'!$B$2:$D$2,0)+1)</f>
        <v>8.0202892810602111E-2</v>
      </c>
      <c r="E10" s="21">
        <f ca="1">'Electrification Scenario'!E16*(1-'Electrification Scenario'!E$8*('Electrification Scenario'!E16-'Electrification Scenario'!E$4)/('Electrification Scenario'!E$5-'Electrification Scenario'!E$4))*VLOOKUP(E$3,'Static Parameters'!$A$3:$B$9,2)*VLOOKUP($A10,'Growth Scenarios'!$E$3:$I$80,MATCH('Scenario Picker'!$B$3,'Growth Scenarios'!$F$2:$I$2,0)+1)/1000000000*VLOOKUP($A10,'Growth Scenarios'!$A$3:$D$80,MATCH('Scenario Picker'!$B$2,'Growth Scenarios'!$B$2:$D$2,0)+1)</f>
        <v>56.449091786788628</v>
      </c>
      <c r="F10" s="21">
        <f ca="1">'Electrification Scenario'!F16*(1-'Electrification Scenario'!F$8*('Electrification Scenario'!F16-'Electrification Scenario'!F$4)/('Electrification Scenario'!F$5-'Electrification Scenario'!F$4))*VLOOKUP(F$3,'Static Parameters'!$A$3:$B$9,2)*VLOOKUP($A10,'Growth Scenarios'!$E$3:$I$80,MATCH('Scenario Picker'!$B$3,'Growth Scenarios'!$F$2:$I$2,0)+1)/1000000000*VLOOKUP($A10,'Growth Scenarios'!$A$3:$D$80,MATCH('Scenario Picker'!$B$2,'Growth Scenarios'!$B$2:$D$2,0)+1)</f>
        <v>4.3060344089217626</v>
      </c>
      <c r="G10" s="21">
        <f ca="1">'Electrification Scenario'!G16*(1-'Electrification Scenario'!G$8*('Electrification Scenario'!G16-'Electrification Scenario'!G$4)/('Electrification Scenario'!G$5-'Electrification Scenario'!G$4))*VLOOKUP(G$3,'Static Parameters'!$A$3:$B$9,2)*VLOOKUP($A10,'Growth Scenarios'!$E$3:$I$80,MATCH('Scenario Picker'!$B$3,'Growth Scenarios'!$F$2:$I$2,0)+1)/1000000000*VLOOKUP($A10,'Growth Scenarios'!$A$3:$D$80,MATCH('Scenario Picker'!$B$2,'Growth Scenarios'!$B$2:$D$2,0)+1)</f>
        <v>36.974892956752178</v>
      </c>
      <c r="H10" s="21">
        <f ca="1">'Electrification Scenario'!H16*(1-'Electrification Scenario'!H$8*('Electrification Scenario'!H16-'Electrification Scenario'!H$4)/('Electrification Scenario'!H$5-'Electrification Scenario'!H$4))*VLOOKUP(H$3,'Static Parameters'!$A$3:$B$9,2)*VLOOKUP($A10,'Growth Scenarios'!$E$3:$I$80,MATCH('Scenario Picker'!$B$3,'Growth Scenarios'!$F$2:$I$2,0)+1)/1000000000*VLOOKUP($A10,'Growth Scenarios'!$A$3:$D$80,MATCH('Scenario Picker'!$B$2,'Growth Scenarios'!$B$2:$D$2,0)+1)</f>
        <v>17.316864867239371</v>
      </c>
      <c r="I10" s="28">
        <f t="shared" ca="1" si="0"/>
        <v>140.01384819804414</v>
      </c>
      <c r="J10" s="25">
        <f ca="1">(1-'Electrification Scenario'!B16)*VLOOKUP(B$3,'Static Parameters'!$A$3:$B$9,2)*VLOOKUP($A10,'Growth Scenarios'!$E$3:$I$80,MATCH('Scenario Picker'!$B$3,'Growth Scenarios'!$F$2:$I$2,0)+1)/1000000000*VLOOKUP($A10,'Growth Scenarios'!$A$3:$D$80,MATCH('Scenario Picker'!$B$2,'Growth Scenarios'!$B$2:$D$2,0)+1)</f>
        <v>6.2167120024619313</v>
      </c>
      <c r="K10" s="21">
        <f ca="1">(1-'Electrification Scenario'!C16)*VLOOKUP(C$3,'Static Parameters'!$A$3:$B$9,2)*VLOOKUP($A10,'Growth Scenarios'!$E$3:$I$80,MATCH('Scenario Picker'!$B$3,'Growth Scenarios'!$F$2:$I$2,0)+1)/1000000000*VLOOKUP($A10,'Growth Scenarios'!$A$3:$D$80,MATCH('Scenario Picker'!$B$2,'Growth Scenarios'!$B$2:$D$2,0)+1)</f>
        <v>13.643590501461325</v>
      </c>
      <c r="L10" s="21">
        <f ca="1">(1-'Electrification Scenario'!D16)*VLOOKUP(D$3,'Static Parameters'!$A$3:$B$9,2)*VLOOKUP($A10,'Growth Scenarios'!$E$3:$I$80,MATCH('Scenario Picker'!$B$3,'Growth Scenarios'!$F$2:$I$2,0)+1)/1000000000*VLOOKUP($A10,'Growth Scenarios'!$A$3:$D$80,MATCH('Scenario Picker'!$B$2,'Growth Scenarios'!$B$2:$D$2,0)+1)</f>
        <v>0.32500447577051078</v>
      </c>
      <c r="M10" s="21">
        <f ca="1">(1-'Electrification Scenario'!E16)*VLOOKUP(E$3,'Static Parameters'!$A$3:$B$9,2)*VLOOKUP($A10,'Growth Scenarios'!$E$3:$I$80,MATCH('Scenario Picker'!$B$3,'Growth Scenarios'!$F$2:$I$2,0)+1)/1000000000*VLOOKUP($A10,'Growth Scenarios'!$A$3:$D$80,MATCH('Scenario Picker'!$B$2,'Growth Scenarios'!$B$2:$D$2,0)+1)</f>
        <v>78.928962748661789</v>
      </c>
      <c r="N10" s="21">
        <f ca="1">(1-'Electrification Scenario'!F16)*VLOOKUP(F$3,'Static Parameters'!$A$3:$B$9,2)*VLOOKUP($A10,'Growth Scenarios'!$E$3:$I$80,MATCH('Scenario Picker'!$B$3,'Growth Scenarios'!$F$2:$I$2,0)+1)/1000000000*VLOOKUP($A10,'Growth Scenarios'!$A$3:$D$80,MATCH('Scenario Picker'!$B$2,'Growth Scenarios'!$B$2:$D$2,0)+1)</f>
        <v>2.4647874477114962</v>
      </c>
      <c r="O10" s="21">
        <f ca="1">(1-'Electrification Scenario'!G16)*VLOOKUP(G$3,'Static Parameters'!$A$3:$B$9,2)*VLOOKUP($A10,'Growth Scenarios'!$E$3:$I$80,MATCH('Scenario Picker'!$B$3,'Growth Scenarios'!$F$2:$I$2,0)+1)/1000000000*VLOOKUP($A10,'Growth Scenarios'!$A$3:$D$80,MATCH('Scenario Picker'!$B$2,'Growth Scenarios'!$B$2:$D$2,0)+1)</f>
        <v>53.439595291023579</v>
      </c>
      <c r="P10" s="21">
        <f ca="1">(1-'Electrification Scenario'!H16)*VLOOKUP(H$3,'Static Parameters'!$A$3:$B$9,2)*VLOOKUP($A10,'Growth Scenarios'!$E$3:$I$80,MATCH('Scenario Picker'!$B$3,'Growth Scenarios'!$F$2:$I$2,0)+1)/1000000000*VLOOKUP($A10,'Growth Scenarios'!$A$3:$D$80,MATCH('Scenario Picker'!$B$2,'Growth Scenarios'!$B$2:$D$2,0)+1)</f>
        <v>106.63288462844244</v>
      </c>
      <c r="Q10" s="28">
        <f t="shared" ca="1" si="1"/>
        <v>261.65153709553306</v>
      </c>
      <c r="R10" s="28">
        <f t="shared" ca="1" si="2"/>
        <v>401.66538529357717</v>
      </c>
    </row>
    <row r="11" spans="1:18" ht="15" x14ac:dyDescent="0.35">
      <c r="A11" s="31">
        <v>2029</v>
      </c>
      <c r="B11" s="25">
        <f ca="1">'Electrification Scenario'!B17*(1-'Electrification Scenario'!B$8*('Electrification Scenario'!B17-'Electrification Scenario'!B$4)/('Electrification Scenario'!B$5-'Electrification Scenario'!B$4))*VLOOKUP(B$3,'Static Parameters'!$A$3:$B$9,2)*VLOOKUP($A11,'Growth Scenarios'!$E$3:$I$80,MATCH('Scenario Picker'!$B$3,'Growth Scenarios'!$F$2:$I$2,0)+1)/1000000000*VLOOKUP($A11,'Growth Scenarios'!$A$3:$D$80,MATCH('Scenario Picker'!$B$2,'Growth Scenarios'!$B$2:$D$2,0)+1)</f>
        <v>3.5624633451984291</v>
      </c>
      <c r="C11" s="21">
        <f ca="1">'Electrification Scenario'!C17*(1-'Electrification Scenario'!C$8*('Electrification Scenario'!C17-'Electrification Scenario'!C$4)/('Electrification Scenario'!C$5-'Electrification Scenario'!C$4))*VLOOKUP(C$3,'Static Parameters'!$A$3:$B$9,2)*VLOOKUP($A11,'Growth Scenarios'!$E$3:$I$80,MATCH('Scenario Picker'!$B$3,'Growth Scenarios'!$F$2:$I$2,0)+1)/1000000000*VLOOKUP($A11,'Growth Scenarios'!$A$3:$D$80,MATCH('Scenario Picker'!$B$2,'Growth Scenarios'!$B$2:$D$2,0)+1)</f>
        <v>22.126047851470521</v>
      </c>
      <c r="D11" s="21">
        <f ca="1">'Electrification Scenario'!D17*(1-'Electrification Scenario'!D$8*('Electrification Scenario'!D17-'Electrification Scenario'!D$4)/('Electrification Scenario'!D$5-'Electrification Scenario'!D$4))*VLOOKUP(D$3,'Static Parameters'!$A$3:$B$9,2)*VLOOKUP($A11,'Growth Scenarios'!$E$3:$I$80,MATCH('Scenario Picker'!$B$3,'Growth Scenarios'!$F$2:$I$2,0)+1)/1000000000*VLOOKUP($A11,'Growth Scenarios'!$A$3:$D$80,MATCH('Scenario Picker'!$B$2,'Growth Scenarios'!$B$2:$D$2,0)+1)</f>
        <v>8.7849861403702781E-2</v>
      </c>
      <c r="E11" s="21">
        <f ca="1">'Electrification Scenario'!E17*(1-'Electrification Scenario'!E$8*('Electrification Scenario'!E17-'Electrification Scenario'!E$4)/('Electrification Scenario'!E$5-'Electrification Scenario'!E$4))*VLOOKUP(E$3,'Static Parameters'!$A$3:$B$9,2)*VLOOKUP($A11,'Growth Scenarios'!$E$3:$I$80,MATCH('Scenario Picker'!$B$3,'Growth Scenarios'!$F$2:$I$2,0)+1)/1000000000*VLOOKUP($A11,'Growth Scenarios'!$A$3:$D$80,MATCH('Scenario Picker'!$B$2,'Growth Scenarios'!$B$2:$D$2,0)+1)</f>
        <v>60.231682561718017</v>
      </c>
      <c r="F11" s="21">
        <f ca="1">'Electrification Scenario'!F17*(1-'Electrification Scenario'!F$8*('Electrification Scenario'!F17-'Electrification Scenario'!F$4)/('Electrification Scenario'!F$5-'Electrification Scenario'!F$4))*VLOOKUP(F$3,'Static Parameters'!$A$3:$B$9,2)*VLOOKUP($A11,'Growth Scenarios'!$E$3:$I$80,MATCH('Scenario Picker'!$B$3,'Growth Scenarios'!$F$2:$I$2,0)+1)/1000000000*VLOOKUP($A11,'Growth Scenarios'!$A$3:$D$80,MATCH('Scenario Picker'!$B$2,'Growth Scenarios'!$B$2:$D$2,0)+1)</f>
        <v>4.3515974450489328</v>
      </c>
      <c r="G11" s="21">
        <f ca="1">'Electrification Scenario'!G17*(1-'Electrification Scenario'!G$8*('Electrification Scenario'!G17-'Electrification Scenario'!G$4)/('Electrification Scenario'!G$5-'Electrification Scenario'!G$4))*VLOOKUP(G$3,'Static Parameters'!$A$3:$B$9,2)*VLOOKUP($A11,'Growth Scenarios'!$E$3:$I$80,MATCH('Scenario Picker'!$B$3,'Growth Scenarios'!$F$2:$I$2,0)+1)/1000000000*VLOOKUP($A11,'Growth Scenarios'!$A$3:$D$80,MATCH('Scenario Picker'!$B$2,'Growth Scenarios'!$B$2:$D$2,0)+1)</f>
        <v>39.532437631666248</v>
      </c>
      <c r="H11" s="21">
        <f ca="1">'Electrification Scenario'!H17*(1-'Electrification Scenario'!H$8*('Electrification Scenario'!H17-'Electrification Scenario'!H$4)/('Electrification Scenario'!H$5-'Electrification Scenario'!H$4))*VLOOKUP(H$3,'Static Parameters'!$A$3:$B$9,2)*VLOOKUP($A11,'Growth Scenarios'!$E$3:$I$80,MATCH('Scenario Picker'!$B$3,'Growth Scenarios'!$F$2:$I$2,0)+1)/1000000000*VLOOKUP($A11,'Growth Scenarios'!$A$3:$D$80,MATCH('Scenario Picker'!$B$2,'Growth Scenarios'!$B$2:$D$2,0)+1)</f>
        <v>20.33470220706343</v>
      </c>
      <c r="I11" s="28">
        <f t="shared" ca="1" si="0"/>
        <v>150.22678090356928</v>
      </c>
      <c r="J11" s="25">
        <f ca="1">(1-'Electrification Scenario'!B17)*VLOOKUP(B$3,'Static Parameters'!$A$3:$B$9,2)*VLOOKUP($A11,'Growth Scenarios'!$E$3:$I$80,MATCH('Scenario Picker'!$B$3,'Growth Scenarios'!$F$2:$I$2,0)+1)/1000000000*VLOOKUP($A11,'Growth Scenarios'!$A$3:$D$80,MATCH('Scenario Picker'!$B$2,'Growth Scenarios'!$B$2:$D$2,0)+1)</f>
        <v>6.1739201818531049</v>
      </c>
      <c r="K11" s="21">
        <f ca="1">(1-'Electrification Scenario'!C17)*VLOOKUP(C$3,'Static Parameters'!$A$3:$B$9,2)*VLOOKUP($A11,'Growth Scenarios'!$E$3:$I$80,MATCH('Scenario Picker'!$B$3,'Growth Scenarios'!$F$2:$I$2,0)+1)/1000000000*VLOOKUP($A11,'Growth Scenarios'!$A$3:$D$80,MATCH('Scenario Picker'!$B$2,'Growth Scenarios'!$B$2:$D$2,0)+1)</f>
        <v>13.135459810773888</v>
      </c>
      <c r="L11" s="21">
        <f ca="1">(1-'Electrification Scenario'!D17)*VLOOKUP(D$3,'Static Parameters'!$A$3:$B$9,2)*VLOOKUP($A11,'Growth Scenarios'!$E$3:$I$80,MATCH('Scenario Picker'!$B$3,'Growth Scenarios'!$F$2:$I$2,0)+1)/1000000000*VLOOKUP($A11,'Growth Scenarios'!$A$3:$D$80,MATCH('Scenario Picker'!$B$2,'Growth Scenarios'!$B$2:$D$2,0)+1)</f>
        <v>0.32076437158804716</v>
      </c>
      <c r="M11" s="21">
        <f ca="1">(1-'Electrification Scenario'!E17)*VLOOKUP(E$3,'Static Parameters'!$A$3:$B$9,2)*VLOOKUP($A11,'Growth Scenarios'!$E$3:$I$80,MATCH('Scenario Picker'!$B$3,'Growth Scenarios'!$F$2:$I$2,0)+1)/1000000000*VLOOKUP($A11,'Growth Scenarios'!$A$3:$D$80,MATCH('Scenario Picker'!$B$2,'Growth Scenarios'!$B$2:$D$2,0)+1)</f>
        <v>75.9893972176951</v>
      </c>
      <c r="N11" s="21">
        <f ca="1">(1-'Electrification Scenario'!F17)*VLOOKUP(F$3,'Static Parameters'!$A$3:$B$9,2)*VLOOKUP($A11,'Growth Scenarios'!$E$3:$I$80,MATCH('Scenario Picker'!$B$3,'Growth Scenarios'!$F$2:$I$2,0)+1)/1000000000*VLOOKUP($A11,'Growth Scenarios'!$A$3:$D$80,MATCH('Scenario Picker'!$B$2,'Growth Scenarios'!$B$2:$D$2,0)+1)</f>
        <v>2.4565469447856882</v>
      </c>
      <c r="O11" s="21">
        <f ca="1">(1-'Electrification Scenario'!G17)*VLOOKUP(G$3,'Static Parameters'!$A$3:$B$9,2)*VLOOKUP($A11,'Growth Scenarios'!$E$3:$I$80,MATCH('Scenario Picker'!$B$3,'Growth Scenarios'!$F$2:$I$2,0)+1)/1000000000*VLOOKUP($A11,'Growth Scenarios'!$A$3:$D$80,MATCH('Scenario Picker'!$B$2,'Growth Scenarios'!$B$2:$D$2,0)+1)</f>
        <v>51.449334848775884</v>
      </c>
      <c r="P11" s="21">
        <f ca="1">(1-'Electrification Scenario'!H17)*VLOOKUP(H$3,'Static Parameters'!$A$3:$B$9,2)*VLOOKUP($A11,'Growth Scenarios'!$E$3:$I$80,MATCH('Scenario Picker'!$B$3,'Growth Scenarios'!$F$2:$I$2,0)+1)/1000000000*VLOOKUP($A11,'Growth Scenarios'!$A$3:$D$80,MATCH('Scenario Picker'!$B$2,'Growth Scenarios'!$B$2:$D$2,0)+1)</f>
        <v>104.17537541416954</v>
      </c>
      <c r="Q11" s="28">
        <f t="shared" ca="1" si="1"/>
        <v>253.70079878964125</v>
      </c>
      <c r="R11" s="28">
        <f t="shared" ca="1" si="2"/>
        <v>403.92757969321053</v>
      </c>
    </row>
    <row r="12" spans="1:18" ht="15" x14ac:dyDescent="0.35">
      <c r="A12" s="31">
        <v>2030</v>
      </c>
      <c r="B12" s="25">
        <f ca="1">'Electrification Scenario'!B18*(1-'Electrification Scenario'!B$8*('Electrification Scenario'!B18-'Electrification Scenario'!B$4)/('Electrification Scenario'!B$5-'Electrification Scenario'!B$4))*VLOOKUP(B$3,'Static Parameters'!$A$3:$B$9,2)*VLOOKUP($A12,'Growth Scenarios'!$E$3:$I$80,MATCH('Scenario Picker'!$B$3,'Growth Scenarios'!$F$2:$I$2,0)+1)/1000000000*VLOOKUP($A12,'Growth Scenarios'!$A$3:$D$80,MATCH('Scenario Picker'!$B$2,'Growth Scenarios'!$B$2:$D$2,0)+1)</f>
        <v>3.6781719292300896</v>
      </c>
      <c r="C12" s="21">
        <f ca="1">'Electrification Scenario'!C18*(1-'Electrification Scenario'!C$8*('Electrification Scenario'!C18-'Electrification Scenario'!C$4)/('Electrification Scenario'!C$5-'Electrification Scenario'!C$4))*VLOOKUP(C$3,'Static Parameters'!$A$3:$B$9,2)*VLOOKUP($A12,'Growth Scenarios'!$E$3:$I$80,MATCH('Scenario Picker'!$B$3,'Growth Scenarios'!$F$2:$I$2,0)+1)/1000000000*VLOOKUP($A12,'Growth Scenarios'!$A$3:$D$80,MATCH('Scenario Picker'!$B$2,'Growth Scenarios'!$B$2:$D$2,0)+1)</f>
        <v>22.816331124926784</v>
      </c>
      <c r="D12" s="21">
        <f ca="1">'Electrification Scenario'!D18*(1-'Electrification Scenario'!D$8*('Electrification Scenario'!D18-'Electrification Scenario'!D$4)/('Electrification Scenario'!D$5-'Electrification Scenario'!D$4))*VLOOKUP(D$3,'Static Parameters'!$A$3:$B$9,2)*VLOOKUP($A12,'Growth Scenarios'!$E$3:$I$80,MATCH('Scenario Picker'!$B$3,'Growth Scenarios'!$F$2:$I$2,0)+1)/1000000000*VLOOKUP($A12,'Growth Scenarios'!$A$3:$D$80,MATCH('Scenario Picker'!$B$2,'Growth Scenarios'!$B$2:$D$2,0)+1)</f>
        <v>9.5538905826136694E-2</v>
      </c>
      <c r="E12" s="21">
        <f ca="1">'Electrification Scenario'!E18*(1-'Electrification Scenario'!E$8*('Electrification Scenario'!E18-'Electrification Scenario'!E$4)/('Electrification Scenario'!E$5-'Electrification Scenario'!E$4))*VLOOKUP(E$3,'Static Parameters'!$A$3:$B$9,2)*VLOOKUP($A12,'Growth Scenarios'!$E$3:$I$80,MATCH('Scenario Picker'!$B$3,'Growth Scenarios'!$F$2:$I$2,0)+1)/1000000000*VLOOKUP($A12,'Growth Scenarios'!$A$3:$D$80,MATCH('Scenario Picker'!$B$2,'Growth Scenarios'!$B$2:$D$2,0)+1)</f>
        <v>64.034913657430053</v>
      </c>
      <c r="F12" s="21">
        <f ca="1">'Electrification Scenario'!F18*(1-'Electrification Scenario'!F$8*('Electrification Scenario'!F18-'Electrification Scenario'!F$4)/('Electrification Scenario'!F$5-'Electrification Scenario'!F$4))*VLOOKUP(F$3,'Static Parameters'!$A$3:$B$9,2)*VLOOKUP($A12,'Growth Scenarios'!$E$3:$I$80,MATCH('Scenario Picker'!$B$3,'Growth Scenarios'!$F$2:$I$2,0)+1)/1000000000*VLOOKUP($A12,'Growth Scenarios'!$A$3:$D$80,MATCH('Scenario Picker'!$B$2,'Growth Scenarios'!$B$2:$D$2,0)+1)</f>
        <v>4.3973718005921842</v>
      </c>
      <c r="G12" s="21">
        <f ca="1">'Electrification Scenario'!G18*(1-'Electrification Scenario'!G$8*('Electrification Scenario'!G18-'Electrification Scenario'!G$4)/('Electrification Scenario'!G$5-'Electrification Scenario'!G$4))*VLOOKUP(G$3,'Static Parameters'!$A$3:$B$9,2)*VLOOKUP($A12,'Growth Scenarios'!$E$3:$I$80,MATCH('Scenario Picker'!$B$3,'Growth Scenarios'!$F$2:$I$2,0)+1)/1000000000*VLOOKUP($A12,'Growth Scenarios'!$A$3:$D$80,MATCH('Scenario Picker'!$B$2,'Growth Scenarios'!$B$2:$D$2,0)+1)</f>
        <v>42.103950230532739</v>
      </c>
      <c r="H12" s="21">
        <f ca="1">'Electrification Scenario'!H18*(1-'Electrification Scenario'!H$8*('Electrification Scenario'!H18-'Electrification Scenario'!H$4)/('Electrification Scenario'!H$5-'Electrification Scenario'!H$4))*VLOOKUP(H$3,'Static Parameters'!$A$3:$B$9,2)*VLOOKUP($A12,'Growth Scenarios'!$E$3:$I$80,MATCH('Scenario Picker'!$B$3,'Growth Scenarios'!$F$2:$I$2,0)+1)/1000000000*VLOOKUP($A12,'Growth Scenarios'!$A$3:$D$80,MATCH('Scenario Picker'!$B$2,'Growth Scenarios'!$B$2:$D$2,0)+1)</f>
        <v>23.276980615253873</v>
      </c>
      <c r="I12" s="28">
        <f t="shared" ca="1" si="0"/>
        <v>160.40325826379186</v>
      </c>
      <c r="J12" s="25">
        <f ca="1">(1-'Electrification Scenario'!B18)*VLOOKUP(B$3,'Static Parameters'!$A$3:$B$9,2)*VLOOKUP($A12,'Growth Scenarios'!$E$3:$I$80,MATCH('Scenario Picker'!$B$3,'Growth Scenarios'!$F$2:$I$2,0)+1)/1000000000*VLOOKUP($A12,'Growth Scenarios'!$A$3:$D$80,MATCH('Scenario Picker'!$B$2,'Growth Scenarios'!$B$2:$D$2,0)+1)</f>
        <v>6.1298419921733611</v>
      </c>
      <c r="K12" s="21">
        <f ca="1">(1-'Electrification Scenario'!C18)*VLOOKUP(C$3,'Static Parameters'!$A$3:$B$9,2)*VLOOKUP($A12,'Growth Scenarios'!$E$3:$I$80,MATCH('Scenario Picker'!$B$3,'Growth Scenarios'!$F$2:$I$2,0)+1)/1000000000*VLOOKUP($A12,'Growth Scenarios'!$A$3:$D$80,MATCH('Scenario Picker'!$B$2,'Growth Scenarios'!$B$2:$D$2,0)+1)</f>
        <v>12.61542800945295</v>
      </c>
      <c r="L12" s="21">
        <f ca="1">(1-'Electrification Scenario'!D18)*VLOOKUP(D$3,'Static Parameters'!$A$3:$B$9,2)*VLOOKUP($A12,'Growth Scenarios'!$E$3:$I$80,MATCH('Scenario Picker'!$B$3,'Growth Scenarios'!$F$2:$I$2,0)+1)/1000000000*VLOOKUP($A12,'Growth Scenarios'!$A$3:$D$80,MATCH('Scenario Picker'!$B$2,'Growth Scenarios'!$B$2:$D$2,0)+1)</f>
        <v>0.31641311980341758</v>
      </c>
      <c r="M12" s="21">
        <f ca="1">(1-'Electrification Scenario'!E18)*VLOOKUP(E$3,'Static Parameters'!$A$3:$B$9,2)*VLOOKUP($A12,'Growth Scenarios'!$E$3:$I$80,MATCH('Scenario Picker'!$B$3,'Growth Scenarios'!$F$2:$I$2,0)+1)/1000000000*VLOOKUP($A12,'Growth Scenarios'!$A$3:$D$80,MATCH('Scenario Picker'!$B$2,'Growth Scenarios'!$B$2:$D$2,0)+1)</f>
        <v>72.980983071126872</v>
      </c>
      <c r="N12" s="21">
        <f ca="1">(1-'Electrification Scenario'!F18)*VLOOKUP(F$3,'Static Parameters'!$A$3:$B$9,2)*VLOOKUP($A12,'Growth Scenarios'!$E$3:$I$80,MATCH('Scenario Picker'!$B$3,'Growth Scenarios'!$F$2:$I$2,0)+1)/1000000000*VLOOKUP($A12,'Growth Scenarios'!$A$3:$D$80,MATCH('Scenario Picker'!$B$2,'Growth Scenarios'!$B$2:$D$2,0)+1)</f>
        <v>2.4479876529083273</v>
      </c>
      <c r="O12" s="21">
        <f ca="1">(1-'Electrification Scenario'!G18)*VLOOKUP(G$3,'Static Parameters'!$A$3:$B$9,2)*VLOOKUP($A12,'Growth Scenarios'!$E$3:$I$80,MATCH('Scenario Picker'!$B$3,'Growth Scenarios'!$F$2:$I$2,0)+1)/1000000000*VLOOKUP($A12,'Growth Scenarios'!$A$3:$D$80,MATCH('Scenario Picker'!$B$2,'Growth Scenarios'!$B$2:$D$2,0)+1)</f>
        <v>49.412459804917269</v>
      </c>
      <c r="P12" s="21">
        <f ca="1">(1-'Electrification Scenario'!H18)*VLOOKUP(H$3,'Static Parameters'!$A$3:$B$9,2)*VLOOKUP($A12,'Growth Scenarios'!$E$3:$I$80,MATCH('Scenario Picker'!$B$3,'Growth Scenarios'!$F$2:$I$2,0)+1)/1000000000*VLOOKUP($A12,'Growth Scenarios'!$A$3:$D$80,MATCH('Scenario Picker'!$B$2,'Growth Scenarios'!$B$2:$D$2,0)+1)</f>
        <v>101.65802906609568</v>
      </c>
      <c r="Q12" s="28">
        <f t="shared" ca="1" si="1"/>
        <v>245.56114271647786</v>
      </c>
      <c r="R12" s="28">
        <f t="shared" ca="1" si="2"/>
        <v>405.96440098026972</v>
      </c>
    </row>
    <row r="13" spans="1:18" ht="15" x14ac:dyDescent="0.35">
      <c r="A13" s="31">
        <v>2031</v>
      </c>
      <c r="B13" s="25">
        <f ca="1">'Electrification Scenario'!B19*(1-'Electrification Scenario'!B$8*('Electrification Scenario'!B19-'Electrification Scenario'!B$4)/('Electrification Scenario'!B$5-'Electrification Scenario'!B$4))*VLOOKUP(B$3,'Static Parameters'!$A$3:$B$9,2)*VLOOKUP($A13,'Growth Scenarios'!$E$3:$I$80,MATCH('Scenario Picker'!$B$3,'Growth Scenarios'!$F$2:$I$2,0)+1)/1000000000*VLOOKUP($A13,'Growth Scenarios'!$A$3:$D$80,MATCH('Scenario Picker'!$B$2,'Growth Scenarios'!$B$2:$D$2,0)+1)</f>
        <v>3.7945378606736462</v>
      </c>
      <c r="C13" s="21">
        <f ca="1">'Electrification Scenario'!C19*(1-'Electrification Scenario'!C$8*('Electrification Scenario'!C19-'Electrification Scenario'!C$4)/('Electrification Scenario'!C$5-'Electrification Scenario'!C$4))*VLOOKUP(C$3,'Static Parameters'!$A$3:$B$9,2)*VLOOKUP($A13,'Growth Scenarios'!$E$3:$I$80,MATCH('Scenario Picker'!$B$3,'Growth Scenarios'!$F$2:$I$2,0)+1)/1000000000*VLOOKUP($A13,'Growth Scenarios'!$A$3:$D$80,MATCH('Scenario Picker'!$B$2,'Growth Scenarios'!$B$2:$D$2,0)+1)</f>
        <v>23.51053740649882</v>
      </c>
      <c r="D13" s="21">
        <f ca="1">'Electrification Scenario'!D19*(1-'Electrification Scenario'!D$8*('Electrification Scenario'!D19-'Electrification Scenario'!D$4)/('Electrification Scenario'!D$5-'Electrification Scenario'!D$4))*VLOOKUP(D$3,'Static Parameters'!$A$3:$B$9,2)*VLOOKUP($A13,'Growth Scenarios'!$E$3:$I$80,MATCH('Scenario Picker'!$B$3,'Growth Scenarios'!$F$2:$I$2,0)+1)/1000000000*VLOOKUP($A13,'Growth Scenarios'!$A$3:$D$80,MATCH('Scenario Picker'!$B$2,'Growth Scenarios'!$B$2:$D$2,0)+1)</f>
        <v>0.10327138204627216</v>
      </c>
      <c r="E13" s="21">
        <f ca="1">'Electrification Scenario'!E19*(1-'Electrification Scenario'!E$8*('Electrification Scenario'!E19-'Electrification Scenario'!E$4)/('Electrification Scenario'!E$5-'Electrification Scenario'!E$4))*VLOOKUP(E$3,'Static Parameters'!$A$3:$B$9,2)*VLOOKUP($A13,'Growth Scenarios'!$E$3:$I$80,MATCH('Scenario Picker'!$B$3,'Growth Scenarios'!$F$2:$I$2,0)+1)/1000000000*VLOOKUP($A13,'Growth Scenarios'!$A$3:$D$80,MATCH('Scenario Picker'!$B$2,'Growth Scenarios'!$B$2:$D$2,0)+1)</f>
        <v>67.859655606139967</v>
      </c>
      <c r="F13" s="21">
        <f ca="1">'Electrification Scenario'!F19*(1-'Electrification Scenario'!F$8*('Electrification Scenario'!F19-'Electrification Scenario'!F$4)/('Electrification Scenario'!F$5-'Electrification Scenario'!F$4))*VLOOKUP(F$3,'Static Parameters'!$A$3:$B$9,2)*VLOOKUP($A13,'Growth Scenarios'!$E$3:$I$80,MATCH('Scenario Picker'!$B$3,'Growth Scenarios'!$F$2:$I$2,0)+1)/1000000000*VLOOKUP($A13,'Growth Scenarios'!$A$3:$D$80,MATCH('Scenario Picker'!$B$2,'Growth Scenarios'!$B$2:$D$2,0)+1)</f>
        <v>4.4434111460971284</v>
      </c>
      <c r="G13" s="21">
        <f ca="1">'Electrification Scenario'!G19*(1-'Electrification Scenario'!G$8*('Electrification Scenario'!G19-'Electrification Scenario'!G$4)/('Electrification Scenario'!G$5-'Electrification Scenario'!G$4))*VLOOKUP(G$3,'Static Parameters'!$A$3:$B$9,2)*VLOOKUP($A13,'Growth Scenarios'!$E$3:$I$80,MATCH('Scenario Picker'!$B$3,'Growth Scenarios'!$F$2:$I$2,0)+1)/1000000000*VLOOKUP($A13,'Growth Scenarios'!$A$3:$D$80,MATCH('Scenario Picker'!$B$2,'Growth Scenarios'!$B$2:$D$2,0)+1)</f>
        <v>44.690005150997429</v>
      </c>
      <c r="H13" s="21">
        <f ca="1">'Electrification Scenario'!H19*(1-'Electrification Scenario'!H$8*('Electrification Scenario'!H19-'Electrification Scenario'!H$4)/('Electrification Scenario'!H$5-'Electrification Scenario'!H$4))*VLOOKUP(H$3,'Static Parameters'!$A$3:$B$9,2)*VLOOKUP($A13,'Growth Scenarios'!$E$3:$I$80,MATCH('Scenario Picker'!$B$3,'Growth Scenarios'!$F$2:$I$2,0)+1)/1000000000*VLOOKUP($A13,'Growth Scenarios'!$A$3:$D$80,MATCH('Scenario Picker'!$B$2,'Growth Scenarios'!$B$2:$D$2,0)+1)</f>
        <v>26.141008678656117</v>
      </c>
      <c r="I13" s="28">
        <f t="shared" ca="1" si="0"/>
        <v>170.54242723110937</v>
      </c>
      <c r="J13" s="25">
        <f ca="1">(1-'Electrification Scenario'!B19)*VLOOKUP(B$3,'Static Parameters'!$A$3:$B$9,2)*VLOOKUP($A13,'Growth Scenarios'!$E$3:$I$80,MATCH('Scenario Picker'!$B$3,'Growth Scenarios'!$F$2:$I$2,0)+1)/1000000000*VLOOKUP($A13,'Growth Scenarios'!$A$3:$D$80,MATCH('Scenario Picker'!$B$2,'Growth Scenarios'!$B$2:$D$2,0)+1)</f>
        <v>6.0845167092168948</v>
      </c>
      <c r="K13" s="21">
        <f ca="1">(1-'Electrification Scenario'!C19)*VLOOKUP(C$3,'Static Parameters'!$A$3:$B$9,2)*VLOOKUP($A13,'Growth Scenarios'!$E$3:$I$80,MATCH('Scenario Picker'!$B$3,'Growth Scenarios'!$F$2:$I$2,0)+1)/1000000000*VLOOKUP($A13,'Growth Scenarios'!$A$3:$D$80,MATCH('Scenario Picker'!$B$2,'Growth Scenarios'!$B$2:$D$2,0)+1)</f>
        <v>12.083335999994112</v>
      </c>
      <c r="L13" s="21">
        <f ca="1">(1-'Electrification Scenario'!D19)*VLOOKUP(D$3,'Static Parameters'!$A$3:$B$9,2)*VLOOKUP($A13,'Growth Scenarios'!$E$3:$I$80,MATCH('Scenario Picker'!$B$3,'Growth Scenarios'!$F$2:$I$2,0)+1)/1000000000*VLOOKUP($A13,'Growth Scenarios'!$A$3:$D$80,MATCH('Scenario Picker'!$B$2,'Growth Scenarios'!$B$2:$D$2,0)+1)</f>
        <v>0.31195158757775482</v>
      </c>
      <c r="M13" s="21">
        <f ca="1">(1-'Electrification Scenario'!E19)*VLOOKUP(E$3,'Static Parameters'!$A$3:$B$9,2)*VLOOKUP($A13,'Growth Scenarios'!$E$3:$I$80,MATCH('Scenario Picker'!$B$3,'Growth Scenarios'!$F$2:$I$2,0)+1)/1000000000*VLOOKUP($A13,'Growth Scenarios'!$A$3:$D$80,MATCH('Scenario Picker'!$B$2,'Growth Scenarios'!$B$2:$D$2,0)+1)</f>
        <v>69.902799920662289</v>
      </c>
      <c r="N13" s="21">
        <f ca="1">(1-'Electrification Scenario'!F19)*VLOOKUP(F$3,'Static Parameters'!$A$3:$B$9,2)*VLOOKUP($A13,'Growth Scenarios'!$E$3:$I$80,MATCH('Scenario Picker'!$B$3,'Growth Scenarios'!$F$2:$I$2,0)+1)/1000000000*VLOOKUP($A13,'Growth Scenarios'!$A$3:$D$80,MATCH('Scenario Picker'!$B$2,'Growth Scenarios'!$B$2:$D$2,0)+1)</f>
        <v>2.4391303111958886</v>
      </c>
      <c r="O13" s="21">
        <f ca="1">(1-'Electrification Scenario'!G19)*VLOOKUP(G$3,'Static Parameters'!$A$3:$B$9,2)*VLOOKUP($A13,'Growth Scenarios'!$E$3:$I$80,MATCH('Scenario Picker'!$B$3,'Growth Scenarios'!$F$2:$I$2,0)+1)/1000000000*VLOOKUP($A13,'Growth Scenarios'!$A$3:$D$80,MATCH('Scenario Picker'!$B$2,'Growth Scenarios'!$B$2:$D$2,0)+1)</f>
        <v>47.328347001911176</v>
      </c>
      <c r="P13" s="21">
        <f ca="1">(1-'Electrification Scenario'!H19)*VLOOKUP(H$3,'Static Parameters'!$A$3:$B$9,2)*VLOOKUP($A13,'Growth Scenarios'!$E$3:$I$80,MATCH('Scenario Picker'!$B$3,'Growth Scenarios'!$F$2:$I$2,0)+1)/1000000000*VLOOKUP($A13,'Growth Scenarios'!$A$3:$D$80,MATCH('Scenario Picker'!$B$2,'Growth Scenarios'!$B$2:$D$2,0)+1)</f>
        <v>99.080498619337092</v>
      </c>
      <c r="Q13" s="28">
        <f t="shared" ca="1" si="1"/>
        <v>237.23058014989522</v>
      </c>
      <c r="R13" s="28">
        <f t="shared" ca="1" si="2"/>
        <v>407.77300738100462</v>
      </c>
    </row>
    <row r="14" spans="1:18" ht="15" x14ac:dyDescent="0.35">
      <c r="A14" s="31">
        <v>2032</v>
      </c>
      <c r="B14" s="25">
        <f ca="1">'Electrification Scenario'!B20*(1-'Electrification Scenario'!B$8*('Electrification Scenario'!B20-'Electrification Scenario'!B$4)/('Electrification Scenario'!B$5-'Electrification Scenario'!B$4))*VLOOKUP(B$3,'Static Parameters'!$A$3:$B$9,2)*VLOOKUP($A14,'Growth Scenarios'!$E$3:$I$80,MATCH('Scenario Picker'!$B$3,'Growth Scenarios'!$F$2:$I$2,0)+1)/1000000000*VLOOKUP($A14,'Growth Scenarios'!$A$3:$D$80,MATCH('Scenario Picker'!$B$2,'Growth Scenarios'!$B$2:$D$2,0)+1)</f>
        <v>3.9115809157694752</v>
      </c>
      <c r="C14" s="21">
        <f ca="1">'Electrification Scenario'!C20*(1-'Electrification Scenario'!C$8*('Electrification Scenario'!C20-'Electrification Scenario'!C$4)/('Electrification Scenario'!C$5-'Electrification Scenario'!C$4))*VLOOKUP(C$3,'Static Parameters'!$A$3:$B$9,2)*VLOOKUP($A14,'Growth Scenarios'!$E$3:$I$80,MATCH('Scenario Picker'!$B$3,'Growth Scenarios'!$F$2:$I$2,0)+1)/1000000000*VLOOKUP($A14,'Growth Scenarios'!$A$3:$D$80,MATCH('Scenario Picker'!$B$2,'Growth Scenarios'!$B$2:$D$2,0)+1)</f>
        <v>24.2087877295561</v>
      </c>
      <c r="D14" s="21">
        <f ca="1">'Electrification Scenario'!D20*(1-'Electrification Scenario'!D$8*('Electrification Scenario'!D20-'Electrification Scenario'!D$4)/('Electrification Scenario'!D$5-'Electrification Scenario'!D$4))*VLOOKUP(D$3,'Static Parameters'!$A$3:$B$9,2)*VLOOKUP($A14,'Growth Scenarios'!$E$3:$I$80,MATCH('Scenario Picker'!$B$3,'Growth Scenarios'!$F$2:$I$2,0)+1)/1000000000*VLOOKUP($A14,'Growth Scenarios'!$A$3:$D$80,MATCH('Scenario Picker'!$B$2,'Growth Scenarios'!$B$2:$D$2,0)+1)</f>
        <v>0.11104808363653579</v>
      </c>
      <c r="E14" s="21">
        <f ca="1">'Electrification Scenario'!E20*(1-'Electrification Scenario'!E$8*('Electrification Scenario'!E20-'Electrification Scenario'!E$4)/('Electrification Scenario'!E$5-'Electrification Scenario'!E$4))*VLOOKUP(E$3,'Static Parameters'!$A$3:$B$9,2)*VLOOKUP($A14,'Growth Scenarios'!$E$3:$I$80,MATCH('Scenario Picker'!$B$3,'Growth Scenarios'!$F$2:$I$2,0)+1)/1000000000*VLOOKUP($A14,'Growth Scenarios'!$A$3:$D$80,MATCH('Scenario Picker'!$B$2,'Growth Scenarios'!$B$2:$D$2,0)+1)</f>
        <v>71.706359601676752</v>
      </c>
      <c r="F14" s="21">
        <f ca="1">'Electrification Scenario'!F20*(1-'Electrification Scenario'!F$8*('Electrification Scenario'!F20-'Electrification Scenario'!F$4)/('Electrification Scenario'!F$5-'Electrification Scenario'!F$4))*VLOOKUP(F$3,'Static Parameters'!$A$3:$B$9,2)*VLOOKUP($A14,'Growth Scenarios'!$E$3:$I$80,MATCH('Scenario Picker'!$B$3,'Growth Scenarios'!$F$2:$I$2,0)+1)/1000000000*VLOOKUP($A14,'Growth Scenarios'!$A$3:$D$80,MATCH('Scenario Picker'!$B$2,'Growth Scenarios'!$B$2:$D$2,0)+1)</f>
        <v>4.4897335932994453</v>
      </c>
      <c r="G14" s="21">
        <f ca="1">'Electrification Scenario'!G20*(1-'Electrification Scenario'!G$8*('Electrification Scenario'!G20-'Electrification Scenario'!G$4)/('Electrification Scenario'!G$5-'Electrification Scenario'!G$4))*VLOOKUP(G$3,'Static Parameters'!$A$3:$B$9,2)*VLOOKUP($A14,'Growth Scenarios'!$E$3:$I$80,MATCH('Scenario Picker'!$B$3,'Growth Scenarios'!$F$2:$I$2,0)+1)/1000000000*VLOOKUP($A14,'Growth Scenarios'!$A$3:$D$80,MATCH('Scenario Picker'!$B$2,'Growth Scenarios'!$B$2:$D$2,0)+1)</f>
        <v>47.290903292808096</v>
      </c>
      <c r="H14" s="21">
        <f ca="1">'Electrification Scenario'!H20*(1-'Electrification Scenario'!H$8*('Electrification Scenario'!H20-'Electrification Scenario'!H$4)/('Electrification Scenario'!H$5-'Electrification Scenario'!H$4))*VLOOKUP(H$3,'Static Parameters'!$A$3:$B$9,2)*VLOOKUP($A14,'Growth Scenarios'!$E$3:$I$80,MATCH('Scenario Picker'!$B$3,'Growth Scenarios'!$F$2:$I$2,0)+1)/1000000000*VLOOKUP($A14,'Growth Scenarios'!$A$3:$D$80,MATCH('Scenario Picker'!$B$2,'Growth Scenarios'!$B$2:$D$2,0)+1)</f>
        <v>28.923880751308385</v>
      </c>
      <c r="I14" s="28">
        <f t="shared" ca="1" si="0"/>
        <v>180.64229396805479</v>
      </c>
      <c r="J14" s="25">
        <f ca="1">(1-'Electrification Scenario'!B20)*VLOOKUP(B$3,'Static Parameters'!$A$3:$B$9,2)*VLOOKUP($A14,'Growth Scenarios'!$E$3:$I$80,MATCH('Scenario Picker'!$B$3,'Growth Scenarios'!$F$2:$I$2,0)+1)/1000000000*VLOOKUP($A14,'Growth Scenarios'!$A$3:$D$80,MATCH('Scenario Picker'!$B$2,'Growth Scenarios'!$B$2:$D$2,0)+1)</f>
        <v>6.0379294748053844</v>
      </c>
      <c r="K14" s="21">
        <f ca="1">(1-'Electrification Scenario'!C20)*VLOOKUP(C$3,'Static Parameters'!$A$3:$B$9,2)*VLOOKUP($A14,'Growth Scenarios'!$E$3:$I$80,MATCH('Scenario Picker'!$B$3,'Growth Scenarios'!$F$2:$I$2,0)+1)/1000000000*VLOOKUP($A14,'Growth Scenarios'!$A$3:$D$80,MATCH('Scenario Picker'!$B$2,'Growth Scenarios'!$B$2:$D$2,0)+1)</f>
        <v>11.538891531651341</v>
      </c>
      <c r="L14" s="21">
        <f ca="1">(1-'Electrification Scenario'!D20)*VLOOKUP(D$3,'Static Parameters'!$A$3:$B$9,2)*VLOOKUP($A14,'Growth Scenarios'!$E$3:$I$80,MATCH('Scenario Picker'!$B$3,'Growth Scenarios'!$F$2:$I$2,0)+1)/1000000000*VLOOKUP($A14,'Growth Scenarios'!$A$3:$D$80,MATCH('Scenario Picker'!$B$2,'Growth Scenarios'!$B$2:$D$2,0)+1)</f>
        <v>0.30737774261552742</v>
      </c>
      <c r="M14" s="21">
        <f ca="1">(1-'Electrification Scenario'!E20)*VLOOKUP(E$3,'Static Parameters'!$A$3:$B$9,2)*VLOOKUP($A14,'Growth Scenarios'!$E$3:$I$80,MATCH('Scenario Picker'!$B$3,'Growth Scenarios'!$F$2:$I$2,0)+1)/1000000000*VLOOKUP($A14,'Growth Scenarios'!$A$3:$D$80,MATCH('Scenario Picker'!$B$2,'Growth Scenarios'!$B$2:$D$2,0)+1)</f>
        <v>66.753157078777008</v>
      </c>
      <c r="N14" s="21">
        <f ca="1">(1-'Electrification Scenario'!F20)*VLOOKUP(F$3,'Static Parameters'!$A$3:$B$9,2)*VLOOKUP($A14,'Growth Scenarios'!$E$3:$I$80,MATCH('Scenario Picker'!$B$3,'Growth Scenarios'!$F$2:$I$2,0)+1)/1000000000*VLOOKUP($A14,'Growth Scenarios'!$A$3:$D$80,MATCH('Scenario Picker'!$B$2,'Growth Scenarios'!$B$2:$D$2,0)+1)</f>
        <v>2.4299744980822822</v>
      </c>
      <c r="O14" s="21">
        <f ca="1">(1-'Electrification Scenario'!G20)*VLOOKUP(G$3,'Static Parameters'!$A$3:$B$9,2)*VLOOKUP($A14,'Growth Scenarios'!$E$3:$I$80,MATCH('Scenario Picker'!$B$3,'Growth Scenarios'!$F$2:$I$2,0)+1)/1000000000*VLOOKUP($A14,'Growth Scenarios'!$A$3:$D$80,MATCH('Scenario Picker'!$B$2,'Growth Scenarios'!$B$2:$D$2,0)+1)</f>
        <v>45.195851743895481</v>
      </c>
      <c r="P14" s="21">
        <f ca="1">(1-'Electrification Scenario'!H20)*VLOOKUP(H$3,'Static Parameters'!$A$3:$B$9,2)*VLOOKUP($A14,'Growth Scenarios'!$E$3:$I$80,MATCH('Scenario Picker'!$B$3,'Growth Scenarios'!$F$2:$I$2,0)+1)/1000000000*VLOOKUP($A14,'Growth Scenarios'!$A$3:$D$80,MATCH('Scenario Picker'!$B$2,'Growth Scenarios'!$B$2:$D$2,0)+1)</f>
        <v>96.441448871549014</v>
      </c>
      <c r="Q14" s="28">
        <f t="shared" ca="1" si="1"/>
        <v>228.70463094137602</v>
      </c>
      <c r="R14" s="28">
        <f t="shared" ca="1" si="2"/>
        <v>409.34692490943081</v>
      </c>
    </row>
    <row r="15" spans="1:18" ht="15" x14ac:dyDescent="0.35">
      <c r="A15" s="31">
        <v>2033</v>
      </c>
      <c r="B15" s="25">
        <f ca="1">'Electrification Scenario'!B21*(1-'Electrification Scenario'!B$8*('Electrification Scenario'!B21-'Electrification Scenario'!B$4)/('Electrification Scenario'!B$5-'Electrification Scenario'!B$4))*VLOOKUP(B$3,'Static Parameters'!$A$3:$B$9,2)*VLOOKUP($A15,'Growth Scenarios'!$E$3:$I$80,MATCH('Scenario Picker'!$B$3,'Growth Scenarios'!$F$2:$I$2,0)+1)/1000000000*VLOOKUP($A15,'Growth Scenarios'!$A$3:$D$80,MATCH('Scenario Picker'!$B$2,'Growth Scenarios'!$B$2:$D$2,0)+1)</f>
        <v>4.0293303698760905</v>
      </c>
      <c r="C15" s="21">
        <f ca="1">'Electrification Scenario'!C21*(1-'Electrification Scenario'!C$8*('Electrification Scenario'!C21-'Electrification Scenario'!C$4)/('Electrification Scenario'!C$5-'Electrification Scenario'!C$4))*VLOOKUP(C$3,'Static Parameters'!$A$3:$B$9,2)*VLOOKUP($A15,'Growth Scenarios'!$E$3:$I$80,MATCH('Scenario Picker'!$B$3,'Growth Scenarios'!$F$2:$I$2,0)+1)/1000000000*VLOOKUP($A15,'Growth Scenarios'!$A$3:$D$80,MATCH('Scenario Picker'!$B$2,'Growth Scenarios'!$B$2:$D$2,0)+1)</f>
        <v>24.91126148383248</v>
      </c>
      <c r="D15" s="21">
        <f ca="1">'Electrification Scenario'!D21*(1-'Electrification Scenario'!D$8*('Electrification Scenario'!D21-'Electrification Scenario'!D$4)/('Electrification Scenario'!D$5-'Electrification Scenario'!D$4))*VLOOKUP(D$3,'Static Parameters'!$A$3:$B$9,2)*VLOOKUP($A15,'Growth Scenarios'!$E$3:$I$80,MATCH('Scenario Picker'!$B$3,'Growth Scenarios'!$F$2:$I$2,0)+1)/1000000000*VLOOKUP($A15,'Growth Scenarios'!$A$3:$D$80,MATCH('Scenario Picker'!$B$2,'Growth Scenarios'!$B$2:$D$2,0)+1)</f>
        <v>0.11887014777310853</v>
      </c>
      <c r="E15" s="21">
        <f ca="1">'Electrification Scenario'!E21*(1-'Electrification Scenario'!E$8*('Electrification Scenario'!E21-'Electrification Scenario'!E$4)/('Electrification Scenario'!E$5-'Electrification Scenario'!E$4))*VLOOKUP(E$3,'Static Parameters'!$A$3:$B$9,2)*VLOOKUP($A15,'Growth Scenarios'!$E$3:$I$80,MATCH('Scenario Picker'!$B$3,'Growth Scenarios'!$F$2:$I$2,0)+1)/1000000000*VLOOKUP($A15,'Growth Scenarios'!$A$3:$D$80,MATCH('Scenario Picker'!$B$2,'Growth Scenarios'!$B$2:$D$2,0)+1)</f>
        <v>75.575679209436885</v>
      </c>
      <c r="F15" s="21">
        <f ca="1">'Electrification Scenario'!F21*(1-'Electrification Scenario'!F$8*('Electrification Scenario'!F21-'Electrification Scenario'!F$4)/('Electrification Scenario'!F$5-'Electrification Scenario'!F$4))*VLOOKUP(F$3,'Static Parameters'!$A$3:$B$9,2)*VLOOKUP($A15,'Growth Scenarios'!$E$3:$I$80,MATCH('Scenario Picker'!$B$3,'Growth Scenarios'!$F$2:$I$2,0)+1)/1000000000*VLOOKUP($A15,'Growth Scenarios'!$A$3:$D$80,MATCH('Scenario Picker'!$B$2,'Growth Scenarios'!$B$2:$D$2,0)+1)</f>
        <v>4.5363666960732427</v>
      </c>
      <c r="G15" s="21">
        <f ca="1">'Electrification Scenario'!G21*(1-'Electrification Scenario'!G$8*('Electrification Scenario'!G21-'Electrification Scenario'!G$4)/('Electrification Scenario'!G$5-'Electrification Scenario'!G$4))*VLOOKUP(G$3,'Static Parameters'!$A$3:$B$9,2)*VLOOKUP($A15,'Growth Scenarios'!$E$3:$I$80,MATCH('Scenario Picker'!$B$3,'Growth Scenarios'!$F$2:$I$2,0)+1)/1000000000*VLOOKUP($A15,'Growth Scenarios'!$A$3:$D$80,MATCH('Scenario Picker'!$B$2,'Growth Scenarios'!$B$2:$D$2,0)+1)</f>
        <v>49.907080083091181</v>
      </c>
      <c r="H15" s="21">
        <f ca="1">'Electrification Scenario'!H21*(1-'Electrification Scenario'!H$8*('Electrification Scenario'!H21-'Electrification Scenario'!H$4)/('Electrification Scenario'!H$5-'Electrification Scenario'!H$4))*VLOOKUP(H$3,'Static Parameters'!$A$3:$B$9,2)*VLOOKUP($A15,'Growth Scenarios'!$E$3:$I$80,MATCH('Scenario Picker'!$B$3,'Growth Scenarios'!$F$2:$I$2,0)+1)/1000000000*VLOOKUP($A15,'Growth Scenarios'!$A$3:$D$80,MATCH('Scenario Picker'!$B$2,'Growth Scenarios'!$B$2:$D$2,0)+1)</f>
        <v>31.622676154429389</v>
      </c>
      <c r="I15" s="28">
        <f t="shared" ca="1" si="0"/>
        <v>190.70126414451238</v>
      </c>
      <c r="J15" s="25">
        <f ca="1">(1-'Electrification Scenario'!B21)*VLOOKUP(B$3,'Static Parameters'!$A$3:$B$9,2)*VLOOKUP($A15,'Growth Scenarios'!$E$3:$I$80,MATCH('Scenario Picker'!$B$3,'Growth Scenarios'!$F$2:$I$2,0)+1)/1000000000*VLOOKUP($A15,'Growth Scenarios'!$A$3:$D$80,MATCH('Scenario Picker'!$B$2,'Growth Scenarios'!$B$2:$D$2,0)+1)</f>
        <v>5.9900750754119025</v>
      </c>
      <c r="K15" s="21">
        <f ca="1">(1-'Electrification Scenario'!C21)*VLOOKUP(C$3,'Static Parameters'!$A$3:$B$9,2)*VLOOKUP($A15,'Growth Scenarios'!$E$3:$I$80,MATCH('Scenario Picker'!$B$3,'Growth Scenarios'!$F$2:$I$2,0)+1)/1000000000*VLOOKUP($A15,'Growth Scenarios'!$A$3:$D$80,MATCH('Scenario Picker'!$B$2,'Growth Scenarios'!$B$2:$D$2,0)+1)</f>
        <v>10.981804304921818</v>
      </c>
      <c r="L15" s="21">
        <f ca="1">(1-'Electrification Scenario'!D21)*VLOOKUP(D$3,'Static Parameters'!$A$3:$B$9,2)*VLOOKUP($A15,'Growth Scenarios'!$E$3:$I$80,MATCH('Scenario Picker'!$B$3,'Growth Scenarios'!$F$2:$I$2,0)+1)/1000000000*VLOOKUP($A15,'Growth Scenarios'!$A$3:$D$80,MATCH('Scenario Picker'!$B$2,'Growth Scenarios'!$B$2:$D$2,0)+1)</f>
        <v>0.3026899639170908</v>
      </c>
      <c r="M15" s="21">
        <f ca="1">(1-'Electrification Scenario'!E21)*VLOOKUP(E$3,'Static Parameters'!$A$3:$B$9,2)*VLOOKUP($A15,'Growth Scenarios'!$E$3:$I$80,MATCH('Scenario Picker'!$B$3,'Growth Scenarios'!$F$2:$I$2,0)+1)/1000000000*VLOOKUP($A15,'Growth Scenarios'!$A$3:$D$80,MATCH('Scenario Picker'!$B$2,'Growth Scenarios'!$B$2:$D$2,0)+1)</f>
        <v>63.530375146002044</v>
      </c>
      <c r="N15" s="21">
        <f ca="1">(1-'Electrification Scenario'!F21)*VLOOKUP(F$3,'Static Parameters'!$A$3:$B$9,2)*VLOOKUP($A15,'Growth Scenarios'!$E$3:$I$80,MATCH('Scenario Picker'!$B$3,'Growth Scenarios'!$F$2:$I$2,0)+1)/1000000000*VLOOKUP($A15,'Growth Scenarios'!$A$3:$D$80,MATCH('Scenario Picker'!$B$2,'Growth Scenarios'!$B$2:$D$2,0)+1)</f>
        <v>2.4205240206659462</v>
      </c>
      <c r="O15" s="21">
        <f ca="1">(1-'Electrification Scenario'!G21)*VLOOKUP(G$3,'Static Parameters'!$A$3:$B$9,2)*VLOOKUP($A15,'Growth Scenarios'!$E$3:$I$80,MATCH('Scenario Picker'!$B$3,'Growth Scenarios'!$F$2:$I$2,0)+1)/1000000000*VLOOKUP($A15,'Growth Scenarios'!$A$3:$D$80,MATCH('Scenario Picker'!$B$2,'Growth Scenarios'!$B$2:$D$2,0)+1)</f>
        <v>43.013836977691845</v>
      </c>
      <c r="P15" s="21">
        <f ca="1">(1-'Electrification Scenario'!H21)*VLOOKUP(H$3,'Static Parameters'!$A$3:$B$9,2)*VLOOKUP($A15,'Growth Scenarios'!$E$3:$I$80,MATCH('Scenario Picker'!$B$3,'Growth Scenarios'!$F$2:$I$2,0)+1)/1000000000*VLOOKUP($A15,'Growth Scenarios'!$A$3:$D$80,MATCH('Scenario Picker'!$B$2,'Growth Scenarios'!$B$2:$D$2,0)+1)</f>
        <v>93.739630097464314</v>
      </c>
      <c r="Q15" s="28">
        <f t="shared" ca="1" si="1"/>
        <v>219.97893558607495</v>
      </c>
      <c r="R15" s="28">
        <f t="shared" ca="1" si="2"/>
        <v>410.68019973058733</v>
      </c>
    </row>
    <row r="16" spans="1:18" ht="15" x14ac:dyDescent="0.35">
      <c r="A16" s="31">
        <v>2034</v>
      </c>
      <c r="B16" s="25">
        <f ca="1">'Electrification Scenario'!B22*(1-'Electrification Scenario'!B$8*('Electrification Scenario'!B22-'Electrification Scenario'!B$4)/('Electrification Scenario'!B$5-'Electrification Scenario'!B$4))*VLOOKUP(B$3,'Static Parameters'!$A$3:$B$9,2)*VLOOKUP($A16,'Growth Scenarios'!$E$3:$I$80,MATCH('Scenario Picker'!$B$3,'Growth Scenarios'!$F$2:$I$2,0)+1)/1000000000*VLOOKUP($A16,'Growth Scenarios'!$A$3:$D$80,MATCH('Scenario Picker'!$B$2,'Growth Scenarios'!$B$2:$D$2,0)+1)</f>
        <v>4.1478323467636269</v>
      </c>
      <c r="C16" s="21">
        <f ca="1">'Electrification Scenario'!C22*(1-'Electrification Scenario'!C$8*('Electrification Scenario'!C22-'Electrification Scenario'!C$4)/('Electrification Scenario'!C$5-'Electrification Scenario'!C$4))*VLOOKUP(C$3,'Static Parameters'!$A$3:$B$9,2)*VLOOKUP($A16,'Growth Scenarios'!$E$3:$I$80,MATCH('Scenario Picker'!$B$3,'Growth Scenarios'!$F$2:$I$2,0)+1)/1000000000*VLOOKUP($A16,'Growth Scenarios'!$A$3:$D$80,MATCH('Scenario Picker'!$B$2,'Growth Scenarios'!$B$2:$D$2,0)+1)</f>
        <v>25.618241560974159</v>
      </c>
      <c r="D16" s="21">
        <f ca="1">'Electrification Scenario'!D22*(1-'Electrification Scenario'!D$8*('Electrification Scenario'!D22-'Electrification Scenario'!D$4)/('Electrification Scenario'!D$5-'Electrification Scenario'!D$4))*VLOOKUP(D$3,'Static Parameters'!$A$3:$B$9,2)*VLOOKUP($A16,'Growth Scenarios'!$E$3:$I$80,MATCH('Scenario Picker'!$B$3,'Growth Scenarios'!$F$2:$I$2,0)+1)/1000000000*VLOOKUP($A16,'Growth Scenarios'!$A$3:$D$80,MATCH('Scenario Picker'!$B$2,'Growth Scenarios'!$B$2:$D$2,0)+1)</f>
        <v>0.12673932170666635</v>
      </c>
      <c r="E16" s="21">
        <f ca="1">'Electrification Scenario'!E22*(1-'Electrification Scenario'!E$8*('Electrification Scenario'!E22-'Electrification Scenario'!E$4)/('Electrification Scenario'!E$5-'Electrification Scenario'!E$4))*VLOOKUP(E$3,'Static Parameters'!$A$3:$B$9,2)*VLOOKUP($A16,'Growth Scenarios'!$E$3:$I$80,MATCH('Scenario Picker'!$B$3,'Growth Scenarios'!$F$2:$I$2,0)+1)/1000000000*VLOOKUP($A16,'Growth Scenarios'!$A$3:$D$80,MATCH('Scenario Picker'!$B$2,'Growth Scenarios'!$B$2:$D$2,0)+1)</f>
        <v>79.468627178484823</v>
      </c>
      <c r="F16" s="21">
        <f ca="1">'Electrification Scenario'!F22*(1-'Electrification Scenario'!F$8*('Electrification Scenario'!F22-'Electrification Scenario'!F$4)/('Electrification Scenario'!F$5-'Electrification Scenario'!F$4))*VLOOKUP(F$3,'Static Parameters'!$A$3:$B$9,2)*VLOOKUP($A16,'Growth Scenarios'!$E$3:$I$80,MATCH('Scenario Picker'!$B$3,'Growth Scenarios'!$F$2:$I$2,0)+1)/1000000000*VLOOKUP($A16,'Growth Scenarios'!$A$3:$D$80,MATCH('Scenario Picker'!$B$2,'Growth Scenarios'!$B$2:$D$2,0)+1)</f>
        <v>4.5833547431738069</v>
      </c>
      <c r="G16" s="21">
        <f ca="1">'Electrification Scenario'!G22*(1-'Electrification Scenario'!G$8*('Electrification Scenario'!G22-'Electrification Scenario'!G$4)/('Electrification Scenario'!G$5-'Electrification Scenario'!G$4))*VLOOKUP(G$3,'Static Parameters'!$A$3:$B$9,2)*VLOOKUP($A16,'Growth Scenarios'!$E$3:$I$80,MATCH('Scenario Picker'!$B$3,'Growth Scenarios'!$F$2:$I$2,0)+1)/1000000000*VLOOKUP($A16,'Growth Scenarios'!$A$3:$D$80,MATCH('Scenario Picker'!$B$2,'Growth Scenarios'!$B$2:$D$2,0)+1)</f>
        <v>52.539209725672592</v>
      </c>
      <c r="H16" s="21">
        <f ca="1">'Electrification Scenario'!H22*(1-'Electrification Scenario'!H$8*('Electrification Scenario'!H22-'Electrification Scenario'!H$4)/('Electrification Scenario'!H$5-'Electrification Scenario'!H$4))*VLOOKUP(H$3,'Static Parameters'!$A$3:$B$9,2)*VLOOKUP($A16,'Growth Scenarios'!$E$3:$I$80,MATCH('Scenario Picker'!$B$3,'Growth Scenarios'!$F$2:$I$2,0)+1)/1000000000*VLOOKUP($A16,'Growth Scenarios'!$A$3:$D$80,MATCH('Scenario Picker'!$B$2,'Growth Scenarios'!$B$2:$D$2,0)+1)</f>
        <v>34.234527369235991</v>
      </c>
      <c r="I16" s="28">
        <f t="shared" ca="1" si="0"/>
        <v>200.71853224601165</v>
      </c>
      <c r="J16" s="25">
        <f ca="1">(1-'Electrification Scenario'!B22)*VLOOKUP(B$3,'Static Parameters'!$A$3:$B$9,2)*VLOOKUP($A16,'Growth Scenarios'!$E$3:$I$80,MATCH('Scenario Picker'!$B$3,'Growth Scenarios'!$F$2:$I$2,0)+1)/1000000000*VLOOKUP($A16,'Growth Scenarios'!$A$3:$D$80,MATCH('Scenario Picker'!$B$2,'Growth Scenarios'!$B$2:$D$2,0)+1)</f>
        <v>5.9409662184270795</v>
      </c>
      <c r="K16" s="21">
        <f ca="1">(1-'Electrification Scenario'!C22)*VLOOKUP(C$3,'Static Parameters'!$A$3:$B$9,2)*VLOOKUP($A16,'Growth Scenarios'!$E$3:$I$80,MATCH('Scenario Picker'!$B$3,'Growth Scenarios'!$F$2:$I$2,0)+1)/1000000000*VLOOKUP($A16,'Growth Scenarios'!$A$3:$D$80,MATCH('Scenario Picker'!$B$2,'Growth Scenarios'!$B$2:$D$2,0)+1)</f>
        <v>10.411795033650169</v>
      </c>
      <c r="L16" s="21">
        <f ca="1">(1-'Electrification Scenario'!D22)*VLOOKUP(D$3,'Static Parameters'!$A$3:$B$9,2)*VLOOKUP($A16,'Growth Scenarios'!$E$3:$I$80,MATCH('Scenario Picker'!$B$3,'Growth Scenarios'!$F$2:$I$2,0)+1)/1000000000*VLOOKUP($A16,'Growth Scenarios'!$A$3:$D$80,MATCH('Scenario Picker'!$B$2,'Growth Scenarios'!$B$2:$D$2,0)+1)</f>
        <v>0.29788743044373073</v>
      </c>
      <c r="M16" s="21">
        <f ca="1">(1-'Electrification Scenario'!E22)*VLOOKUP(E$3,'Static Parameters'!$A$3:$B$9,2)*VLOOKUP($A16,'Growth Scenarios'!$E$3:$I$80,MATCH('Scenario Picker'!$B$3,'Growth Scenarios'!$F$2:$I$2,0)+1)/1000000000*VLOOKUP($A16,'Growth Scenarios'!$A$3:$D$80,MATCH('Scenario Picker'!$B$2,'Growth Scenarios'!$B$2:$D$2,0)+1)</f>
        <v>60.232838435722357</v>
      </c>
      <c r="N16" s="21">
        <f ca="1">(1-'Electrification Scenario'!F22)*VLOOKUP(F$3,'Static Parameters'!$A$3:$B$9,2)*VLOOKUP($A16,'Growth Scenarios'!$E$3:$I$80,MATCH('Scenario Picker'!$B$3,'Growth Scenarios'!$F$2:$I$2,0)+1)/1000000000*VLOOKUP($A16,'Growth Scenarios'!$A$3:$D$80,MATCH('Scenario Picker'!$B$2,'Growth Scenarios'!$B$2:$D$2,0)+1)</f>
        <v>2.4107903877882766</v>
      </c>
      <c r="O16" s="21">
        <f ca="1">(1-'Electrification Scenario'!G22)*VLOOKUP(G$3,'Static Parameters'!$A$3:$B$9,2)*VLOOKUP($A16,'Growth Scenarios'!$E$3:$I$80,MATCH('Scenario Picker'!$B$3,'Growth Scenarios'!$F$2:$I$2,0)+1)/1000000000*VLOOKUP($A16,'Growth Scenarios'!$A$3:$D$80,MATCH('Scenario Picker'!$B$2,'Growth Scenarios'!$B$2:$D$2,0)+1)</f>
        <v>40.781208787507914</v>
      </c>
      <c r="P16" s="21">
        <f ca="1">(1-'Electrification Scenario'!H22)*VLOOKUP(H$3,'Static Parameters'!$A$3:$B$9,2)*VLOOKUP($A16,'Growth Scenarios'!$E$3:$I$80,MATCH('Scenario Picker'!$B$3,'Growth Scenarios'!$F$2:$I$2,0)+1)/1000000000*VLOOKUP($A16,'Growth Scenarios'!$A$3:$D$80,MATCH('Scenario Picker'!$B$2,'Growth Scenarios'!$B$2:$D$2,0)+1)</f>
        <v>90.973982137992977</v>
      </c>
      <c r="Q16" s="28">
        <f t="shared" ca="1" si="1"/>
        <v>211.04946843153252</v>
      </c>
      <c r="R16" s="28">
        <f t="shared" ca="1" si="2"/>
        <v>411.76800067754414</v>
      </c>
    </row>
    <row r="17" spans="1:18" ht="15" x14ac:dyDescent="0.35">
      <c r="A17" s="31">
        <v>2035</v>
      </c>
      <c r="B17" s="25">
        <f ca="1">'Electrification Scenario'!B23*(1-'Electrification Scenario'!B$8*('Electrification Scenario'!B23-'Electrification Scenario'!B$4)/('Electrification Scenario'!B$5-'Electrification Scenario'!B$4))*VLOOKUP(B$3,'Static Parameters'!$A$3:$B$9,2)*VLOOKUP($A17,'Growth Scenarios'!$E$3:$I$80,MATCH('Scenario Picker'!$B$3,'Growth Scenarios'!$F$2:$I$2,0)+1)/1000000000*VLOOKUP($A17,'Growth Scenarios'!$A$3:$D$80,MATCH('Scenario Picker'!$B$2,'Growth Scenarios'!$B$2:$D$2,0)+1)</f>
        <v>4.2671276116495074</v>
      </c>
      <c r="C17" s="21">
        <f ca="1">'Electrification Scenario'!C23*(1-'Electrification Scenario'!C$8*('Electrification Scenario'!C23-'Electrification Scenario'!C$4)/('Electrification Scenario'!C$5-'Electrification Scenario'!C$4))*VLOOKUP(C$3,'Static Parameters'!$A$3:$B$9,2)*VLOOKUP($A17,'Growth Scenarios'!$E$3:$I$80,MATCH('Scenario Picker'!$B$3,'Growth Scenarios'!$F$2:$I$2,0)+1)/1000000000*VLOOKUP($A17,'Growth Scenarios'!$A$3:$D$80,MATCH('Scenario Picker'!$B$2,'Growth Scenarios'!$B$2:$D$2,0)+1)</f>
        <v>26.329976903540373</v>
      </c>
      <c r="D17" s="21">
        <f ca="1">'Electrification Scenario'!D23*(1-'Electrification Scenario'!D$8*('Electrification Scenario'!D23-'Electrification Scenario'!D$4)/('Electrification Scenario'!D$5-'Electrification Scenario'!D$4))*VLOOKUP(D$3,'Static Parameters'!$A$3:$B$9,2)*VLOOKUP($A17,'Growth Scenarios'!$E$3:$I$80,MATCH('Scenario Picker'!$B$3,'Growth Scenarios'!$F$2:$I$2,0)+1)/1000000000*VLOOKUP($A17,'Growth Scenarios'!$A$3:$D$80,MATCH('Scenario Picker'!$B$2,'Growth Scenarios'!$B$2:$D$2,0)+1)</f>
        <v>0.13465733436531155</v>
      </c>
      <c r="E17" s="21">
        <f ca="1">'Electrification Scenario'!E23*(1-'Electrification Scenario'!E$8*('Electrification Scenario'!E23-'Electrification Scenario'!E$4)/('Electrification Scenario'!E$5-'Electrification Scenario'!E$4))*VLOOKUP(E$3,'Static Parameters'!$A$3:$B$9,2)*VLOOKUP($A17,'Growth Scenarios'!$E$3:$I$80,MATCH('Scenario Picker'!$B$3,'Growth Scenarios'!$F$2:$I$2,0)+1)/1000000000*VLOOKUP($A17,'Growth Scenarios'!$A$3:$D$80,MATCH('Scenario Picker'!$B$2,'Growth Scenarios'!$B$2:$D$2,0)+1)</f>
        <v>83.386169130277665</v>
      </c>
      <c r="F17" s="21">
        <f ca="1">'Electrification Scenario'!F23*(1-'Electrification Scenario'!F$8*('Electrification Scenario'!F23-'Electrification Scenario'!F$4)/('Electrification Scenario'!F$5-'Electrification Scenario'!F$4))*VLOOKUP(F$3,'Static Parameters'!$A$3:$B$9,2)*VLOOKUP($A17,'Growth Scenarios'!$E$3:$I$80,MATCH('Scenario Picker'!$B$3,'Growth Scenarios'!$F$2:$I$2,0)+1)/1000000000*VLOOKUP($A17,'Growth Scenarios'!$A$3:$D$80,MATCH('Scenario Picker'!$B$2,'Growth Scenarios'!$B$2:$D$2,0)+1)</f>
        <v>4.6307332284711729</v>
      </c>
      <c r="G17" s="21">
        <f ca="1">'Electrification Scenario'!G23*(1-'Electrification Scenario'!G$8*('Electrification Scenario'!G23-'Electrification Scenario'!G$4)/('Electrification Scenario'!G$5-'Electrification Scenario'!G$4))*VLOOKUP(G$3,'Static Parameters'!$A$3:$B$9,2)*VLOOKUP($A17,'Growth Scenarios'!$E$3:$I$80,MATCH('Scenario Picker'!$B$3,'Growth Scenarios'!$F$2:$I$2,0)+1)/1000000000*VLOOKUP($A17,'Growth Scenarios'!$A$3:$D$80,MATCH('Scenario Picker'!$B$2,'Growth Scenarios'!$B$2:$D$2,0)+1)</f>
        <v>55.18793726505104</v>
      </c>
      <c r="H17" s="21">
        <f ca="1">'Electrification Scenario'!H23*(1-'Electrification Scenario'!H$8*('Electrification Scenario'!H23-'Electrification Scenario'!H$4)/('Electrification Scenario'!H$5-'Electrification Scenario'!H$4))*VLOOKUP(H$3,'Static Parameters'!$A$3:$B$9,2)*VLOOKUP($A17,'Growth Scenarios'!$E$3:$I$80,MATCH('Scenario Picker'!$B$3,'Growth Scenarios'!$F$2:$I$2,0)+1)/1000000000*VLOOKUP($A17,'Growth Scenarios'!$A$3:$D$80,MATCH('Scenario Picker'!$B$2,'Growth Scenarios'!$B$2:$D$2,0)+1)</f>
        <v>36.756443695310466</v>
      </c>
      <c r="I17" s="28">
        <f t="shared" ca="1" si="0"/>
        <v>210.69304516866555</v>
      </c>
      <c r="J17" s="25">
        <f ca="1">(1-'Electrification Scenario'!B23)*VLOOKUP(B$3,'Static Parameters'!$A$3:$B$9,2)*VLOOKUP($A17,'Growth Scenarios'!$E$3:$I$80,MATCH('Scenario Picker'!$B$3,'Growth Scenarios'!$F$2:$I$2,0)+1)/1000000000*VLOOKUP($A17,'Growth Scenarios'!$A$3:$D$80,MATCH('Scenario Picker'!$B$2,'Growth Scenarios'!$B$2:$D$2,0)+1)</f>
        <v>5.8905990103536308</v>
      </c>
      <c r="K17" s="21">
        <f ca="1">(1-'Electrification Scenario'!C23)*VLOOKUP(C$3,'Static Parameters'!$A$3:$B$9,2)*VLOOKUP($A17,'Growth Scenarios'!$E$3:$I$80,MATCH('Scenario Picker'!$B$3,'Growth Scenarios'!$F$2:$I$2,0)+1)/1000000000*VLOOKUP($A17,'Growth Scenarios'!$A$3:$D$80,MATCH('Scenario Picker'!$B$2,'Growth Scenarios'!$B$2:$D$2,0)+1)</f>
        <v>9.8285282703871744</v>
      </c>
      <c r="L17" s="21">
        <f ca="1">(1-'Electrification Scenario'!D23)*VLOOKUP(D$3,'Static Parameters'!$A$3:$B$9,2)*VLOOKUP($A17,'Growth Scenarios'!$E$3:$I$80,MATCH('Scenario Picker'!$B$3,'Growth Scenarios'!$F$2:$I$2,0)+1)/1000000000*VLOOKUP($A17,'Growth Scenarios'!$A$3:$D$80,MATCH('Scenario Picker'!$B$2,'Growth Scenarios'!$B$2:$D$2,0)+1)</f>
        <v>0.29296835788008196</v>
      </c>
      <c r="M17" s="21">
        <f ca="1">(1-'Electrification Scenario'!E23)*VLOOKUP(E$3,'Static Parameters'!$A$3:$B$9,2)*VLOOKUP($A17,'Growth Scenarios'!$E$3:$I$80,MATCH('Scenario Picker'!$B$3,'Growth Scenarios'!$F$2:$I$2,0)+1)/1000000000*VLOOKUP($A17,'Growth Scenarios'!$A$3:$D$80,MATCH('Scenario Picker'!$B$2,'Growth Scenarios'!$B$2:$D$2,0)+1)</f>
        <v>56.858606364979195</v>
      </c>
      <c r="N17" s="21">
        <f ca="1">(1-'Electrification Scenario'!F23)*VLOOKUP(F$3,'Static Parameters'!$A$3:$B$9,2)*VLOOKUP($A17,'Growth Scenarios'!$E$3:$I$80,MATCH('Scenario Picker'!$B$3,'Growth Scenarios'!$F$2:$I$2,0)+1)/1000000000*VLOOKUP($A17,'Growth Scenarios'!$A$3:$D$80,MATCH('Scenario Picker'!$B$2,'Growth Scenarios'!$B$2:$D$2,0)+1)</f>
        <v>2.4007789419790719</v>
      </c>
      <c r="O17" s="21">
        <f ca="1">(1-'Electrification Scenario'!G23)*VLOOKUP(G$3,'Static Parameters'!$A$3:$B$9,2)*VLOOKUP($A17,'Growth Scenarios'!$E$3:$I$80,MATCH('Scenario Picker'!$B$3,'Growth Scenarios'!$F$2:$I$2,0)+1)/1000000000*VLOOKUP($A17,'Growth Scenarios'!$A$3:$D$80,MATCH('Scenario Picker'!$B$2,'Growth Scenarios'!$B$2:$D$2,0)+1)</f>
        <v>38.496653283431385</v>
      </c>
      <c r="P17" s="21">
        <f ca="1">(1-'Electrification Scenario'!H23)*VLOOKUP(H$3,'Static Parameters'!$A$3:$B$9,2)*VLOOKUP($A17,'Growth Scenarios'!$E$3:$I$80,MATCH('Scenario Picker'!$B$3,'Growth Scenarios'!$F$2:$I$2,0)+1)/1000000000*VLOOKUP($A17,'Growth Scenarios'!$A$3:$D$80,MATCH('Scenario Picker'!$B$2,'Growth Scenarios'!$B$2:$D$2,0)+1)</f>
        <v>88.143077999323296</v>
      </c>
      <c r="Q17" s="28">
        <f t="shared" ca="1" si="1"/>
        <v>201.91121222833385</v>
      </c>
      <c r="R17" s="28">
        <f t="shared" ca="1" si="2"/>
        <v>412.6042573969994</v>
      </c>
    </row>
    <row r="18" spans="1:18" ht="15" x14ac:dyDescent="0.35">
      <c r="A18" s="31">
        <v>2036</v>
      </c>
      <c r="B18" s="25">
        <f ca="1">'Electrification Scenario'!B24*(1-'Electrification Scenario'!B$8*('Electrification Scenario'!B24-'Electrification Scenario'!B$4)/('Electrification Scenario'!B$5-'Electrification Scenario'!B$4))*VLOOKUP(B$3,'Static Parameters'!$A$3:$B$9,2)*VLOOKUP($A18,'Growth Scenarios'!$E$3:$I$80,MATCH('Scenario Picker'!$B$3,'Growth Scenarios'!$F$2:$I$2,0)+1)/1000000000*VLOOKUP($A18,'Growth Scenarios'!$A$3:$D$80,MATCH('Scenario Picker'!$B$2,'Growth Scenarios'!$B$2:$D$2,0)+1)</f>
        <v>4.3872244981626842</v>
      </c>
      <c r="C18" s="21">
        <f ca="1">'Electrification Scenario'!C24*(1-'Electrification Scenario'!C$8*('Electrification Scenario'!C24-'Electrification Scenario'!C$4)/('Electrification Scenario'!C$5-'Electrification Scenario'!C$4))*VLOOKUP(C$3,'Static Parameters'!$A$3:$B$9,2)*VLOOKUP($A18,'Growth Scenarios'!$E$3:$I$80,MATCH('Scenario Picker'!$B$3,'Growth Scenarios'!$F$2:$I$2,0)+1)/1000000000*VLOOKUP($A18,'Growth Scenarios'!$A$3:$D$80,MATCH('Scenario Picker'!$B$2,'Growth Scenarios'!$B$2:$D$2,0)+1)</f>
        <v>27.046515862299628</v>
      </c>
      <c r="D18" s="21">
        <f ca="1">'Electrification Scenario'!D24*(1-'Electrification Scenario'!D$8*('Electrification Scenario'!D24-'Electrification Scenario'!D$4)/('Electrification Scenario'!D$5-'Electrification Scenario'!D$4))*VLOOKUP(D$3,'Static Parameters'!$A$3:$B$9,2)*VLOOKUP($A18,'Growth Scenarios'!$E$3:$I$80,MATCH('Scenario Picker'!$B$3,'Growth Scenarios'!$F$2:$I$2,0)+1)/1000000000*VLOOKUP($A18,'Growth Scenarios'!$A$3:$D$80,MATCH('Scenario Picker'!$B$2,'Growth Scenarios'!$B$2:$D$2,0)+1)</f>
        <v>0.14262497223880521</v>
      </c>
      <c r="E18" s="21">
        <f ca="1">'Electrification Scenario'!E24*(1-'Electrification Scenario'!E$8*('Electrification Scenario'!E24-'Electrification Scenario'!E$4)/('Electrification Scenario'!E$5-'Electrification Scenario'!E$4))*VLOOKUP(E$3,'Static Parameters'!$A$3:$B$9,2)*VLOOKUP($A18,'Growth Scenarios'!$E$3:$I$80,MATCH('Scenario Picker'!$B$3,'Growth Scenarios'!$F$2:$I$2,0)+1)/1000000000*VLOOKUP($A18,'Growth Scenarios'!$A$3:$D$80,MATCH('Scenario Picker'!$B$2,'Growth Scenarios'!$B$2:$D$2,0)+1)</f>
        <v>87.328667861092669</v>
      </c>
      <c r="F18" s="21">
        <f ca="1">'Electrification Scenario'!F24*(1-'Electrification Scenario'!F$8*('Electrification Scenario'!F24-'Electrification Scenario'!F$4)/('Electrification Scenario'!F$5-'Electrification Scenario'!F$4))*VLOOKUP(F$3,'Static Parameters'!$A$3:$B$9,2)*VLOOKUP($A18,'Growth Scenarios'!$E$3:$I$80,MATCH('Scenario Picker'!$B$3,'Growth Scenarios'!$F$2:$I$2,0)+1)/1000000000*VLOOKUP($A18,'Growth Scenarios'!$A$3:$D$80,MATCH('Scenario Picker'!$B$2,'Growth Scenarios'!$B$2:$D$2,0)+1)</f>
        <v>4.6785008499179916</v>
      </c>
      <c r="G18" s="21">
        <f ca="1">'Electrification Scenario'!G24*(1-'Electrification Scenario'!G$8*('Electrification Scenario'!G24-'Electrification Scenario'!G$4)/('Electrification Scenario'!G$5-'Electrification Scenario'!G$4))*VLOOKUP(G$3,'Static Parameters'!$A$3:$B$9,2)*VLOOKUP($A18,'Growth Scenarios'!$E$3:$I$80,MATCH('Scenario Picker'!$B$3,'Growth Scenarios'!$F$2:$I$2,0)+1)/1000000000*VLOOKUP($A18,'Growth Scenarios'!$A$3:$D$80,MATCH('Scenario Picker'!$B$2,'Growth Scenarios'!$B$2:$D$2,0)+1)</f>
        <v>57.853509865881563</v>
      </c>
      <c r="H18" s="21">
        <f ca="1">'Electrification Scenario'!H24*(1-'Electrification Scenario'!H$8*('Electrification Scenario'!H24-'Electrification Scenario'!H$4)/('Electrification Scenario'!H$5-'Electrification Scenario'!H$4))*VLOOKUP(H$3,'Static Parameters'!$A$3:$B$9,2)*VLOOKUP($A18,'Growth Scenarios'!$E$3:$I$80,MATCH('Scenario Picker'!$B$3,'Growth Scenarios'!$F$2:$I$2,0)+1)/1000000000*VLOOKUP($A18,'Growth Scenarios'!$A$3:$D$80,MATCH('Scenario Picker'!$B$2,'Growth Scenarios'!$B$2:$D$2,0)+1)</f>
        <v>39.185039321196633</v>
      </c>
      <c r="I18" s="28">
        <f t="shared" ca="1" si="0"/>
        <v>220.62208323078997</v>
      </c>
      <c r="J18" s="25">
        <f ca="1">(1-'Electrification Scenario'!B24)*VLOOKUP(B$3,'Static Parameters'!$A$3:$B$9,2)*VLOOKUP($A18,'Growth Scenarios'!$E$3:$I$80,MATCH('Scenario Picker'!$B$3,'Growth Scenarios'!$F$2:$I$2,0)+1)/1000000000*VLOOKUP($A18,'Growth Scenarios'!$A$3:$D$80,MATCH('Scenario Picker'!$B$2,'Growth Scenarios'!$B$2:$D$2,0)+1)</f>
        <v>5.8389190512787881</v>
      </c>
      <c r="K18" s="21">
        <f ca="1">(1-'Electrification Scenario'!C24)*VLOOKUP(C$3,'Static Parameters'!$A$3:$B$9,2)*VLOOKUP($A18,'Growth Scenarios'!$E$3:$I$80,MATCH('Scenario Picker'!$B$3,'Growth Scenarios'!$F$2:$I$2,0)+1)/1000000000*VLOOKUP($A18,'Growth Scenarios'!$A$3:$D$80,MATCH('Scenario Picker'!$B$2,'Growth Scenarios'!$B$2:$D$2,0)+1)</f>
        <v>9.2315631483520875</v>
      </c>
      <c r="L18" s="21">
        <f ca="1">(1-'Electrification Scenario'!D24)*VLOOKUP(D$3,'Static Parameters'!$A$3:$B$9,2)*VLOOKUP($A18,'Growth Scenarios'!$E$3:$I$80,MATCH('Scenario Picker'!$B$3,'Growth Scenarios'!$F$2:$I$2,0)+1)/1000000000*VLOOKUP($A18,'Growth Scenarios'!$A$3:$D$80,MATCH('Scenario Picker'!$B$2,'Growth Scenarios'!$B$2:$D$2,0)+1)</f>
        <v>0.28792834771214204</v>
      </c>
      <c r="M18" s="21">
        <f ca="1">(1-'Electrification Scenario'!E24)*VLOOKUP(E$3,'Static Parameters'!$A$3:$B$9,2)*VLOOKUP($A18,'Growth Scenarios'!$E$3:$I$80,MATCH('Scenario Picker'!$B$3,'Growth Scenarios'!$F$2:$I$2,0)+1)/1000000000*VLOOKUP($A18,'Growth Scenarios'!$A$3:$D$80,MATCH('Scenario Picker'!$B$2,'Growth Scenarios'!$B$2:$D$2,0)+1)</f>
        <v>53.405128493863742</v>
      </c>
      <c r="N18" s="21">
        <f ca="1">(1-'Electrification Scenario'!F24)*VLOOKUP(F$3,'Static Parameters'!$A$3:$B$9,2)*VLOOKUP($A18,'Growth Scenarios'!$E$3:$I$80,MATCH('Scenario Picker'!$B$3,'Growth Scenarios'!$F$2:$I$2,0)+1)/1000000000*VLOOKUP($A18,'Growth Scenarios'!$A$3:$D$80,MATCH('Scenario Picker'!$B$2,'Growth Scenarios'!$B$2:$D$2,0)+1)</f>
        <v>2.3904748868194114</v>
      </c>
      <c r="O18" s="21">
        <f ca="1">(1-'Electrification Scenario'!G24)*VLOOKUP(G$3,'Static Parameters'!$A$3:$B$9,2)*VLOOKUP($A18,'Growth Scenarios'!$E$3:$I$80,MATCH('Scenario Picker'!$B$3,'Growth Scenarios'!$F$2:$I$2,0)+1)/1000000000*VLOOKUP($A18,'Growth Scenarios'!$A$3:$D$80,MATCH('Scenario Picker'!$B$2,'Growth Scenarios'!$B$2:$D$2,0)+1)</f>
        <v>36.158443666175977</v>
      </c>
      <c r="P18" s="21">
        <f ca="1">(1-'Electrification Scenario'!H24)*VLOOKUP(H$3,'Static Parameters'!$A$3:$B$9,2)*VLOOKUP($A18,'Growth Scenarios'!$E$3:$I$80,MATCH('Scenario Picker'!$B$3,'Growth Scenarios'!$F$2:$I$2,0)+1)/1000000000*VLOOKUP($A18,'Growth Scenarios'!$A$3:$D$80,MATCH('Scenario Picker'!$B$2,'Growth Scenarios'!$B$2:$D$2,0)+1)</f>
        <v>85.244646944357584</v>
      </c>
      <c r="Q18" s="28">
        <f t="shared" ca="1" si="1"/>
        <v>192.55710453855971</v>
      </c>
      <c r="R18" s="28">
        <f t="shared" ca="1" si="2"/>
        <v>413.17918776934971</v>
      </c>
    </row>
    <row r="19" spans="1:18" ht="15" x14ac:dyDescent="0.35">
      <c r="A19" s="31">
        <v>2037</v>
      </c>
      <c r="B19" s="25">
        <f ca="1">'Electrification Scenario'!B25*(1-'Electrification Scenario'!B$8*('Electrification Scenario'!B25-'Electrification Scenario'!B$4)/('Electrification Scenario'!B$5-'Electrification Scenario'!B$4))*VLOOKUP(B$3,'Static Parameters'!$A$3:$B$9,2)*VLOOKUP($A19,'Growth Scenarios'!$E$3:$I$80,MATCH('Scenario Picker'!$B$3,'Growth Scenarios'!$F$2:$I$2,0)+1)/1000000000*VLOOKUP($A19,'Growth Scenarios'!$A$3:$D$80,MATCH('Scenario Picker'!$B$2,'Growth Scenarios'!$B$2:$D$2,0)+1)</f>
        <v>4.5081444885484734</v>
      </c>
      <c r="C19" s="21">
        <f ca="1">'Electrification Scenario'!C25*(1-'Electrification Scenario'!C$8*('Electrification Scenario'!C25-'Electrification Scenario'!C$4)/('Electrification Scenario'!C$5-'Electrification Scenario'!C$4))*VLOOKUP(C$3,'Static Parameters'!$A$3:$B$9,2)*VLOOKUP($A19,'Growth Scenarios'!$E$3:$I$80,MATCH('Scenario Picker'!$B$3,'Growth Scenarios'!$F$2:$I$2,0)+1)/1000000000*VLOOKUP($A19,'Growth Scenarios'!$A$3:$D$80,MATCH('Scenario Picker'!$B$2,'Growth Scenarios'!$B$2:$D$2,0)+1)</f>
        <v>27.767987889310124</v>
      </c>
      <c r="D19" s="21">
        <f ca="1">'Electrification Scenario'!D25*(1-'Electrification Scenario'!D$8*('Electrification Scenario'!D25-'Electrification Scenario'!D$4)/('Electrification Scenario'!D$5-'Electrification Scenario'!D$4))*VLOOKUP(D$3,'Static Parameters'!$A$3:$B$9,2)*VLOOKUP($A19,'Growth Scenarios'!$E$3:$I$80,MATCH('Scenario Picker'!$B$3,'Growth Scenarios'!$F$2:$I$2,0)+1)/1000000000*VLOOKUP($A19,'Growth Scenarios'!$A$3:$D$80,MATCH('Scenario Picker'!$B$2,'Growth Scenarios'!$B$2:$D$2,0)+1)</f>
        <v>0.15064344206783267</v>
      </c>
      <c r="E19" s="21">
        <f ca="1">'Electrification Scenario'!E25*(1-'Electrification Scenario'!E$8*('Electrification Scenario'!E25-'Electrification Scenario'!E$4)/('Electrification Scenario'!E$5-'Electrification Scenario'!E$4))*VLOOKUP(E$3,'Static Parameters'!$A$3:$B$9,2)*VLOOKUP($A19,'Growth Scenarios'!$E$3:$I$80,MATCH('Scenario Picker'!$B$3,'Growth Scenarios'!$F$2:$I$2,0)+1)/1000000000*VLOOKUP($A19,'Growth Scenarios'!$A$3:$D$80,MATCH('Scenario Picker'!$B$2,'Growth Scenarios'!$B$2:$D$2,0)+1)</f>
        <v>91.296745143570561</v>
      </c>
      <c r="F19" s="21">
        <f ca="1">'Electrification Scenario'!F25*(1-'Electrification Scenario'!F$8*('Electrification Scenario'!F25-'Electrification Scenario'!F$4)/('Electrification Scenario'!F$5-'Electrification Scenario'!F$4))*VLOOKUP(F$3,'Static Parameters'!$A$3:$B$9,2)*VLOOKUP($A19,'Growth Scenarios'!$E$3:$I$80,MATCH('Scenario Picker'!$B$3,'Growth Scenarios'!$F$2:$I$2,0)+1)/1000000000*VLOOKUP($A19,'Growth Scenarios'!$A$3:$D$80,MATCH('Scenario Picker'!$B$2,'Growth Scenarios'!$B$2:$D$2,0)+1)</f>
        <v>4.7266704693258861</v>
      </c>
      <c r="G19" s="21">
        <f ca="1">'Electrification Scenario'!G25*(1-'Electrification Scenario'!G$8*('Electrification Scenario'!G25-'Electrification Scenario'!G$4)/('Electrification Scenario'!G$5-'Electrification Scenario'!G$4))*VLOOKUP(G$3,'Static Parameters'!$A$3:$B$9,2)*VLOOKUP($A19,'Growth Scenarios'!$E$3:$I$80,MATCH('Scenario Picker'!$B$3,'Growth Scenarios'!$F$2:$I$2,0)+1)/1000000000*VLOOKUP($A19,'Growth Scenarios'!$A$3:$D$80,MATCH('Scenario Picker'!$B$2,'Growth Scenarios'!$B$2:$D$2,0)+1)</f>
        <v>60.536346164295722</v>
      </c>
      <c r="H19" s="21">
        <f ca="1">'Electrification Scenario'!H25*(1-'Electrification Scenario'!H$8*('Electrification Scenario'!H25-'Electrification Scenario'!H$4)/('Electrification Scenario'!H$5-'Electrification Scenario'!H$4))*VLOOKUP(H$3,'Static Parameters'!$A$3:$B$9,2)*VLOOKUP($A19,'Growth Scenarios'!$E$3:$I$80,MATCH('Scenario Picker'!$B$3,'Growth Scenarios'!$F$2:$I$2,0)+1)/1000000000*VLOOKUP($A19,'Growth Scenarios'!$A$3:$D$80,MATCH('Scenario Picker'!$B$2,'Growth Scenarios'!$B$2:$D$2,0)+1)</f>
        <v>41.516890130808143</v>
      </c>
      <c r="I19" s="28">
        <f t="shared" ca="1" si="0"/>
        <v>230.50342772792672</v>
      </c>
      <c r="J19" s="25">
        <f ca="1">(1-'Electrification Scenario'!B25)*VLOOKUP(B$3,'Static Parameters'!$A$3:$B$9,2)*VLOOKUP($A19,'Growth Scenarios'!$E$3:$I$80,MATCH('Scenario Picker'!$B$3,'Growth Scenarios'!$F$2:$I$2,0)+1)/1000000000*VLOOKUP($A19,'Growth Scenarios'!$A$3:$D$80,MATCH('Scenario Picker'!$B$2,'Growth Scenarios'!$B$2:$D$2,0)+1)</f>
        <v>5.7858881836355316</v>
      </c>
      <c r="K19" s="21">
        <f ca="1">(1-'Electrification Scenario'!C25)*VLOOKUP(C$3,'Static Parameters'!$A$3:$B$9,2)*VLOOKUP($A19,'Growth Scenarios'!$E$3:$I$80,MATCH('Scenario Picker'!$B$3,'Growth Scenarios'!$F$2:$I$2,0)+1)/1000000000*VLOOKUP($A19,'Growth Scenarios'!$A$3:$D$80,MATCH('Scenario Picker'!$B$2,'Growth Scenarios'!$B$2:$D$2,0)+1)</f>
        <v>8.6204731727365154</v>
      </c>
      <c r="L19" s="21">
        <f ca="1">(1-'Electrification Scenario'!D25)*VLOOKUP(D$3,'Static Parameters'!$A$3:$B$9,2)*VLOOKUP($A19,'Growth Scenarios'!$E$3:$I$80,MATCH('Scenario Picker'!$B$3,'Growth Scenarios'!$F$2:$I$2,0)+1)/1000000000*VLOOKUP($A19,'Growth Scenarios'!$A$3:$D$80,MATCH('Scenario Picker'!$B$2,'Growth Scenarios'!$B$2:$D$2,0)+1)</f>
        <v>0.28276374768727924</v>
      </c>
      <c r="M19" s="21">
        <f ca="1">(1-'Electrification Scenario'!E25)*VLOOKUP(E$3,'Static Parameters'!$A$3:$B$9,2)*VLOOKUP($A19,'Growth Scenarios'!$E$3:$I$80,MATCH('Scenario Picker'!$B$3,'Growth Scenarios'!$F$2:$I$2,0)+1)/1000000000*VLOOKUP($A19,'Growth Scenarios'!$A$3:$D$80,MATCH('Scenario Picker'!$B$2,'Growth Scenarios'!$B$2:$D$2,0)+1)</f>
        <v>49.869937525161163</v>
      </c>
      <c r="N19" s="21">
        <f ca="1">(1-'Electrification Scenario'!F25)*VLOOKUP(F$3,'Static Parameters'!$A$3:$B$9,2)*VLOOKUP($A19,'Growth Scenarios'!$E$3:$I$80,MATCH('Scenario Picker'!$B$3,'Growth Scenarios'!$F$2:$I$2,0)+1)/1000000000*VLOOKUP($A19,'Growth Scenarios'!$A$3:$D$80,MATCH('Scenario Picker'!$B$2,'Growth Scenarios'!$B$2:$D$2,0)+1)</f>
        <v>2.3798703137660322</v>
      </c>
      <c r="O19" s="21">
        <f ca="1">(1-'Electrification Scenario'!G25)*VLOOKUP(G$3,'Static Parameters'!$A$3:$B$9,2)*VLOOKUP($A19,'Growth Scenarios'!$E$3:$I$80,MATCH('Scenario Picker'!$B$3,'Growth Scenarios'!$F$2:$I$2,0)+1)/1000000000*VLOOKUP($A19,'Growth Scenarios'!$A$3:$D$80,MATCH('Scenario Picker'!$B$2,'Growth Scenarios'!$B$2:$D$2,0)+1)</f>
        <v>33.764909428996972</v>
      </c>
      <c r="P19" s="21">
        <f ca="1">(1-'Electrification Scenario'!H25)*VLOOKUP(H$3,'Static Parameters'!$A$3:$B$9,2)*VLOOKUP($A19,'Growth Scenarios'!$E$3:$I$80,MATCH('Scenario Picker'!$B$3,'Growth Scenarios'!$F$2:$I$2,0)+1)/1000000000*VLOOKUP($A19,'Growth Scenarios'!$A$3:$D$80,MATCH('Scenario Picker'!$B$2,'Growth Scenarios'!$B$2:$D$2,0)+1)</f>
        <v>82.276608313547243</v>
      </c>
      <c r="Q19" s="28">
        <f t="shared" ca="1" si="1"/>
        <v>182.98045068553074</v>
      </c>
      <c r="R19" s="28">
        <f t="shared" ca="1" si="2"/>
        <v>413.48387841345743</v>
      </c>
    </row>
    <row r="20" spans="1:18" ht="15" x14ac:dyDescent="0.35">
      <c r="A20" s="31">
        <v>2038</v>
      </c>
      <c r="B20" s="25">
        <f ca="1">'Electrification Scenario'!B26*(1-'Electrification Scenario'!B$8*('Electrification Scenario'!B26-'Electrification Scenario'!B$4)/('Electrification Scenario'!B$5-'Electrification Scenario'!B$4))*VLOOKUP(B$3,'Static Parameters'!$A$3:$B$9,2)*VLOOKUP($A20,'Growth Scenarios'!$E$3:$I$80,MATCH('Scenario Picker'!$B$3,'Growth Scenarios'!$F$2:$I$2,0)+1)/1000000000*VLOOKUP($A20,'Growth Scenarios'!$A$3:$D$80,MATCH('Scenario Picker'!$B$2,'Growth Scenarios'!$B$2:$D$2,0)+1)</f>
        <v>4.6298596746249396</v>
      </c>
      <c r="C20" s="21">
        <f ca="1">'Electrification Scenario'!C26*(1-'Electrification Scenario'!C$8*('Electrification Scenario'!C26-'Electrification Scenario'!C$4)/('Electrification Scenario'!C$5-'Electrification Scenario'!C$4))*VLOOKUP(C$3,'Static Parameters'!$A$3:$B$9,2)*VLOOKUP($A20,'Growth Scenarios'!$E$3:$I$80,MATCH('Scenario Picker'!$B$3,'Growth Scenarios'!$F$2:$I$2,0)+1)/1000000000*VLOOKUP($A20,'Growth Scenarios'!$A$3:$D$80,MATCH('Scenario Picker'!$B$2,'Growth Scenarios'!$B$2:$D$2,0)+1)</f>
        <v>28.494218298329642</v>
      </c>
      <c r="D20" s="21">
        <f ca="1">'Electrification Scenario'!D26*(1-'Electrification Scenario'!D$8*('Electrification Scenario'!D26-'Electrification Scenario'!D$4)/('Electrification Scenario'!D$5-'Electrification Scenario'!D$4))*VLOOKUP(D$3,'Static Parameters'!$A$3:$B$9,2)*VLOOKUP($A20,'Growth Scenarios'!$E$3:$I$80,MATCH('Scenario Picker'!$B$3,'Growth Scenarios'!$F$2:$I$2,0)+1)/1000000000*VLOOKUP($A20,'Growth Scenarios'!$A$3:$D$80,MATCH('Scenario Picker'!$B$2,'Growth Scenarios'!$B$2:$D$2,0)+1)</f>
        <v>0.15871228605264787</v>
      </c>
      <c r="E20" s="21">
        <f ca="1">'Electrification Scenario'!E26*(1-'Electrification Scenario'!E$8*('Electrification Scenario'!E26-'Electrification Scenario'!E$4)/('Electrification Scenario'!E$5-'Electrification Scenario'!E$4))*VLOOKUP(E$3,'Static Parameters'!$A$3:$B$9,2)*VLOOKUP($A20,'Growth Scenarios'!$E$3:$I$80,MATCH('Scenario Picker'!$B$3,'Growth Scenarios'!$F$2:$I$2,0)+1)/1000000000*VLOOKUP($A20,'Growth Scenarios'!$A$3:$D$80,MATCH('Scenario Picker'!$B$2,'Growth Scenarios'!$B$2:$D$2,0)+1)</f>
        <v>95.29001712745476</v>
      </c>
      <c r="F20" s="21">
        <f ca="1">'Electrification Scenario'!F26*(1-'Electrification Scenario'!F$8*('Electrification Scenario'!F26-'Electrification Scenario'!F$4)/('Electrification Scenario'!F$5-'Electrification Scenario'!F$4))*VLOOKUP(F$3,'Static Parameters'!$A$3:$B$9,2)*VLOOKUP($A20,'Growth Scenarios'!$E$3:$I$80,MATCH('Scenario Picker'!$B$3,'Growth Scenarios'!$F$2:$I$2,0)+1)/1000000000*VLOOKUP($A20,'Growth Scenarios'!$A$3:$D$80,MATCH('Scenario Picker'!$B$2,'Growth Scenarios'!$B$2:$D$2,0)+1)</f>
        <v>4.7752034429493539</v>
      </c>
      <c r="G20" s="21">
        <f ca="1">'Electrification Scenario'!G26*(1-'Electrification Scenario'!G$8*('Electrification Scenario'!G26-'Electrification Scenario'!G$4)/('Electrification Scenario'!G$5-'Electrification Scenario'!G$4))*VLOOKUP(G$3,'Static Parameters'!$A$3:$B$9,2)*VLOOKUP($A20,'Growth Scenarios'!$E$3:$I$80,MATCH('Scenario Picker'!$B$3,'Growth Scenarios'!$F$2:$I$2,0)+1)/1000000000*VLOOKUP($A20,'Growth Scenarios'!$A$3:$D$80,MATCH('Scenario Picker'!$B$2,'Growth Scenarios'!$B$2:$D$2,0)+1)</f>
        <v>63.236197812161755</v>
      </c>
      <c r="H20" s="21">
        <f ca="1">'Electrification Scenario'!H26*(1-'Electrification Scenario'!H$8*('Electrification Scenario'!H26-'Electrification Scenario'!H$4)/('Electrification Scenario'!H$5-'Electrification Scenario'!H$4))*VLOOKUP(H$3,'Static Parameters'!$A$3:$B$9,2)*VLOOKUP($A20,'Growth Scenarios'!$E$3:$I$80,MATCH('Scenario Picker'!$B$3,'Growth Scenarios'!$F$2:$I$2,0)+1)/1000000000*VLOOKUP($A20,'Growth Scenarios'!$A$3:$D$80,MATCH('Scenario Picker'!$B$2,'Growth Scenarios'!$B$2:$D$2,0)+1)</f>
        <v>43.747953853178636</v>
      </c>
      <c r="I20" s="28">
        <f t="shared" ca="1" si="0"/>
        <v>240.33216249475174</v>
      </c>
      <c r="J20" s="25">
        <f ca="1">(1-'Electrification Scenario'!B26)*VLOOKUP(B$3,'Static Parameters'!$A$3:$B$9,2)*VLOOKUP($A20,'Growth Scenarios'!$E$3:$I$80,MATCH('Scenario Picker'!$B$3,'Growth Scenarios'!$F$2:$I$2,0)+1)/1000000000*VLOOKUP($A20,'Growth Scenarios'!$A$3:$D$80,MATCH('Scenario Picker'!$B$2,'Growth Scenarios'!$B$2:$D$2,0)+1)</f>
        <v>5.7314039079002796</v>
      </c>
      <c r="K20" s="21">
        <f ca="1">(1-'Electrification Scenario'!C26)*VLOOKUP(C$3,'Static Parameters'!$A$3:$B$9,2)*VLOOKUP($A20,'Growth Scenarios'!$E$3:$I$80,MATCH('Scenario Picker'!$B$3,'Growth Scenarios'!$F$2:$I$2,0)+1)/1000000000*VLOOKUP($A20,'Growth Scenarios'!$A$3:$D$80,MATCH('Scenario Picker'!$B$2,'Growth Scenarios'!$B$2:$D$2,0)+1)</f>
        <v>7.9947250488665436</v>
      </c>
      <c r="L20" s="21">
        <f ca="1">(1-'Electrification Scenario'!D26)*VLOOKUP(D$3,'Static Parameters'!$A$3:$B$9,2)*VLOOKUP($A20,'Growth Scenarios'!$E$3:$I$80,MATCH('Scenario Picker'!$B$3,'Growth Scenarios'!$F$2:$I$2,0)+1)/1000000000*VLOOKUP($A20,'Growth Scenarios'!$A$3:$D$80,MATCH('Scenario Picker'!$B$2,'Growth Scenarios'!$B$2:$D$2,0)+1)</f>
        <v>0.27746770819764965</v>
      </c>
      <c r="M20" s="21">
        <f ca="1">(1-'Electrification Scenario'!E26)*VLOOKUP(E$3,'Static Parameters'!$A$3:$B$9,2)*VLOOKUP($A20,'Growth Scenarios'!$E$3:$I$80,MATCH('Scenario Picker'!$B$3,'Growth Scenarios'!$F$2:$I$2,0)+1)/1000000000*VLOOKUP($A20,'Growth Scenarios'!$A$3:$D$80,MATCH('Scenario Picker'!$B$2,'Growth Scenarios'!$B$2:$D$2,0)+1)</f>
        <v>46.249948318237379</v>
      </c>
      <c r="N20" s="21">
        <f ca="1">(1-'Electrification Scenario'!F26)*VLOOKUP(F$3,'Static Parameters'!$A$3:$B$9,2)*VLOOKUP($A20,'Growth Scenarios'!$E$3:$I$80,MATCH('Scenario Picker'!$B$3,'Growth Scenarios'!$F$2:$I$2,0)+1)/1000000000*VLOOKUP($A20,'Growth Scenarios'!$A$3:$D$80,MATCH('Scenario Picker'!$B$2,'Growth Scenarios'!$B$2:$D$2,0)+1)</f>
        <v>2.3689310792986165</v>
      </c>
      <c r="O20" s="21">
        <f ca="1">(1-'Electrification Scenario'!G26)*VLOOKUP(G$3,'Static Parameters'!$A$3:$B$9,2)*VLOOKUP($A20,'Growth Scenarios'!$E$3:$I$80,MATCH('Scenario Picker'!$B$3,'Growth Scenarios'!$F$2:$I$2,0)+1)/1000000000*VLOOKUP($A20,'Growth Scenarios'!$A$3:$D$80,MATCH('Scenario Picker'!$B$2,'Growth Scenarios'!$B$2:$D$2,0)+1)</f>
        <v>31.313961748461793</v>
      </c>
      <c r="P20" s="21">
        <f ca="1">(1-'Electrification Scenario'!H26)*VLOOKUP(H$3,'Static Parameters'!$A$3:$B$9,2)*VLOOKUP($A20,'Growth Scenarios'!$E$3:$I$80,MATCH('Scenario Picker'!$B$3,'Growth Scenarios'!$F$2:$I$2,0)+1)/1000000000*VLOOKUP($A20,'Growth Scenarios'!$A$3:$D$80,MATCH('Scenario Picker'!$B$2,'Growth Scenarios'!$B$2:$D$2,0)+1)</f>
        <v>79.235920987218861</v>
      </c>
      <c r="Q20" s="28">
        <f t="shared" ca="1" si="1"/>
        <v>173.17235879818111</v>
      </c>
      <c r="R20" s="28">
        <f t="shared" ca="1" si="2"/>
        <v>413.50452129293285</v>
      </c>
    </row>
    <row r="21" spans="1:18" ht="15" x14ac:dyDescent="0.35">
      <c r="A21" s="31">
        <v>2039</v>
      </c>
      <c r="B21" s="25">
        <f ca="1">'Electrification Scenario'!B27*(1-'Electrification Scenario'!B$8*('Electrification Scenario'!B27-'Electrification Scenario'!B$4)/('Electrification Scenario'!B$5-'Electrification Scenario'!B$4))*VLOOKUP(B$3,'Static Parameters'!$A$3:$B$9,2)*VLOOKUP($A21,'Growth Scenarios'!$E$3:$I$80,MATCH('Scenario Picker'!$B$3,'Growth Scenarios'!$F$2:$I$2,0)+1)/1000000000*VLOOKUP($A21,'Growth Scenarios'!$A$3:$D$80,MATCH('Scenario Picker'!$B$2,'Growth Scenarios'!$B$2:$D$2,0)+1)</f>
        <v>4.7524035829561004</v>
      </c>
      <c r="C21" s="21">
        <f ca="1">'Electrification Scenario'!C27*(1-'Electrification Scenario'!C$8*('Electrification Scenario'!C27-'Electrification Scenario'!C$4)/('Electrification Scenario'!C$5-'Electrification Scenario'!C$4))*VLOOKUP(C$3,'Static Parameters'!$A$3:$B$9,2)*VLOOKUP($A21,'Growth Scenarios'!$E$3:$I$80,MATCH('Scenario Picker'!$B$3,'Growth Scenarios'!$F$2:$I$2,0)+1)/1000000000*VLOOKUP($A21,'Growth Scenarios'!$A$3:$D$80,MATCH('Scenario Picker'!$B$2,'Growth Scenarios'!$B$2:$D$2,0)+1)</f>
        <v>29.225411010147351</v>
      </c>
      <c r="D21" s="21">
        <f ca="1">'Electrification Scenario'!D27*(1-'Electrification Scenario'!D$8*('Electrification Scenario'!D27-'Electrification Scenario'!D$4)/('Electrification Scenario'!D$5-'Electrification Scenario'!D$4))*VLOOKUP(D$3,'Static Parameters'!$A$3:$B$9,2)*VLOOKUP($A21,'Growth Scenarios'!$E$3:$I$80,MATCH('Scenario Picker'!$B$3,'Growth Scenarios'!$F$2:$I$2,0)+1)/1000000000*VLOOKUP($A21,'Growth Scenarios'!$A$3:$D$80,MATCH('Scenario Picker'!$B$2,'Growth Scenarios'!$B$2:$D$2,0)+1)</f>
        <v>0.16683306541217277</v>
      </c>
      <c r="E21" s="21">
        <f ca="1">'Electrification Scenario'!E27*(1-'Electrification Scenario'!E$8*('Electrification Scenario'!E27-'Electrification Scenario'!E$4)/('Electrification Scenario'!E$5-'Electrification Scenario'!E$4))*VLOOKUP(E$3,'Static Parameters'!$A$3:$B$9,2)*VLOOKUP($A21,'Growth Scenarios'!$E$3:$I$80,MATCH('Scenario Picker'!$B$3,'Growth Scenarios'!$F$2:$I$2,0)+1)/1000000000*VLOOKUP($A21,'Growth Scenarios'!$A$3:$D$80,MATCH('Scenario Picker'!$B$2,'Growth Scenarios'!$B$2:$D$2,0)+1)</f>
        <v>99.309331171004885</v>
      </c>
      <c r="F21" s="21">
        <f ca="1">'Electrification Scenario'!F27*(1-'Electrification Scenario'!F$8*('Electrification Scenario'!F27-'Electrification Scenario'!F$4)/('Electrification Scenario'!F$5-'Electrification Scenario'!F$4))*VLOOKUP(F$3,'Static Parameters'!$A$3:$B$9,2)*VLOOKUP($A21,'Growth Scenarios'!$E$3:$I$80,MATCH('Scenario Picker'!$B$3,'Growth Scenarios'!$F$2:$I$2,0)+1)/1000000000*VLOOKUP($A21,'Growth Scenarios'!$A$3:$D$80,MATCH('Scenario Picker'!$B$2,'Growth Scenarios'!$B$2:$D$2,0)+1)</f>
        <v>4.8241262092080621</v>
      </c>
      <c r="G21" s="21">
        <f ca="1">'Electrification Scenario'!G27*(1-'Electrification Scenario'!G$8*('Electrification Scenario'!G27-'Electrification Scenario'!G$4)/('Electrification Scenario'!G$5-'Electrification Scenario'!G$4))*VLOOKUP(G$3,'Static Parameters'!$A$3:$B$9,2)*VLOOKUP($A21,'Growth Scenarios'!$E$3:$I$80,MATCH('Scenario Picker'!$B$3,'Growth Scenarios'!$F$2:$I$2,0)+1)/1000000000*VLOOKUP($A21,'Growth Scenarios'!$A$3:$D$80,MATCH('Scenario Picker'!$B$2,'Growth Scenarios'!$B$2:$D$2,0)+1)</f>
        <v>65.953632401260847</v>
      </c>
      <c r="H21" s="21">
        <f ca="1">'Electrification Scenario'!H27*(1-'Electrification Scenario'!H$8*('Electrification Scenario'!H27-'Electrification Scenario'!H$4)/('Electrification Scenario'!H$5-'Electrification Scenario'!H$4))*VLOOKUP(H$3,'Static Parameters'!$A$3:$B$9,2)*VLOOKUP($A21,'Growth Scenarios'!$E$3:$I$80,MATCH('Scenario Picker'!$B$3,'Growth Scenarios'!$F$2:$I$2,0)+1)/1000000000*VLOOKUP($A21,'Growth Scenarios'!$A$3:$D$80,MATCH('Scenario Picker'!$B$2,'Growth Scenarios'!$B$2:$D$2,0)+1)</f>
        <v>45.874579550768729</v>
      </c>
      <c r="I21" s="28">
        <f t="shared" ca="1" si="0"/>
        <v>250.10631699075816</v>
      </c>
      <c r="J21" s="25">
        <f ca="1">(1-'Electrification Scenario'!B27)*VLOOKUP(B$3,'Static Parameters'!$A$3:$B$9,2)*VLOOKUP($A21,'Growth Scenarios'!$E$3:$I$80,MATCH('Scenario Picker'!$B$3,'Growth Scenarios'!$F$2:$I$2,0)+1)/1000000000*VLOOKUP($A21,'Growth Scenarios'!$A$3:$D$80,MATCH('Scenario Picker'!$B$2,'Growth Scenarios'!$B$2:$D$2,0)+1)</f>
        <v>5.6754425990683082</v>
      </c>
      <c r="K21" s="21">
        <f ca="1">(1-'Electrification Scenario'!C27)*VLOOKUP(C$3,'Static Parameters'!$A$3:$B$9,2)*VLOOKUP($A21,'Growth Scenarios'!$E$3:$I$80,MATCH('Scenario Picker'!$B$3,'Growth Scenarios'!$F$2:$I$2,0)+1)/1000000000*VLOOKUP($A21,'Growth Scenarios'!$A$3:$D$80,MATCH('Scenario Picker'!$B$2,'Growth Scenarios'!$B$2:$D$2,0)+1)</f>
        <v>7.3538942950333732</v>
      </c>
      <c r="L21" s="21">
        <f ca="1">(1-'Electrification Scenario'!D27)*VLOOKUP(D$3,'Static Parameters'!$A$3:$B$9,2)*VLOOKUP($A21,'Growth Scenarios'!$E$3:$I$80,MATCH('Scenario Picker'!$B$3,'Growth Scenarios'!$F$2:$I$2,0)+1)/1000000000*VLOOKUP($A21,'Growth Scenarios'!$A$3:$D$80,MATCH('Scenario Picker'!$B$2,'Growth Scenarios'!$B$2:$D$2,0)+1)</f>
        <v>0.27203719224857487</v>
      </c>
      <c r="M21" s="21">
        <f ca="1">(1-'Electrification Scenario'!E27)*VLOOKUP(E$3,'Static Parameters'!$A$3:$B$9,2)*VLOOKUP($A21,'Growth Scenarios'!$E$3:$I$80,MATCH('Scenario Picker'!$B$3,'Growth Scenarios'!$F$2:$I$2,0)+1)/1000000000*VLOOKUP($A21,'Growth Scenarios'!$A$3:$D$80,MATCH('Scenario Picker'!$B$2,'Growth Scenarios'!$B$2:$D$2,0)+1)</f>
        <v>42.542705221775506</v>
      </c>
      <c r="N21" s="21">
        <f ca="1">(1-'Electrification Scenario'!F27)*VLOOKUP(F$3,'Static Parameters'!$A$3:$B$9,2)*VLOOKUP($A21,'Growth Scenarios'!$E$3:$I$80,MATCH('Scenario Picker'!$B$3,'Growth Scenarios'!$F$2:$I$2,0)+1)/1000000000*VLOOKUP($A21,'Growth Scenarios'!$A$3:$D$80,MATCH('Scenario Picker'!$B$2,'Growth Scenarios'!$B$2:$D$2,0)+1)</f>
        <v>2.3576556661543169</v>
      </c>
      <c r="O21" s="21">
        <f ca="1">(1-'Electrification Scenario'!G27)*VLOOKUP(G$3,'Static Parameters'!$A$3:$B$9,2)*VLOOKUP($A21,'Growth Scenarios'!$E$3:$I$80,MATCH('Scenario Picker'!$B$3,'Growth Scenarios'!$F$2:$I$2,0)+1)/1000000000*VLOOKUP($A21,'Growth Scenarios'!$A$3:$D$80,MATCH('Scenario Picker'!$B$2,'Growth Scenarios'!$B$2:$D$2,0)+1)</f>
        <v>28.803938002790275</v>
      </c>
      <c r="P21" s="21">
        <f ca="1">(1-'Electrification Scenario'!H27)*VLOOKUP(H$3,'Static Parameters'!$A$3:$B$9,2)*VLOOKUP($A21,'Growth Scenarios'!$E$3:$I$80,MATCH('Scenario Picker'!$B$3,'Growth Scenarios'!$F$2:$I$2,0)+1)/1000000000*VLOOKUP($A21,'Growth Scenarios'!$A$3:$D$80,MATCH('Scenario Picker'!$B$2,'Growth Scenarios'!$B$2:$D$2,0)+1)</f>
        <v>76.120629245398604</v>
      </c>
      <c r="Q21" s="28">
        <f t="shared" ca="1" si="1"/>
        <v>163.12630222246895</v>
      </c>
      <c r="R21" s="28">
        <f t="shared" ca="1" si="2"/>
        <v>413.23261921322711</v>
      </c>
    </row>
    <row r="22" spans="1:18" ht="15" x14ac:dyDescent="0.35">
      <c r="A22" s="31">
        <v>2040</v>
      </c>
      <c r="B22" s="25">
        <f ca="1">'Electrification Scenario'!B28*(1-'Electrification Scenario'!B$8*('Electrification Scenario'!B28-'Electrification Scenario'!B$4)/('Electrification Scenario'!B$5-'Electrification Scenario'!B$4))*VLOOKUP(B$3,'Static Parameters'!$A$3:$B$9,2)*VLOOKUP($A22,'Growth Scenarios'!$E$3:$I$80,MATCH('Scenario Picker'!$B$3,'Growth Scenarios'!$F$2:$I$2,0)+1)/1000000000*VLOOKUP($A22,'Growth Scenarios'!$A$3:$D$80,MATCH('Scenario Picker'!$B$2,'Growth Scenarios'!$B$2:$D$2,0)+1)</f>
        <v>4.8757474561122569</v>
      </c>
      <c r="C22" s="21">
        <f ca="1">'Electrification Scenario'!C28*(1-'Electrification Scenario'!C$8*('Electrification Scenario'!C28-'Electrification Scenario'!C$4)/('Electrification Scenario'!C$5-'Electrification Scenario'!C$4))*VLOOKUP(C$3,'Static Parameters'!$A$3:$B$9,2)*VLOOKUP($A22,'Growth Scenarios'!$E$3:$I$80,MATCH('Scenario Picker'!$B$3,'Growth Scenarios'!$F$2:$I$2,0)+1)/1000000000*VLOOKUP($A22,'Growth Scenarios'!$A$3:$D$80,MATCH('Scenario Picker'!$B$2,'Growth Scenarios'!$B$2:$D$2,0)+1)</f>
        <v>29.961386792794517</v>
      </c>
      <c r="D22" s="21">
        <f ca="1">'Electrification Scenario'!D28*(1-'Electrification Scenario'!D$8*('Electrification Scenario'!D28-'Electrification Scenario'!D$4)/('Electrification Scenario'!D$5-'Electrification Scenario'!D$4))*VLOOKUP(D$3,'Static Parameters'!$A$3:$B$9,2)*VLOOKUP($A22,'Growth Scenarios'!$E$3:$I$80,MATCH('Scenario Picker'!$B$3,'Growth Scenarios'!$F$2:$I$2,0)+1)/1000000000*VLOOKUP($A22,'Growth Scenarios'!$A$3:$D$80,MATCH('Scenario Picker'!$B$2,'Growth Scenarios'!$B$2:$D$2,0)+1)</f>
        <v>0.17500517716800154</v>
      </c>
      <c r="E22" s="21">
        <f ca="1">'Electrification Scenario'!E28*(1-'Electrification Scenario'!E$8*('Electrification Scenario'!E28-'Electrification Scenario'!E$4)/('Electrification Scenario'!E$5-'Electrification Scenario'!E$4))*VLOOKUP(E$3,'Static Parameters'!$A$3:$B$9,2)*VLOOKUP($A22,'Growth Scenarios'!$E$3:$I$80,MATCH('Scenario Picker'!$B$3,'Growth Scenarios'!$F$2:$I$2,0)+1)/1000000000*VLOOKUP($A22,'Growth Scenarios'!$A$3:$D$80,MATCH('Scenario Picker'!$B$2,'Growth Scenarios'!$B$2:$D$2,0)+1)</f>
        <v>103.35424161547276</v>
      </c>
      <c r="F22" s="21">
        <f ca="1">'Electrification Scenario'!F28*(1-'Electrification Scenario'!F$8*('Electrification Scenario'!F28-'Electrification Scenario'!F$4)/('Electrification Scenario'!F$5-'Electrification Scenario'!F$4))*VLOOKUP(F$3,'Static Parameters'!$A$3:$B$9,2)*VLOOKUP($A22,'Growth Scenarios'!$E$3:$I$80,MATCH('Scenario Picker'!$B$3,'Growth Scenarios'!$F$2:$I$2,0)+1)/1000000000*VLOOKUP($A22,'Growth Scenarios'!$A$3:$D$80,MATCH('Scenario Picker'!$B$2,'Growth Scenarios'!$B$2:$D$2,0)+1)</f>
        <v>4.8734015422092014</v>
      </c>
      <c r="G22" s="21">
        <f ca="1">'Electrification Scenario'!G28*(1-'Electrification Scenario'!G$8*('Electrification Scenario'!G28-'Electrification Scenario'!G$4)/('Electrification Scenario'!G$5-'Electrification Scenario'!G$4))*VLOOKUP(G$3,'Static Parameters'!$A$3:$B$9,2)*VLOOKUP($A22,'Growth Scenarios'!$E$3:$I$80,MATCH('Scenario Picker'!$B$3,'Growth Scenarios'!$F$2:$I$2,0)+1)/1000000000*VLOOKUP($A22,'Growth Scenarios'!$A$3:$D$80,MATCH('Scenario Picker'!$B$2,'Growth Scenarios'!$B$2:$D$2,0)+1)</f>
        <v>68.688359081489097</v>
      </c>
      <c r="H22" s="21">
        <f ca="1">'Electrification Scenario'!H28*(1-'Electrification Scenario'!H$8*('Electrification Scenario'!H28-'Electrification Scenario'!H$4)/('Electrification Scenario'!H$5-'Electrification Scenario'!H$4))*VLOOKUP(H$3,'Static Parameters'!$A$3:$B$9,2)*VLOOKUP($A22,'Growth Scenarios'!$E$3:$I$80,MATCH('Scenario Picker'!$B$3,'Growth Scenarios'!$F$2:$I$2,0)+1)/1000000000*VLOOKUP($A22,'Growth Scenarios'!$A$3:$D$80,MATCH('Scenario Picker'!$B$2,'Growth Scenarios'!$B$2:$D$2,0)+1)</f>
        <v>47.892351338395478</v>
      </c>
      <c r="I22" s="28">
        <f t="shared" ca="1" si="0"/>
        <v>259.82049300364127</v>
      </c>
      <c r="J22" s="25">
        <f ca="1">(1-'Electrification Scenario'!B28)*VLOOKUP(B$3,'Static Parameters'!$A$3:$B$9,2)*VLOOKUP($A22,'Growth Scenarios'!$E$3:$I$80,MATCH('Scenario Picker'!$B$3,'Growth Scenarios'!$F$2:$I$2,0)+1)/1000000000*VLOOKUP($A22,'Growth Scenarios'!$A$3:$D$80,MATCH('Scenario Picker'!$B$2,'Growth Scenarios'!$B$2:$D$2,0)+1)</f>
        <v>5.61790326971916</v>
      </c>
      <c r="K22" s="21">
        <f ca="1">(1-'Electrification Scenario'!C28)*VLOOKUP(C$3,'Static Parameters'!$A$3:$B$9,2)*VLOOKUP($A22,'Growth Scenarios'!$E$3:$I$80,MATCH('Scenario Picker'!$B$3,'Growth Scenarios'!$F$2:$I$2,0)+1)/1000000000*VLOOKUP($A22,'Growth Scenarios'!$A$3:$D$80,MATCH('Scenario Picker'!$B$2,'Growth Scenarios'!$B$2:$D$2,0)+1)</f>
        <v>6.6974388711256072</v>
      </c>
      <c r="L22" s="21">
        <f ca="1">(1-'Electrification Scenario'!D28)*VLOOKUP(D$3,'Static Parameters'!$A$3:$B$9,2)*VLOOKUP($A22,'Growth Scenarios'!$E$3:$I$80,MATCH('Scenario Picker'!$B$3,'Growth Scenarios'!$F$2:$I$2,0)+1)/1000000000*VLOOKUP($A22,'Growth Scenarios'!$A$3:$D$80,MATCH('Scenario Picker'!$B$2,'Growth Scenarios'!$B$2:$D$2,0)+1)</f>
        <v>0.26646537094715844</v>
      </c>
      <c r="M22" s="21">
        <f ca="1">(1-'Electrification Scenario'!E28)*VLOOKUP(E$3,'Static Parameters'!$A$3:$B$9,2)*VLOOKUP($A22,'Growth Scenarios'!$E$3:$I$80,MATCH('Scenario Picker'!$B$3,'Growth Scenarios'!$F$2:$I$2,0)+1)/1000000000*VLOOKUP($A22,'Growth Scenarios'!$A$3:$D$80,MATCH('Scenario Picker'!$B$2,'Growth Scenarios'!$B$2:$D$2,0)+1)</f>
        <v>38.745072502278141</v>
      </c>
      <c r="N22" s="21">
        <f ca="1">(1-'Electrification Scenario'!F28)*VLOOKUP(F$3,'Static Parameters'!$A$3:$B$9,2)*VLOOKUP($A22,'Growth Scenarios'!$E$3:$I$80,MATCH('Scenario Picker'!$B$3,'Growth Scenarios'!$F$2:$I$2,0)+1)/1000000000*VLOOKUP($A22,'Growth Scenarios'!$A$3:$D$80,MATCH('Scenario Picker'!$B$2,'Growth Scenarios'!$B$2:$D$2,0)+1)</f>
        <v>2.3460107844564475</v>
      </c>
      <c r="O22" s="21">
        <f ca="1">(1-'Electrification Scenario'!G28)*VLOOKUP(G$3,'Static Parameters'!$A$3:$B$9,2)*VLOOKUP($A22,'Growth Scenarios'!$E$3:$I$80,MATCH('Scenario Picker'!$B$3,'Growth Scenarios'!$F$2:$I$2,0)+1)/1000000000*VLOOKUP($A22,'Growth Scenarios'!$A$3:$D$80,MATCH('Scenario Picker'!$B$2,'Growth Scenarios'!$B$2:$D$2,0)+1)</f>
        <v>26.232715114176695</v>
      </c>
      <c r="P22" s="21">
        <f ca="1">(1-'Electrification Scenario'!H28)*VLOOKUP(H$3,'Static Parameters'!$A$3:$B$9,2)*VLOOKUP($A22,'Growth Scenarios'!$E$3:$I$80,MATCH('Scenario Picker'!$B$3,'Growth Scenarios'!$F$2:$I$2,0)+1)/1000000000*VLOOKUP($A22,'Growth Scenarios'!$A$3:$D$80,MATCH('Scenario Picker'!$B$2,'Growth Scenarios'!$B$2:$D$2,0)+1)</f>
        <v>72.927667707812176</v>
      </c>
      <c r="Q22" s="28">
        <f t="shared" ca="1" si="1"/>
        <v>152.8332736205154</v>
      </c>
      <c r="R22" s="28">
        <f t="shared" ca="1" si="2"/>
        <v>412.65376662415667</v>
      </c>
    </row>
    <row r="23" spans="1:18" ht="15" x14ac:dyDescent="0.35">
      <c r="A23" s="31">
        <v>2041</v>
      </c>
      <c r="B23" s="25">
        <f ca="1">'Electrification Scenario'!B29*(1-'Electrification Scenario'!B$8*('Electrification Scenario'!B29-'Electrification Scenario'!B$4)/('Electrification Scenario'!B$5-'Electrification Scenario'!B$4))*VLOOKUP(B$3,'Static Parameters'!$A$3:$B$9,2)*VLOOKUP($A23,'Growth Scenarios'!$E$3:$I$80,MATCH('Scenario Picker'!$B$3,'Growth Scenarios'!$F$2:$I$2,0)+1)/1000000000*VLOOKUP($A23,'Growth Scenarios'!$A$3:$D$80,MATCH('Scenario Picker'!$B$2,'Growth Scenarios'!$B$2:$D$2,0)+1)</f>
        <v>4.9998976206019066</v>
      </c>
      <c r="C23" s="21">
        <f ca="1">'Electrification Scenario'!C29*(1-'Electrification Scenario'!C$8*('Electrification Scenario'!C29-'Electrification Scenario'!C$4)/('Electrification Scenario'!C$5-'Electrification Scenario'!C$4))*VLOOKUP(C$3,'Static Parameters'!$A$3:$B$9,2)*VLOOKUP($A23,'Growth Scenarios'!$E$3:$I$80,MATCH('Scenario Picker'!$B$3,'Growth Scenarios'!$F$2:$I$2,0)+1)/1000000000*VLOOKUP($A23,'Growth Scenarios'!$A$3:$D$80,MATCH('Scenario Picker'!$B$2,'Growth Scenarios'!$B$2:$D$2,0)+1)</f>
        <v>30.702182577912911</v>
      </c>
      <c r="D23" s="21">
        <f ca="1">'Electrification Scenario'!D29*(1-'Electrification Scenario'!D$8*('Electrification Scenario'!D29-'Electrification Scenario'!D$4)/('Electrification Scenario'!D$5-'Electrification Scenario'!D$4))*VLOOKUP(D$3,'Static Parameters'!$A$3:$B$9,2)*VLOOKUP($A23,'Growth Scenarios'!$E$3:$I$80,MATCH('Scenario Picker'!$B$3,'Growth Scenarios'!$F$2:$I$2,0)+1)/1000000000*VLOOKUP($A23,'Growth Scenarios'!$A$3:$D$80,MATCH('Scenario Picker'!$B$2,'Growth Scenarios'!$B$2:$D$2,0)+1)</f>
        <v>0.1832291798714554</v>
      </c>
      <c r="E23" s="21">
        <f ca="1">'Electrification Scenario'!E29*(1-'Electrification Scenario'!E$8*('Electrification Scenario'!E29-'Electrification Scenario'!E$4)/('Electrification Scenario'!E$5-'Electrification Scenario'!E$4))*VLOOKUP(E$3,'Static Parameters'!$A$3:$B$9,2)*VLOOKUP($A23,'Growth Scenarios'!$E$3:$I$80,MATCH('Scenario Picker'!$B$3,'Growth Scenarios'!$F$2:$I$2,0)+1)/1000000000*VLOOKUP($A23,'Growth Scenarios'!$A$3:$D$80,MATCH('Scenario Picker'!$B$2,'Growth Scenarios'!$B$2:$D$2,0)+1)</f>
        <v>107.42500916874549</v>
      </c>
      <c r="F23" s="21">
        <f ca="1">'Electrification Scenario'!F29*(1-'Electrification Scenario'!F$8*('Electrification Scenario'!F29-'Electrification Scenario'!F$4)/('Electrification Scenario'!F$5-'Electrification Scenario'!F$4))*VLOOKUP(F$3,'Static Parameters'!$A$3:$B$9,2)*VLOOKUP($A23,'Growth Scenarios'!$E$3:$I$80,MATCH('Scenario Picker'!$B$3,'Growth Scenarios'!$F$2:$I$2,0)+1)/1000000000*VLOOKUP($A23,'Growth Scenarios'!$A$3:$D$80,MATCH('Scenario Picker'!$B$2,'Growth Scenarios'!$B$2:$D$2,0)+1)</f>
        <v>4.9230292146626828</v>
      </c>
      <c r="G23" s="21">
        <f ca="1">'Electrification Scenario'!G29*(1-'Electrification Scenario'!G$8*('Electrification Scenario'!G29-'Electrification Scenario'!G$4)/('Electrification Scenario'!G$5-'Electrification Scenario'!G$4))*VLOOKUP(G$3,'Static Parameters'!$A$3:$B$9,2)*VLOOKUP($A23,'Growth Scenarios'!$E$3:$I$80,MATCH('Scenario Picker'!$B$3,'Growth Scenarios'!$F$2:$I$2,0)+1)/1000000000*VLOOKUP($A23,'Growth Scenarios'!$A$3:$D$80,MATCH('Scenario Picker'!$B$2,'Growth Scenarios'!$B$2:$D$2,0)+1)</f>
        <v>71.440555234127388</v>
      </c>
      <c r="H23" s="21">
        <f ca="1">'Electrification Scenario'!H29*(1-'Electrification Scenario'!H$8*('Electrification Scenario'!H29-'Electrification Scenario'!H$4)/('Electrification Scenario'!H$5-'Electrification Scenario'!H$4))*VLOOKUP(H$3,'Static Parameters'!$A$3:$B$9,2)*VLOOKUP($A23,'Growth Scenarios'!$E$3:$I$80,MATCH('Scenario Picker'!$B$3,'Growth Scenarios'!$F$2:$I$2,0)+1)/1000000000*VLOOKUP($A23,'Growth Scenarios'!$A$3:$D$80,MATCH('Scenario Picker'!$B$2,'Growth Scenarios'!$B$2:$D$2,0)+1)</f>
        <v>49.797000547556316</v>
      </c>
      <c r="I23" s="28">
        <f t="shared" ca="1" si="0"/>
        <v>269.47090354347813</v>
      </c>
      <c r="J23" s="25">
        <f ca="1">(1-'Electrification Scenario'!B29)*VLOOKUP(B$3,'Static Parameters'!$A$3:$B$9,2)*VLOOKUP($A23,'Growth Scenarios'!$E$3:$I$80,MATCH('Scenario Picker'!$B$3,'Growth Scenarios'!$F$2:$I$2,0)+1)/1000000000*VLOOKUP($A23,'Growth Scenarios'!$A$3:$D$80,MATCH('Scenario Picker'!$B$2,'Growth Scenarios'!$B$2:$D$2,0)+1)</f>
        <v>5.5587286907186648</v>
      </c>
      <c r="K23" s="21">
        <f ca="1">(1-'Electrification Scenario'!C29)*VLOOKUP(C$3,'Static Parameters'!$A$3:$B$9,2)*VLOOKUP($A23,'Growth Scenarios'!$E$3:$I$80,MATCH('Scenario Picker'!$B$3,'Growth Scenarios'!$F$2:$I$2,0)+1)/1000000000*VLOOKUP($A23,'Growth Scenarios'!$A$3:$D$80,MATCH('Scenario Picker'!$B$2,'Growth Scenarios'!$B$2:$D$2,0)+1)</f>
        <v>6.0248694614288238</v>
      </c>
      <c r="L23" s="21">
        <f ca="1">(1-'Electrification Scenario'!D29)*VLOOKUP(D$3,'Static Parameters'!$A$3:$B$9,2)*VLOOKUP($A23,'Growth Scenarios'!$E$3:$I$80,MATCH('Scenario Picker'!$B$3,'Growth Scenarios'!$F$2:$I$2,0)+1)/1000000000*VLOOKUP($A23,'Growth Scenarios'!$A$3:$D$80,MATCH('Scenario Picker'!$B$2,'Growth Scenarios'!$B$2:$D$2,0)+1)</f>
        <v>0.26074749361599603</v>
      </c>
      <c r="M23" s="21">
        <f ca="1">(1-'Electrification Scenario'!E29)*VLOOKUP(E$3,'Static Parameters'!$A$3:$B$9,2)*VLOOKUP($A23,'Growth Scenarios'!$E$3:$I$80,MATCH('Scenario Picker'!$B$3,'Growth Scenarios'!$F$2:$I$2,0)+1)/1000000000*VLOOKUP($A23,'Growth Scenarios'!$A$3:$D$80,MATCH('Scenario Picker'!$B$2,'Growth Scenarios'!$B$2:$D$2,0)+1)</f>
        <v>34.85421943994379</v>
      </c>
      <c r="N23" s="21">
        <f ca="1">(1-'Electrification Scenario'!F29)*VLOOKUP(F$3,'Static Parameters'!$A$3:$B$9,2)*VLOOKUP($A23,'Growth Scenarios'!$E$3:$I$80,MATCH('Scenario Picker'!$B$3,'Growth Scenarios'!$F$2:$I$2,0)+1)/1000000000*VLOOKUP($A23,'Growth Scenarios'!$A$3:$D$80,MATCH('Scenario Picker'!$B$2,'Growth Scenarios'!$B$2:$D$2,0)+1)</f>
        <v>2.3339814058448587</v>
      </c>
      <c r="O23" s="21">
        <f ca="1">(1-'Electrification Scenario'!G29)*VLOOKUP(G$3,'Static Parameters'!$A$3:$B$9,2)*VLOOKUP($A23,'Growth Scenarios'!$E$3:$I$80,MATCH('Scenario Picker'!$B$3,'Growth Scenarios'!$F$2:$I$2,0)+1)/1000000000*VLOOKUP($A23,'Growth Scenarios'!$A$3:$D$80,MATCH('Scenario Picker'!$B$2,'Growth Scenarios'!$B$2:$D$2,0)+1)</f>
        <v>23.598376517201871</v>
      </c>
      <c r="P23" s="21">
        <f ca="1">(1-'Electrification Scenario'!H29)*VLOOKUP(H$3,'Static Parameters'!$A$3:$B$9,2)*VLOOKUP($A23,'Growth Scenarios'!$E$3:$I$80,MATCH('Scenario Picker'!$B$3,'Growth Scenarios'!$F$2:$I$2,0)+1)/1000000000*VLOOKUP($A23,'Growth Scenarios'!$A$3:$D$80,MATCH('Scenario Picker'!$B$2,'Growth Scenarios'!$B$2:$D$2,0)+1)</f>
        <v>69.654541353274226</v>
      </c>
      <c r="Q23" s="28">
        <f t="shared" ca="1" si="1"/>
        <v>142.28546436202822</v>
      </c>
      <c r="R23" s="28">
        <f t="shared" ca="1" si="2"/>
        <v>411.75636790550635</v>
      </c>
    </row>
    <row r="24" spans="1:18" ht="15" x14ac:dyDescent="0.35">
      <c r="A24" s="31">
        <v>2042</v>
      </c>
      <c r="B24" s="25">
        <f ca="1">'Electrification Scenario'!B30*(1-'Electrification Scenario'!B$8*('Electrification Scenario'!B30-'Electrification Scenario'!B$4)/('Electrification Scenario'!B$5-'Electrification Scenario'!B$4))*VLOOKUP(B$3,'Static Parameters'!$A$3:$B$9,2)*VLOOKUP($A24,'Growth Scenarios'!$E$3:$I$80,MATCH('Scenario Picker'!$B$3,'Growth Scenarios'!$F$2:$I$2,0)+1)/1000000000*VLOOKUP($A24,'Growth Scenarios'!$A$3:$D$80,MATCH('Scenario Picker'!$B$2,'Growth Scenarios'!$B$2:$D$2,0)+1)</f>
        <v>5.1247502521264314</v>
      </c>
      <c r="C24" s="21">
        <f ca="1">'Electrification Scenario'!C30*(1-'Electrification Scenario'!C$8*('Electrification Scenario'!C30-'Electrification Scenario'!C$4)/('Electrification Scenario'!C$5-'Electrification Scenario'!C$4))*VLOOKUP(C$3,'Static Parameters'!$A$3:$B$9,2)*VLOOKUP($A24,'Growth Scenarios'!$E$3:$I$80,MATCH('Scenario Picker'!$B$3,'Growth Scenarios'!$F$2:$I$2,0)+1)/1000000000*VLOOKUP($A24,'Growth Scenarios'!$A$3:$D$80,MATCH('Scenario Picker'!$B$2,'Growth Scenarios'!$B$2:$D$2,0)+1)</f>
        <v>31.447159432171549</v>
      </c>
      <c r="D24" s="21">
        <f ca="1">'Electrification Scenario'!D30*(1-'Electrification Scenario'!D$8*('Electrification Scenario'!D30-'Electrification Scenario'!D$4)/('Electrification Scenario'!D$5-'Electrification Scenario'!D$4))*VLOOKUP(D$3,'Static Parameters'!$A$3:$B$9,2)*VLOOKUP($A24,'Growth Scenarios'!$E$3:$I$80,MATCH('Scenario Picker'!$B$3,'Growth Scenarios'!$F$2:$I$2,0)+1)/1000000000*VLOOKUP($A24,'Growth Scenarios'!$A$3:$D$80,MATCH('Scenario Picker'!$B$2,'Growth Scenarios'!$B$2:$D$2,0)+1)</f>
        <v>0.19150150628954393</v>
      </c>
      <c r="E24" s="21">
        <f ca="1">'Electrification Scenario'!E30*(1-'Electrification Scenario'!E$8*('Electrification Scenario'!E30-'Electrification Scenario'!E$4)/('Electrification Scenario'!E$5-'Electrification Scenario'!E$4))*VLOOKUP(E$3,'Static Parameters'!$A$3:$B$9,2)*VLOOKUP($A24,'Growth Scenarios'!$E$3:$I$80,MATCH('Scenario Picker'!$B$3,'Growth Scenarios'!$F$2:$I$2,0)+1)/1000000000*VLOOKUP($A24,'Growth Scenarios'!$A$3:$D$80,MATCH('Scenario Picker'!$B$2,'Growth Scenarios'!$B$2:$D$2,0)+1)</f>
        <v>111.51949385699999</v>
      </c>
      <c r="F24" s="21">
        <f ca="1">'Electrification Scenario'!F30*(1-'Electrification Scenario'!F$8*('Electrification Scenario'!F30-'Electrification Scenario'!F$4)/('Electrification Scenario'!F$5-'Electrification Scenario'!F$4))*VLOOKUP(F$3,'Static Parameters'!$A$3:$B$9,2)*VLOOKUP($A24,'Growth Scenarios'!$E$3:$I$80,MATCH('Scenario Picker'!$B$3,'Growth Scenarios'!$F$2:$I$2,0)+1)/1000000000*VLOOKUP($A24,'Growth Scenarios'!$A$3:$D$80,MATCH('Scenario Picker'!$B$2,'Growth Scenarios'!$B$2:$D$2,0)+1)</f>
        <v>4.9729023034251911</v>
      </c>
      <c r="G24" s="21">
        <f ca="1">'Electrification Scenario'!G30*(1-'Electrification Scenario'!G$8*('Electrification Scenario'!G30-'Electrification Scenario'!G$4)/('Electrification Scenario'!G$5-'Electrification Scenario'!G$4))*VLOOKUP(G$3,'Static Parameters'!$A$3:$B$9,2)*VLOOKUP($A24,'Growth Scenarios'!$E$3:$I$80,MATCH('Scenario Picker'!$B$3,'Growth Scenarios'!$F$2:$I$2,0)+1)/1000000000*VLOOKUP($A24,'Growth Scenarios'!$A$3:$D$80,MATCH('Scenario Picker'!$B$2,'Growth Scenarios'!$B$2:$D$2,0)+1)</f>
        <v>74.208800629538956</v>
      </c>
      <c r="H24" s="21">
        <f ca="1">'Electrification Scenario'!H30*(1-'Electrification Scenario'!H$8*('Electrification Scenario'!H30-'Electrification Scenario'!H$4)/('Electrification Scenario'!H$5-'Electrification Scenario'!H$4))*VLOOKUP(H$3,'Static Parameters'!$A$3:$B$9,2)*VLOOKUP($A24,'Growth Scenarios'!$E$3:$I$80,MATCH('Scenario Picker'!$B$3,'Growth Scenarios'!$F$2:$I$2,0)+1)/1000000000*VLOOKUP($A24,'Growth Scenarios'!$A$3:$D$80,MATCH('Scenario Picker'!$B$2,'Growth Scenarios'!$B$2:$D$2,0)+1)</f>
        <v>51.582967195499123</v>
      </c>
      <c r="I24" s="28">
        <f t="shared" ca="1" si="0"/>
        <v>279.04757517605083</v>
      </c>
      <c r="J24" s="25">
        <f ca="1">(1-'Electrification Scenario'!B30)*VLOOKUP(B$3,'Static Parameters'!$A$3:$B$9,2)*VLOOKUP($A24,'Growth Scenarios'!$E$3:$I$80,MATCH('Scenario Picker'!$B$3,'Growth Scenarios'!$F$2:$I$2,0)+1)/1000000000*VLOOKUP($A24,'Growth Scenarios'!$A$3:$D$80,MATCH('Scenario Picker'!$B$2,'Growth Scenarios'!$B$2:$D$2,0)+1)</f>
        <v>5.4977420597974467</v>
      </c>
      <c r="K24" s="21">
        <f ca="1">(1-'Electrification Scenario'!C30)*VLOOKUP(C$3,'Static Parameters'!$A$3:$B$9,2)*VLOOKUP($A24,'Growth Scenarios'!$E$3:$I$80,MATCH('Scenario Picker'!$B$3,'Growth Scenarios'!$F$2:$I$2,0)+1)/1000000000*VLOOKUP($A24,'Growth Scenarios'!$A$3:$D$80,MATCH('Scenario Picker'!$B$2,'Growth Scenarios'!$B$2:$D$2,0)+1)</f>
        <v>5.3355667777975198</v>
      </c>
      <c r="L24" s="21">
        <f ca="1">(1-'Electrification Scenario'!D30)*VLOOKUP(D$3,'Static Parameters'!$A$3:$B$9,2)*VLOOKUP($A24,'Growth Scenarios'!$E$3:$I$80,MATCH('Scenario Picker'!$B$3,'Growth Scenarios'!$F$2:$I$2,0)+1)/1000000000*VLOOKUP($A24,'Growth Scenarios'!$A$3:$D$80,MATCH('Scenario Picker'!$B$2,'Growth Scenarios'!$B$2:$D$2,0)+1)</f>
        <v>0.25487319887033622</v>
      </c>
      <c r="M24" s="21">
        <f ca="1">(1-'Electrification Scenario'!E30)*VLOOKUP(E$3,'Static Parameters'!$A$3:$B$9,2)*VLOOKUP($A24,'Growth Scenarios'!$E$3:$I$80,MATCH('Scenario Picker'!$B$3,'Growth Scenarios'!$F$2:$I$2,0)+1)/1000000000*VLOOKUP($A24,'Growth Scenarios'!$A$3:$D$80,MATCH('Scenario Picker'!$B$2,'Growth Scenarios'!$B$2:$D$2,0)+1)</f>
        <v>30.866563416915227</v>
      </c>
      <c r="N24" s="21">
        <f ca="1">(1-'Electrification Scenario'!F30)*VLOOKUP(F$3,'Static Parameters'!$A$3:$B$9,2)*VLOOKUP($A24,'Growth Scenarios'!$E$3:$I$80,MATCH('Scenario Picker'!$B$3,'Growth Scenarios'!$F$2:$I$2,0)+1)/1000000000*VLOOKUP($A24,'Growth Scenarios'!$A$3:$D$80,MATCH('Scenario Picker'!$B$2,'Growth Scenarios'!$B$2:$D$2,0)+1)</f>
        <v>2.321502303810286</v>
      </c>
      <c r="O24" s="21">
        <f ca="1">(1-'Electrification Scenario'!G30)*VLOOKUP(G$3,'Static Parameters'!$A$3:$B$9,2)*VLOOKUP($A24,'Growth Scenarios'!$E$3:$I$80,MATCH('Scenario Picker'!$B$3,'Growth Scenarios'!$F$2:$I$2,0)+1)/1000000000*VLOOKUP($A24,'Growth Scenarios'!$A$3:$D$80,MATCH('Scenario Picker'!$B$2,'Growth Scenarios'!$B$2:$D$2,0)+1)</f>
        <v>20.898496566808483</v>
      </c>
      <c r="P24" s="21">
        <f ca="1">(1-'Electrification Scenario'!H30)*VLOOKUP(H$3,'Static Parameters'!$A$3:$B$9,2)*VLOOKUP($A24,'Growth Scenarios'!$E$3:$I$80,MATCH('Scenario Picker'!$B$3,'Growth Scenarios'!$F$2:$I$2,0)+1)/1000000000*VLOOKUP($A24,'Growth Scenarios'!$A$3:$D$80,MATCH('Scenario Picker'!$B$2,'Growth Scenarios'!$B$2:$D$2,0)+1)</f>
        <v>66.297255281569221</v>
      </c>
      <c r="Q24" s="28">
        <f t="shared" ca="1" si="1"/>
        <v>131.47199960556853</v>
      </c>
      <c r="R24" s="28">
        <f t="shared" ca="1" si="2"/>
        <v>410.51957478161933</v>
      </c>
    </row>
    <row r="25" spans="1:18" ht="15" x14ac:dyDescent="0.35">
      <c r="A25" s="31">
        <v>2043</v>
      </c>
      <c r="B25" s="25">
        <f ca="1">'Electrification Scenario'!B31*(1-'Electrification Scenario'!B$8*('Electrification Scenario'!B31-'Electrification Scenario'!B$4)/('Electrification Scenario'!B$5-'Electrification Scenario'!B$4))*VLOOKUP(B$3,'Static Parameters'!$A$3:$B$9,2)*VLOOKUP($A25,'Growth Scenarios'!$E$3:$I$80,MATCH('Scenario Picker'!$B$3,'Growth Scenarios'!$F$2:$I$2,0)+1)/1000000000*VLOOKUP($A25,'Growth Scenarios'!$A$3:$D$80,MATCH('Scenario Picker'!$B$2,'Growth Scenarios'!$B$2:$D$2,0)+1)</f>
        <v>5.2502689705802785</v>
      </c>
      <c r="C25" s="21">
        <f ca="1">'Electrification Scenario'!C31*(1-'Electrification Scenario'!C$8*('Electrification Scenario'!C31-'Electrification Scenario'!C$4)/('Electrification Scenario'!C$5-'Electrification Scenario'!C$4))*VLOOKUP(C$3,'Static Parameters'!$A$3:$B$9,2)*VLOOKUP($A25,'Growth Scenarios'!$E$3:$I$80,MATCH('Scenario Picker'!$B$3,'Growth Scenarios'!$F$2:$I$2,0)+1)/1000000000*VLOOKUP($A25,'Growth Scenarios'!$A$3:$D$80,MATCH('Scenario Picker'!$B$2,'Growth Scenarios'!$B$2:$D$2,0)+1)</f>
        <v>32.196093846045201</v>
      </c>
      <c r="D25" s="21">
        <f ca="1">'Electrification Scenario'!D31*(1-'Electrification Scenario'!D$8*('Electrification Scenario'!D31-'Electrification Scenario'!D$4)/('Electrification Scenario'!D$5-'Electrification Scenario'!D$4))*VLOOKUP(D$3,'Static Parameters'!$A$3:$B$9,2)*VLOOKUP($A25,'Growth Scenarios'!$E$3:$I$80,MATCH('Scenario Picker'!$B$3,'Growth Scenarios'!$F$2:$I$2,0)+1)/1000000000*VLOOKUP($A25,'Growth Scenarios'!$A$3:$D$80,MATCH('Scenario Picker'!$B$2,'Growth Scenarios'!$B$2:$D$2,0)+1)</f>
        <v>0.19982084285577897</v>
      </c>
      <c r="E25" s="21">
        <f ca="1">'Electrification Scenario'!E31*(1-'Electrification Scenario'!E$8*('Electrification Scenario'!E31-'Electrification Scenario'!E$4)/('Electrification Scenario'!E$5-'Electrification Scenario'!E$4))*VLOOKUP(E$3,'Static Parameters'!$A$3:$B$9,2)*VLOOKUP($A25,'Growth Scenarios'!$E$3:$I$80,MATCH('Scenario Picker'!$B$3,'Growth Scenarios'!$F$2:$I$2,0)+1)/1000000000*VLOOKUP($A25,'Growth Scenarios'!$A$3:$D$80,MATCH('Scenario Picker'!$B$2,'Growth Scenarios'!$B$2:$D$2,0)+1)</f>
        <v>115.63692153884064</v>
      </c>
      <c r="F25" s="21">
        <f ca="1">'Electrification Scenario'!F31*(1-'Electrification Scenario'!F$8*('Electrification Scenario'!F31-'Electrification Scenario'!F$4)/('Electrification Scenario'!F$5-'Electrification Scenario'!F$4))*VLOOKUP(F$3,'Static Parameters'!$A$3:$B$9,2)*VLOOKUP($A25,'Growth Scenarios'!$E$3:$I$80,MATCH('Scenario Picker'!$B$3,'Growth Scenarios'!$F$2:$I$2,0)+1)/1000000000*VLOOKUP($A25,'Growth Scenarios'!$A$3:$D$80,MATCH('Scenario Picker'!$B$2,'Growth Scenarios'!$B$2:$D$2,0)+1)</f>
        <v>5.0229845995594884</v>
      </c>
      <c r="G25" s="21">
        <f ca="1">'Electrification Scenario'!G31*(1-'Electrification Scenario'!G$8*('Electrification Scenario'!G31-'Electrification Scenario'!G$4)/('Electrification Scenario'!G$5-'Electrification Scenario'!G$4))*VLOOKUP(G$3,'Static Parameters'!$A$3:$B$9,2)*VLOOKUP($A25,'Growth Scenarios'!$E$3:$I$80,MATCH('Scenario Picker'!$B$3,'Growth Scenarios'!$F$2:$I$2,0)+1)/1000000000*VLOOKUP($A25,'Growth Scenarios'!$A$3:$D$80,MATCH('Scenario Picker'!$B$2,'Growth Scenarios'!$B$2:$D$2,0)+1)</f>
        <v>76.992580683293056</v>
      </c>
      <c r="H25" s="21">
        <f ca="1">'Electrification Scenario'!H31*(1-'Electrification Scenario'!H$8*('Electrification Scenario'!H31-'Electrification Scenario'!H$4)/('Electrification Scenario'!H$5-'Electrification Scenario'!H$4))*VLOOKUP(H$3,'Static Parameters'!$A$3:$B$9,2)*VLOOKUP($A25,'Growth Scenarios'!$E$3:$I$80,MATCH('Scenario Picker'!$B$3,'Growth Scenarios'!$F$2:$I$2,0)+1)/1000000000*VLOOKUP($A25,'Growth Scenarios'!$A$3:$D$80,MATCH('Scenario Picker'!$B$2,'Growth Scenarios'!$B$2:$D$2,0)+1)</f>
        <v>53.245151984470702</v>
      </c>
      <c r="I25" s="28">
        <f t="shared" ca="1" si="0"/>
        <v>288.54382246564512</v>
      </c>
      <c r="J25" s="25">
        <f ca="1">(1-'Electrification Scenario'!B31)*VLOOKUP(B$3,'Static Parameters'!$A$3:$B$9,2)*VLOOKUP($A25,'Growth Scenarios'!$E$3:$I$80,MATCH('Scenario Picker'!$B$3,'Growth Scenarios'!$F$2:$I$2,0)+1)/1000000000*VLOOKUP($A25,'Growth Scenarios'!$A$3:$D$80,MATCH('Scenario Picker'!$B$2,'Growth Scenarios'!$B$2:$D$2,0)+1)</f>
        <v>5.4348514294698917</v>
      </c>
      <c r="K25" s="21">
        <f ca="1">(1-'Electrification Scenario'!C31)*VLOOKUP(C$3,'Static Parameters'!$A$3:$B$9,2)*VLOOKUP($A25,'Growth Scenarios'!$E$3:$I$80,MATCH('Scenario Picker'!$B$3,'Growth Scenarios'!$F$2:$I$2,0)+1)/1000000000*VLOOKUP($A25,'Growth Scenarios'!$A$3:$D$80,MATCH('Scenario Picker'!$B$2,'Growth Scenarios'!$B$2:$D$2,0)+1)</f>
        <v>4.6290250231234458</v>
      </c>
      <c r="L25" s="21">
        <f ca="1">(1-'Electrification Scenario'!D31)*VLOOKUP(D$3,'Static Parameters'!$A$3:$B$9,2)*VLOOKUP($A25,'Growth Scenarios'!$E$3:$I$80,MATCH('Scenario Picker'!$B$3,'Growth Scenarios'!$F$2:$I$2,0)+1)/1000000000*VLOOKUP($A25,'Growth Scenarios'!$A$3:$D$80,MATCH('Scenario Picker'!$B$2,'Growth Scenarios'!$B$2:$D$2,0)+1)</f>
        <v>0.24883620973753551</v>
      </c>
      <c r="M25" s="21">
        <f ca="1">(1-'Electrification Scenario'!E31)*VLOOKUP(E$3,'Static Parameters'!$A$3:$B$9,2)*VLOOKUP($A25,'Growth Scenarios'!$E$3:$I$80,MATCH('Scenario Picker'!$B$3,'Growth Scenarios'!$F$2:$I$2,0)+1)/1000000000*VLOOKUP($A25,'Growth Scenarios'!$A$3:$D$80,MATCH('Scenario Picker'!$B$2,'Growth Scenarios'!$B$2:$D$2,0)+1)</f>
        <v>26.779178367571255</v>
      </c>
      <c r="N25" s="21">
        <f ca="1">(1-'Electrification Scenario'!F31)*VLOOKUP(F$3,'Static Parameters'!$A$3:$B$9,2)*VLOOKUP($A25,'Growth Scenarios'!$E$3:$I$80,MATCH('Scenario Picker'!$B$3,'Growth Scenarios'!$F$2:$I$2,0)+1)/1000000000*VLOOKUP($A25,'Growth Scenarios'!$A$3:$D$80,MATCH('Scenario Picker'!$B$2,'Growth Scenarios'!$B$2:$D$2,0)+1)</f>
        <v>2.30854342707027</v>
      </c>
      <c r="O25" s="21">
        <f ca="1">(1-'Electrification Scenario'!G31)*VLOOKUP(G$3,'Static Parameters'!$A$3:$B$9,2)*VLOOKUP($A25,'Growth Scenarios'!$E$3:$I$80,MATCH('Scenario Picker'!$B$3,'Growth Scenarios'!$F$2:$I$2,0)+1)/1000000000*VLOOKUP($A25,'Growth Scenarios'!$A$3:$D$80,MATCH('Scenario Picker'!$B$2,'Growth Scenarios'!$B$2:$D$2,0)+1)</f>
        <v>18.131094142794932</v>
      </c>
      <c r="P25" s="21">
        <f ca="1">(1-'Electrification Scenario'!H31)*VLOOKUP(H$3,'Static Parameters'!$A$3:$B$9,2)*VLOOKUP($A25,'Growth Scenarios'!$E$3:$I$80,MATCH('Scenario Picker'!$B$3,'Growth Scenarios'!$F$2:$I$2,0)+1)/1000000000*VLOOKUP($A25,'Growth Scenarios'!$A$3:$D$80,MATCH('Scenario Picker'!$B$2,'Growth Scenarios'!$B$2:$D$2,0)+1)</f>
        <v>62.852967423899599</v>
      </c>
      <c r="Q25" s="28">
        <f t="shared" ca="1" si="1"/>
        <v>120.38449602366693</v>
      </c>
      <c r="R25" s="28">
        <f t="shared" ca="1" si="2"/>
        <v>408.92831848931206</v>
      </c>
    </row>
    <row r="26" spans="1:18" ht="15" x14ac:dyDescent="0.35">
      <c r="A26" s="31">
        <v>2044</v>
      </c>
      <c r="B26" s="25">
        <f ca="1">'Electrification Scenario'!B32*(1-'Electrification Scenario'!B$8*('Electrification Scenario'!B32-'Electrification Scenario'!B$4)/('Electrification Scenario'!B$5-'Electrification Scenario'!B$4))*VLOOKUP(B$3,'Static Parameters'!$A$3:$B$9,2)*VLOOKUP($A26,'Growth Scenarios'!$E$3:$I$80,MATCH('Scenario Picker'!$B$3,'Growth Scenarios'!$F$2:$I$2,0)+1)/1000000000*VLOOKUP($A26,'Growth Scenarios'!$A$3:$D$80,MATCH('Scenario Picker'!$B$2,'Growth Scenarios'!$B$2:$D$2,0)+1)</f>
        <v>5.3764058165992985</v>
      </c>
      <c r="C26" s="21">
        <f ca="1">'Electrification Scenario'!C32*(1-'Electrification Scenario'!C$8*('Electrification Scenario'!C32-'Electrification Scenario'!C$4)/('Electrification Scenario'!C$5-'Electrification Scenario'!C$4))*VLOOKUP(C$3,'Static Parameters'!$A$3:$B$9,2)*VLOOKUP($A26,'Growth Scenarios'!$E$3:$I$80,MATCH('Scenario Picker'!$B$3,'Growth Scenarios'!$F$2:$I$2,0)+1)/1000000000*VLOOKUP($A26,'Growth Scenarios'!$A$3:$D$80,MATCH('Scenario Picker'!$B$2,'Growth Scenarios'!$B$2:$D$2,0)+1)</f>
        <v>32.948691947898887</v>
      </c>
      <c r="D26" s="21">
        <f ca="1">'Electrification Scenario'!D32*(1-'Electrification Scenario'!D$8*('Electrification Scenario'!D32-'Electrification Scenario'!D$4)/('Electrification Scenario'!D$5-'Electrification Scenario'!D$4))*VLOOKUP(D$3,'Static Parameters'!$A$3:$B$9,2)*VLOOKUP($A26,'Growth Scenarios'!$E$3:$I$80,MATCH('Scenario Picker'!$B$3,'Growth Scenarios'!$F$2:$I$2,0)+1)/1000000000*VLOOKUP($A26,'Growth Scenarios'!$A$3:$D$80,MATCH('Scenario Picker'!$B$2,'Growth Scenarios'!$B$2:$D$2,0)+1)</f>
        <v>0.20818532534829445</v>
      </c>
      <c r="E26" s="21">
        <f ca="1">'Electrification Scenario'!E32*(1-'Electrification Scenario'!E$8*('Electrification Scenario'!E32-'Electrification Scenario'!E$4)/('Electrification Scenario'!E$5-'Electrification Scenario'!E$4))*VLOOKUP(E$3,'Static Parameters'!$A$3:$B$9,2)*VLOOKUP($A26,'Growth Scenarios'!$E$3:$I$80,MATCH('Scenario Picker'!$B$3,'Growth Scenarios'!$F$2:$I$2,0)+1)/1000000000*VLOOKUP($A26,'Growth Scenarios'!$A$3:$D$80,MATCH('Scenario Picker'!$B$2,'Growth Scenarios'!$B$2:$D$2,0)+1)</f>
        <v>119.77622104344668</v>
      </c>
      <c r="F26" s="21">
        <f ca="1">'Electrification Scenario'!F32*(1-'Electrification Scenario'!F$8*('Electrification Scenario'!F32-'Electrification Scenario'!F$4)/('Electrification Scenario'!F$5-'Electrification Scenario'!F$4))*VLOOKUP(F$3,'Static Parameters'!$A$3:$B$9,2)*VLOOKUP($A26,'Growth Scenarios'!$E$3:$I$80,MATCH('Scenario Picker'!$B$3,'Growth Scenarios'!$F$2:$I$2,0)+1)/1000000000*VLOOKUP($A26,'Growth Scenarios'!$A$3:$D$80,MATCH('Scenario Picker'!$B$2,'Growth Scenarios'!$B$2:$D$2,0)+1)</f>
        <v>5.0732309891909466</v>
      </c>
      <c r="G26" s="21">
        <f ca="1">'Electrification Scenario'!G32*(1-'Electrification Scenario'!G$8*('Electrification Scenario'!G32-'Electrification Scenario'!G$4)/('Electrification Scenario'!G$5-'Electrification Scenario'!G$4))*VLOOKUP(G$3,'Static Parameters'!$A$3:$B$9,2)*VLOOKUP($A26,'Growth Scenarios'!$E$3:$I$80,MATCH('Scenario Picker'!$B$3,'Growth Scenarios'!$F$2:$I$2,0)+1)/1000000000*VLOOKUP($A26,'Growth Scenarios'!$A$3:$D$80,MATCH('Scenario Picker'!$B$2,'Growth Scenarios'!$B$2:$D$2,0)+1)</f>
        <v>79.791181730448955</v>
      </c>
      <c r="H26" s="21">
        <f ca="1">'Electrification Scenario'!H32*(1-'Electrification Scenario'!H$8*('Electrification Scenario'!H32-'Electrification Scenario'!H$4)/('Electrification Scenario'!H$5-'Electrification Scenario'!H$4))*VLOOKUP(H$3,'Static Parameters'!$A$3:$B$9,2)*VLOOKUP($A26,'Growth Scenarios'!$E$3:$I$80,MATCH('Scenario Picker'!$B$3,'Growth Scenarios'!$F$2:$I$2,0)+1)/1000000000*VLOOKUP($A26,'Growth Scenarios'!$A$3:$D$80,MATCH('Scenario Picker'!$B$2,'Growth Scenarios'!$B$2:$D$2,0)+1)</f>
        <v>54.778150984621924</v>
      </c>
      <c r="I26" s="28">
        <f t="shared" ca="1" si="0"/>
        <v>297.95206783755498</v>
      </c>
      <c r="J26" s="25">
        <f ca="1">(1-'Electrification Scenario'!B32)*VLOOKUP(B$3,'Static Parameters'!$A$3:$B$9,2)*VLOOKUP($A26,'Growth Scenarios'!$E$3:$I$80,MATCH('Scenario Picker'!$B$3,'Growth Scenarios'!$F$2:$I$2,0)+1)/1000000000*VLOOKUP($A26,'Growth Scenarios'!$A$3:$D$80,MATCH('Scenario Picker'!$B$2,'Growth Scenarios'!$B$2:$D$2,0)+1)</f>
        <v>5.3699569880190747</v>
      </c>
      <c r="K26" s="21">
        <f ca="1">(1-'Electrification Scenario'!C32)*VLOOKUP(C$3,'Static Parameters'!$A$3:$B$9,2)*VLOOKUP($A26,'Growth Scenarios'!$E$3:$I$80,MATCH('Scenario Picker'!$B$3,'Growth Scenarios'!$F$2:$I$2,0)+1)/1000000000*VLOOKUP($A26,'Growth Scenarios'!$A$3:$D$80,MATCH('Scenario Picker'!$B$2,'Growth Scenarios'!$B$2:$D$2,0)+1)</f>
        <v>3.9047366565483292</v>
      </c>
      <c r="L26" s="21">
        <f ca="1">(1-'Electrification Scenario'!D32)*VLOOKUP(D$3,'Static Parameters'!$A$3:$B$9,2)*VLOOKUP($A26,'Growth Scenarios'!$E$3:$I$80,MATCH('Scenario Picker'!$B$3,'Growth Scenarios'!$F$2:$I$2,0)+1)/1000000000*VLOOKUP($A26,'Growth Scenarios'!$A$3:$D$80,MATCH('Scenario Picker'!$B$2,'Growth Scenarios'!$B$2:$D$2,0)+1)</f>
        <v>0.24262991313658622</v>
      </c>
      <c r="M26" s="21">
        <f ca="1">(1-'Electrification Scenario'!E32)*VLOOKUP(E$3,'Static Parameters'!$A$3:$B$9,2)*VLOOKUP($A26,'Growth Scenarios'!$E$3:$I$80,MATCH('Scenario Picker'!$B$3,'Growth Scenarios'!$F$2:$I$2,0)+1)/1000000000*VLOOKUP($A26,'Growth Scenarios'!$A$3:$D$80,MATCH('Scenario Picker'!$B$2,'Growth Scenarios'!$B$2:$D$2,0)+1)</f>
        <v>22.589128138595708</v>
      </c>
      <c r="N26" s="21">
        <f ca="1">(1-'Electrification Scenario'!F32)*VLOOKUP(F$3,'Static Parameters'!$A$3:$B$9,2)*VLOOKUP($A26,'Growth Scenarios'!$E$3:$I$80,MATCH('Scenario Picker'!$B$3,'Growth Scenarios'!$F$2:$I$2,0)+1)/1000000000*VLOOKUP($A26,'Growth Scenarios'!$A$3:$D$80,MATCH('Scenario Picker'!$B$2,'Growth Scenarios'!$B$2:$D$2,0)+1)</f>
        <v>2.2950712795137784</v>
      </c>
      <c r="O26" s="21">
        <f ca="1">(1-'Electrification Scenario'!G32)*VLOOKUP(G$3,'Static Parameters'!$A$3:$B$9,2)*VLOOKUP($A26,'Growth Scenarios'!$E$3:$I$80,MATCH('Scenario Picker'!$B$3,'Growth Scenarios'!$F$2:$I$2,0)+1)/1000000000*VLOOKUP($A26,'Growth Scenarios'!$A$3:$D$80,MATCH('Scenario Picker'!$B$2,'Growth Scenarios'!$B$2:$D$2,0)+1)</f>
        <v>15.294181294991031</v>
      </c>
      <c r="P26" s="21">
        <f ca="1">(1-'Electrification Scenario'!H32)*VLOOKUP(H$3,'Static Parameters'!$A$3:$B$9,2)*VLOOKUP($A26,'Growth Scenarios'!$E$3:$I$80,MATCH('Scenario Picker'!$B$3,'Growth Scenarios'!$F$2:$I$2,0)+1)/1000000000*VLOOKUP($A26,'Growth Scenarios'!$A$3:$D$80,MATCH('Scenario Picker'!$B$2,'Growth Scenarios'!$B$2:$D$2,0)+1)</f>
        <v>59.318765378202258</v>
      </c>
      <c r="Q26" s="28">
        <f t="shared" ca="1" si="1"/>
        <v>109.01446964900677</v>
      </c>
      <c r="R26" s="28">
        <f t="shared" ca="1" si="2"/>
        <v>406.96653748656172</v>
      </c>
    </row>
    <row r="27" spans="1:18" ht="15" x14ac:dyDescent="0.35">
      <c r="A27" s="31">
        <v>2045</v>
      </c>
      <c r="B27" s="25">
        <f ca="1">'Electrification Scenario'!B33*(1-'Electrification Scenario'!B$8*('Electrification Scenario'!B33-'Electrification Scenario'!B$4)/('Electrification Scenario'!B$5-'Electrification Scenario'!B$4))*VLOOKUP(B$3,'Static Parameters'!$A$3:$B$9,2)*VLOOKUP($A27,'Growth Scenarios'!$E$3:$I$80,MATCH('Scenario Picker'!$B$3,'Growth Scenarios'!$F$2:$I$2,0)+1)/1000000000*VLOOKUP($A27,'Growth Scenarios'!$A$3:$D$80,MATCH('Scenario Picker'!$B$2,'Growth Scenarios'!$B$2:$D$2,0)+1)</f>
        <v>5.5030447426310163</v>
      </c>
      <c r="C27" s="21">
        <f ca="1">'Electrification Scenario'!C33*(1-'Electrification Scenario'!C$8*('Electrification Scenario'!C33-'Electrification Scenario'!C$4)/('Electrification Scenario'!C$5-'Electrification Scenario'!C$4))*VLOOKUP(C$3,'Static Parameters'!$A$3:$B$9,2)*VLOOKUP($A27,'Growth Scenarios'!$E$3:$I$80,MATCH('Scenario Picker'!$B$3,'Growth Scenarios'!$F$2:$I$2,0)+1)/1000000000*VLOOKUP($A27,'Growth Scenarios'!$A$3:$D$80,MATCH('Scenario Picker'!$B$2,'Growth Scenarios'!$B$2:$D$2,0)+1)</f>
        <v>33.704243562208248</v>
      </c>
      <c r="D27" s="21">
        <f ca="1">'Electrification Scenario'!D33*(1-'Electrification Scenario'!D$8*('Electrification Scenario'!D33-'Electrification Scenario'!D$4)/('Electrification Scenario'!D$5-'Electrification Scenario'!D$4))*VLOOKUP(D$3,'Static Parameters'!$A$3:$B$9,2)*VLOOKUP($A27,'Growth Scenarios'!$E$3:$I$80,MATCH('Scenario Picker'!$B$3,'Growth Scenarios'!$F$2:$I$2,0)+1)/1000000000*VLOOKUP($A27,'Growth Scenarios'!$A$3:$D$80,MATCH('Scenario Picker'!$B$2,'Growth Scenarios'!$B$2:$D$2,0)+1)</f>
        <v>0.21659028823143772</v>
      </c>
      <c r="E27" s="21">
        <f ca="1">'Electrification Scenario'!E33*(1-'Electrification Scenario'!E$8*('Electrification Scenario'!E33-'Electrification Scenario'!E$4)/('Electrification Scenario'!E$5-'Electrification Scenario'!E$4))*VLOOKUP(E$3,'Static Parameters'!$A$3:$B$9,2)*VLOOKUP($A27,'Growth Scenarios'!$E$3:$I$80,MATCH('Scenario Picker'!$B$3,'Growth Scenarios'!$F$2:$I$2,0)+1)/1000000000*VLOOKUP($A27,'Growth Scenarios'!$A$3:$D$80,MATCH('Scenario Picker'!$B$2,'Growth Scenarios'!$B$2:$D$2,0)+1)</f>
        <v>123.9347413800083</v>
      </c>
      <c r="F27" s="21">
        <f ca="1">'Electrification Scenario'!F33*(1-'Electrification Scenario'!F$8*('Electrification Scenario'!F33-'Electrification Scenario'!F$4)/('Electrification Scenario'!F$5-'Electrification Scenario'!F$4))*VLOOKUP(F$3,'Static Parameters'!$A$3:$B$9,2)*VLOOKUP($A27,'Growth Scenarios'!$E$3:$I$80,MATCH('Scenario Picker'!$B$3,'Growth Scenarios'!$F$2:$I$2,0)+1)/1000000000*VLOOKUP($A27,'Growth Scenarios'!$A$3:$D$80,MATCH('Scenario Picker'!$B$2,'Growth Scenarios'!$B$2:$D$2,0)+1)</f>
        <v>5.1235353666243197</v>
      </c>
      <c r="G27" s="21">
        <f ca="1">'Electrification Scenario'!G33*(1-'Electrification Scenario'!G$8*('Electrification Scenario'!G33-'Electrification Scenario'!G$4)/('Electrification Scenario'!G$5-'Electrification Scenario'!G$4))*VLOOKUP(G$3,'Static Parameters'!$A$3:$B$9,2)*VLOOKUP($A27,'Growth Scenarios'!$E$3:$I$80,MATCH('Scenario Picker'!$B$3,'Growth Scenarios'!$F$2:$I$2,0)+1)/1000000000*VLOOKUP($A27,'Growth Scenarios'!$A$3:$D$80,MATCH('Scenario Picker'!$B$2,'Growth Scenarios'!$B$2:$D$2,0)+1)</f>
        <v>82.602835731667099</v>
      </c>
      <c r="H27" s="21">
        <f ca="1">'Electrification Scenario'!H33*(1-'Electrification Scenario'!H$8*('Electrification Scenario'!H33-'Electrification Scenario'!H$4)/('Electrification Scenario'!H$5-'Electrification Scenario'!H$4))*VLOOKUP(H$3,'Static Parameters'!$A$3:$B$9,2)*VLOOKUP($A27,'Growth Scenarios'!$E$3:$I$80,MATCH('Scenario Picker'!$B$3,'Growth Scenarios'!$F$2:$I$2,0)+1)/1000000000*VLOOKUP($A27,'Growth Scenarios'!$A$3:$D$80,MATCH('Scenario Picker'!$B$2,'Growth Scenarios'!$B$2:$D$2,0)+1)</f>
        <v>56.175680043539117</v>
      </c>
      <c r="I27" s="28">
        <f t="shared" ca="1" si="0"/>
        <v>307.26067111490954</v>
      </c>
      <c r="J27" s="25">
        <f ca="1">(1-'Electrification Scenario'!B33)*VLOOKUP(B$3,'Static Parameters'!$A$3:$B$9,2)*VLOOKUP($A27,'Growth Scenarios'!$E$3:$I$80,MATCH('Scenario Picker'!$B$3,'Growth Scenarios'!$F$2:$I$2,0)+1)/1000000000*VLOOKUP($A27,'Growth Scenarios'!$A$3:$D$80,MATCH('Scenario Picker'!$B$2,'Growth Scenarios'!$B$2:$D$2,0)+1)</f>
        <v>5.3028980963539389</v>
      </c>
      <c r="K27" s="21">
        <f ca="1">(1-'Electrification Scenario'!C33)*VLOOKUP(C$3,'Static Parameters'!$A$3:$B$9,2)*VLOOKUP($A27,'Growth Scenarios'!$E$3:$I$80,MATCH('Scenario Picker'!$B$3,'Growth Scenarios'!$F$2:$I$2,0)+1)/1000000000*VLOOKUP($A27,'Growth Scenarios'!$A$3:$D$80,MATCH('Scenario Picker'!$B$2,'Growth Scenarios'!$B$2:$D$2,0)+1)</f>
        <v>3.162166454227203</v>
      </c>
      <c r="L27" s="21">
        <f ca="1">(1-'Electrification Scenario'!D33)*VLOOKUP(D$3,'Static Parameters'!$A$3:$B$9,2)*VLOOKUP($A27,'Growth Scenarios'!$E$3:$I$80,MATCH('Scenario Picker'!$B$3,'Growth Scenarios'!$F$2:$I$2,0)+1)/1000000000*VLOOKUP($A27,'Growth Scenarios'!$A$3:$D$80,MATCH('Scenario Picker'!$B$2,'Growth Scenarios'!$B$2:$D$2,0)+1)</f>
        <v>0.23624502764898597</v>
      </c>
      <c r="M27" s="21">
        <f ca="1">(1-'Electrification Scenario'!E33)*VLOOKUP(E$3,'Static Parameters'!$A$3:$B$9,2)*VLOOKUP($A27,'Growth Scenarios'!$E$3:$I$80,MATCH('Scenario Picker'!$B$3,'Growth Scenarios'!$F$2:$I$2,0)+1)/1000000000*VLOOKUP($A27,'Growth Scenarios'!$A$3:$D$80,MATCH('Scenario Picker'!$B$2,'Growth Scenarios'!$B$2:$D$2,0)+1)</f>
        <v>18.293316428987985</v>
      </c>
      <c r="N27" s="21">
        <f ca="1">(1-'Electrification Scenario'!F33)*VLOOKUP(F$3,'Static Parameters'!$A$3:$B$9,2)*VLOOKUP($A27,'Growth Scenarios'!$E$3:$I$80,MATCH('Scenario Picker'!$B$3,'Growth Scenarios'!$F$2:$I$2,0)+1)/1000000000*VLOOKUP($A27,'Growth Scenarios'!$A$3:$D$80,MATCH('Scenario Picker'!$B$2,'Growth Scenarios'!$B$2:$D$2,0)+1)</f>
        <v>2.2810260193875398</v>
      </c>
      <c r="O27" s="21">
        <f ca="1">(1-'Electrification Scenario'!G33)*VLOOKUP(G$3,'Static Parameters'!$A$3:$B$9,2)*VLOOKUP($A27,'Growth Scenarios'!$E$3:$I$80,MATCH('Scenario Picker'!$B$3,'Growth Scenarios'!$F$2:$I$2,0)+1)/1000000000*VLOOKUP($A27,'Growth Scenarios'!$A$3:$D$80,MATCH('Scenario Picker'!$B$2,'Growth Scenarios'!$B$2:$D$2,0)+1)</f>
        <v>12.385661643733242</v>
      </c>
      <c r="P27" s="21">
        <f ca="1">(1-'Electrification Scenario'!H33)*VLOOKUP(H$3,'Static Parameters'!$A$3:$B$9,2)*VLOOKUP($A27,'Growth Scenarios'!$E$3:$I$80,MATCH('Scenario Picker'!$B$3,'Growth Scenarios'!$F$2:$I$2,0)+1)/1000000000*VLOOKUP($A27,'Growth Scenarios'!$A$3:$D$80,MATCH('Scenario Picker'!$B$2,'Growth Scenarios'!$B$2:$D$2,0)+1)</f>
        <v>55.691133669926977</v>
      </c>
      <c r="Q27" s="28">
        <f t="shared" ca="1" si="1"/>
        <v>97.352447340265869</v>
      </c>
      <c r="R27" s="28">
        <f t="shared" ca="1" si="2"/>
        <v>404.61311845517542</v>
      </c>
    </row>
    <row r="28" spans="1:18" ht="15" x14ac:dyDescent="0.35">
      <c r="A28" s="31">
        <v>2046</v>
      </c>
      <c r="B28" s="25">
        <f ca="1">'Electrification Scenario'!B34*(1-'Electrification Scenario'!B$8*('Electrification Scenario'!B34-'Electrification Scenario'!B$4)/('Electrification Scenario'!B$5-'Electrification Scenario'!B$4))*VLOOKUP(B$3,'Static Parameters'!$A$3:$B$9,2)*VLOOKUP($A28,'Growth Scenarios'!$E$3:$I$80,MATCH('Scenario Picker'!$B$3,'Growth Scenarios'!$F$2:$I$2,0)+1)/1000000000*VLOOKUP($A28,'Growth Scenarios'!$A$3:$D$80,MATCH('Scenario Picker'!$B$2,'Growth Scenarios'!$B$2:$D$2,0)+1)</f>
        <v>5.6300505537019818</v>
      </c>
      <c r="C28" s="21">
        <f ca="1">'Electrification Scenario'!C34*(1-'Electrification Scenario'!C$8*('Electrification Scenario'!C34-'Electrification Scenario'!C$4)/('Electrification Scenario'!C$5-'Electrification Scenario'!C$4))*VLOOKUP(C$3,'Static Parameters'!$A$3:$B$9,2)*VLOOKUP($A28,'Growth Scenarios'!$E$3:$I$80,MATCH('Scenario Picker'!$B$3,'Growth Scenarios'!$F$2:$I$2,0)+1)/1000000000*VLOOKUP($A28,'Growth Scenarios'!$A$3:$D$80,MATCH('Scenario Picker'!$B$2,'Growth Scenarios'!$B$2:$D$2,0)+1)</f>
        <v>34.46192292986759</v>
      </c>
      <c r="D28" s="21">
        <f ca="1">'Electrification Scenario'!D34*(1-'Electrification Scenario'!D$8*('Electrification Scenario'!D34-'Electrification Scenario'!D$4)/('Electrification Scenario'!D$5-'Electrification Scenario'!D$4))*VLOOKUP(D$3,'Static Parameters'!$A$3:$B$9,2)*VLOOKUP($A28,'Growth Scenarios'!$E$3:$I$80,MATCH('Scenario Picker'!$B$3,'Growth Scenarios'!$F$2:$I$2,0)+1)/1000000000*VLOOKUP($A28,'Growth Scenarios'!$A$3:$D$80,MATCH('Scenario Picker'!$B$2,'Growth Scenarios'!$B$2:$D$2,0)+1)</f>
        <v>0.22503002467698854</v>
      </c>
      <c r="E28" s="21">
        <f ca="1">'Electrification Scenario'!E34*(1-'Electrification Scenario'!E$8*('Electrification Scenario'!E34-'Electrification Scenario'!E$4)/('Electrification Scenario'!E$5-'Electrification Scenario'!E$4))*VLOOKUP(E$3,'Static Parameters'!$A$3:$B$9,2)*VLOOKUP($A28,'Growth Scenarios'!$E$3:$I$80,MATCH('Scenario Picker'!$B$3,'Growth Scenarios'!$F$2:$I$2,0)+1)/1000000000*VLOOKUP($A28,'Growth Scenarios'!$A$3:$D$80,MATCH('Scenario Picker'!$B$2,'Growth Scenarios'!$B$2:$D$2,0)+1)</f>
        <v>128.10929046046599</v>
      </c>
      <c r="F28" s="21">
        <f ca="1">'Electrification Scenario'!F34*(1-'Electrification Scenario'!F$8*('Electrification Scenario'!F34-'Electrification Scenario'!F$4)/('Electrification Scenario'!F$5-'Electrification Scenario'!F$4))*VLOOKUP(F$3,'Static Parameters'!$A$3:$B$9,2)*VLOOKUP($A28,'Growth Scenarios'!$E$3:$I$80,MATCH('Scenario Picker'!$B$3,'Growth Scenarios'!$F$2:$I$2,0)+1)/1000000000*VLOOKUP($A28,'Growth Scenarios'!$A$3:$D$80,MATCH('Scenario Picker'!$B$2,'Growth Scenarios'!$B$2:$D$2,0)+1)</f>
        <v>5.1737794845586178</v>
      </c>
      <c r="G28" s="21">
        <f ca="1">'Electrification Scenario'!G34*(1-'Electrification Scenario'!G$8*('Electrification Scenario'!G34-'Electrification Scenario'!G$4)/('Electrification Scenario'!G$5-'Electrification Scenario'!G$4))*VLOOKUP(G$3,'Static Parameters'!$A$3:$B$9,2)*VLOOKUP($A28,'Growth Scenarios'!$E$3:$I$80,MATCH('Scenario Picker'!$B$3,'Growth Scenarios'!$F$2:$I$2,0)+1)/1000000000*VLOOKUP($A28,'Growth Scenarios'!$A$3:$D$80,MATCH('Scenario Picker'!$B$2,'Growth Scenarios'!$B$2:$D$2,0)+1)</f>
        <v>85.4254106417103</v>
      </c>
      <c r="H28" s="21">
        <f ca="1">'Electrification Scenario'!H34*(1-'Electrification Scenario'!H$8*('Electrification Scenario'!H34-'Electrification Scenario'!H$4)/('Electrification Scenario'!H$5-'Electrification Scenario'!H$4))*VLOOKUP(H$3,'Static Parameters'!$A$3:$B$9,2)*VLOOKUP($A28,'Growth Scenarios'!$E$3:$I$80,MATCH('Scenario Picker'!$B$3,'Growth Scenarios'!$F$2:$I$2,0)+1)/1000000000*VLOOKUP($A28,'Growth Scenarios'!$A$3:$D$80,MATCH('Scenario Picker'!$B$2,'Growth Scenarios'!$B$2:$D$2,0)+1)</f>
        <v>57.431080814282616</v>
      </c>
      <c r="I28" s="28">
        <f t="shared" ca="1" si="0"/>
        <v>316.4565649092641</v>
      </c>
      <c r="J28" s="25">
        <f ca="1">(1-'Electrification Scenario'!B34)*VLOOKUP(B$3,'Static Parameters'!$A$3:$B$9,2)*VLOOKUP($A28,'Growth Scenarios'!$E$3:$I$80,MATCH('Scenario Picker'!$B$3,'Growth Scenarios'!$F$2:$I$2,0)+1)/1000000000*VLOOKUP($A28,'Growth Scenarios'!$A$3:$D$80,MATCH('Scenario Picker'!$B$2,'Growth Scenarios'!$B$2:$D$2,0)+1)</f>
        <v>5.2335097589817812</v>
      </c>
      <c r="K28" s="21">
        <f ca="1">(1-'Electrification Scenario'!C34)*VLOOKUP(C$3,'Static Parameters'!$A$3:$B$9,2)*VLOOKUP($A28,'Growth Scenarios'!$E$3:$I$80,MATCH('Scenario Picker'!$B$3,'Growth Scenarios'!$F$2:$I$2,0)+1)/1000000000*VLOOKUP($A28,'Growth Scenarios'!$A$3:$D$80,MATCH('Scenario Picker'!$B$2,'Growth Scenarios'!$B$2:$D$2,0)+1)</f>
        <v>2.4008203597103677</v>
      </c>
      <c r="L28" s="21">
        <f ca="1">(1-'Electrification Scenario'!D34)*VLOOKUP(D$3,'Static Parameters'!$A$3:$B$9,2)*VLOOKUP($A28,'Growth Scenarios'!$E$3:$I$80,MATCH('Scenario Picker'!$B$3,'Growth Scenarios'!$F$2:$I$2,0)+1)/1000000000*VLOOKUP($A28,'Growth Scenarios'!$A$3:$D$80,MATCH('Scenario Picker'!$B$2,'Growth Scenarios'!$B$2:$D$2,0)+1)</f>
        <v>0.22967228940814008</v>
      </c>
      <c r="M28" s="21">
        <f ca="1">(1-'Electrification Scenario'!E34)*VLOOKUP(E$3,'Static Parameters'!$A$3:$B$9,2)*VLOOKUP($A28,'Growth Scenarios'!$E$3:$I$80,MATCH('Scenario Picker'!$B$3,'Growth Scenarios'!$F$2:$I$2,0)+1)/1000000000*VLOOKUP($A28,'Growth Scenarios'!$A$3:$D$80,MATCH('Scenario Picker'!$B$2,'Growth Scenarios'!$B$2:$D$2,0)+1)</f>
        <v>13.888885093517873</v>
      </c>
      <c r="N28" s="21">
        <f ca="1">(1-'Electrification Scenario'!F34)*VLOOKUP(F$3,'Static Parameters'!$A$3:$B$9,2)*VLOOKUP($A28,'Growth Scenarios'!$E$3:$I$80,MATCH('Scenario Picker'!$B$3,'Growth Scenarios'!$F$2:$I$2,0)+1)/1000000000*VLOOKUP($A28,'Growth Scenarios'!$A$3:$D$80,MATCH('Scenario Picker'!$B$2,'Growth Scenarios'!$B$2:$D$2,0)+1)</f>
        <v>2.2663450091301978</v>
      </c>
      <c r="O28" s="21">
        <f ca="1">(1-'Electrification Scenario'!G34)*VLOOKUP(G$3,'Static Parameters'!$A$3:$B$9,2)*VLOOKUP($A28,'Growth Scenarios'!$E$3:$I$80,MATCH('Scenario Picker'!$B$3,'Growth Scenarios'!$F$2:$I$2,0)+1)/1000000000*VLOOKUP($A28,'Growth Scenarios'!$A$3:$D$80,MATCH('Scenario Picker'!$B$2,'Growth Scenarios'!$B$2:$D$2,0)+1)</f>
        <v>9.4036000549583836</v>
      </c>
      <c r="P28" s="21">
        <f ca="1">(1-'Electrification Scenario'!H34)*VLOOKUP(H$3,'Static Parameters'!$A$3:$B$9,2)*VLOOKUP($A28,'Growth Scenarios'!$E$3:$I$80,MATCH('Scenario Picker'!$B$3,'Growth Scenarios'!$F$2:$I$2,0)+1)/1000000000*VLOOKUP($A28,'Growth Scenarios'!$A$3:$D$80,MATCH('Scenario Picker'!$B$2,'Growth Scenarios'!$B$2:$D$2,0)+1)</f>
        <v>51.966693176142059</v>
      </c>
      <c r="Q28" s="28">
        <f t="shared" ca="1" si="1"/>
        <v>85.3895257418488</v>
      </c>
      <c r="R28" s="28">
        <f t="shared" ca="1" si="2"/>
        <v>401.84609065111289</v>
      </c>
    </row>
    <row r="29" spans="1:18" ht="15" x14ac:dyDescent="0.35">
      <c r="A29" s="31">
        <v>2047</v>
      </c>
      <c r="B29" s="25">
        <f ca="1">'Electrification Scenario'!B35*(1-'Electrification Scenario'!B$8*('Electrification Scenario'!B35-'Electrification Scenario'!B$4)/('Electrification Scenario'!B$5-'Electrification Scenario'!B$4))*VLOOKUP(B$3,'Static Parameters'!$A$3:$B$9,2)*VLOOKUP($A29,'Growth Scenarios'!$E$3:$I$80,MATCH('Scenario Picker'!$B$3,'Growth Scenarios'!$F$2:$I$2,0)+1)/1000000000*VLOOKUP($A29,'Growth Scenarios'!$A$3:$D$80,MATCH('Scenario Picker'!$B$2,'Growth Scenarios'!$B$2:$D$2,0)+1)</f>
        <v>5.7573158342927799</v>
      </c>
      <c r="C29" s="21">
        <f ca="1">'Electrification Scenario'!C35*(1-'Electrification Scenario'!C$8*('Electrification Scenario'!C35-'Electrification Scenario'!C$4)/('Electrification Scenario'!C$5-'Electrification Scenario'!C$4))*VLOOKUP(C$3,'Static Parameters'!$A$3:$B$9,2)*VLOOKUP($A29,'Growth Scenarios'!$E$3:$I$80,MATCH('Scenario Picker'!$B$3,'Growth Scenarios'!$F$2:$I$2,0)+1)/1000000000*VLOOKUP($A29,'Growth Scenarios'!$A$3:$D$80,MATCH('Scenario Picker'!$B$2,'Growth Scenarios'!$B$2:$D$2,0)+1)</f>
        <v>35.221075962741843</v>
      </c>
      <c r="D29" s="21">
        <f ca="1">'Electrification Scenario'!D35*(1-'Electrification Scenario'!D$8*('Electrification Scenario'!D35-'Electrification Scenario'!D$4)/('Electrification Scenario'!D$5-'Electrification Scenario'!D$4))*VLOOKUP(D$3,'Static Parameters'!$A$3:$B$9,2)*VLOOKUP($A29,'Growth Scenarios'!$E$3:$I$80,MATCH('Scenario Picker'!$B$3,'Growth Scenarios'!$F$2:$I$2,0)+1)/1000000000*VLOOKUP($A29,'Growth Scenarios'!$A$3:$D$80,MATCH('Scenario Picker'!$B$2,'Growth Scenarios'!$B$2:$D$2,0)+1)</f>
        <v>0.23349966016799945</v>
      </c>
      <c r="E29" s="21">
        <f ca="1">'Electrification Scenario'!E35*(1-'Electrification Scenario'!E$8*('Electrification Scenario'!E35-'Electrification Scenario'!E$4)/('Electrification Scenario'!E$5-'Electrification Scenario'!E$4))*VLOOKUP(E$3,'Static Parameters'!$A$3:$B$9,2)*VLOOKUP($A29,'Growth Scenarios'!$E$3:$I$80,MATCH('Scenario Picker'!$B$3,'Growth Scenarios'!$F$2:$I$2,0)+1)/1000000000*VLOOKUP($A29,'Growth Scenarios'!$A$3:$D$80,MATCH('Scenario Picker'!$B$2,'Growth Scenarios'!$B$2:$D$2,0)+1)</f>
        <v>132.29720212142379</v>
      </c>
      <c r="F29" s="21">
        <f ca="1">'Electrification Scenario'!F35*(1-'Electrification Scenario'!F$8*('Electrification Scenario'!F35-'Electrification Scenario'!F$4)/('Electrification Scenario'!F$5-'Electrification Scenario'!F$4))*VLOOKUP(F$3,'Static Parameters'!$A$3:$B$9,2)*VLOOKUP($A29,'Growth Scenarios'!$E$3:$I$80,MATCH('Scenario Picker'!$B$3,'Growth Scenarios'!$F$2:$I$2,0)+1)/1000000000*VLOOKUP($A29,'Growth Scenarios'!$A$3:$D$80,MATCH('Scenario Picker'!$B$2,'Growth Scenarios'!$B$2:$D$2,0)+1)</f>
        <v>5.2238761181771043</v>
      </c>
      <c r="G29" s="21">
        <f ca="1">'Electrification Scenario'!G35*(1-'Electrification Scenario'!G$8*('Electrification Scenario'!G35-'Electrification Scenario'!G$4)/('Electrification Scenario'!G$5-'Electrification Scenario'!G$4))*VLOOKUP(G$3,'Static Parameters'!$A$3:$B$9,2)*VLOOKUP($A29,'Growth Scenarios'!$E$3:$I$80,MATCH('Scenario Picker'!$B$3,'Growth Scenarios'!$F$2:$I$2,0)+1)/1000000000*VLOOKUP($A29,'Growth Scenarios'!$A$3:$D$80,MATCH('Scenario Picker'!$B$2,'Growth Scenarios'!$B$2:$D$2,0)+1)</f>
        <v>88.257121893868998</v>
      </c>
      <c r="H29" s="21">
        <f ca="1">'Electrification Scenario'!H35*(1-'Electrification Scenario'!H$8*('Electrification Scenario'!H35-'Electrification Scenario'!H$4)/('Electrification Scenario'!H$5-'Electrification Scenario'!H$4))*VLOOKUP(H$3,'Static Parameters'!$A$3:$B$9,2)*VLOOKUP($A29,'Growth Scenarios'!$E$3:$I$80,MATCH('Scenario Picker'!$B$3,'Growth Scenarios'!$F$2:$I$2,0)+1)/1000000000*VLOOKUP($A29,'Growth Scenarios'!$A$3:$D$80,MATCH('Scenario Picker'!$B$2,'Growth Scenarios'!$B$2:$D$2,0)+1)</f>
        <v>58.537821781651942</v>
      </c>
      <c r="I29" s="28">
        <f t="shared" ca="1" si="0"/>
        <v>325.52791337232446</v>
      </c>
      <c r="J29" s="25">
        <f ca="1">(1-'Electrification Scenario'!B35)*VLOOKUP(B$3,'Static Parameters'!$A$3:$B$9,2)*VLOOKUP($A29,'Growth Scenarios'!$E$3:$I$80,MATCH('Scenario Picker'!$B$3,'Growth Scenarios'!$F$2:$I$2,0)+1)/1000000000*VLOOKUP($A29,'Growth Scenarios'!$A$3:$D$80,MATCH('Scenario Picker'!$B$2,'Growth Scenarios'!$B$2:$D$2,0)+1)</f>
        <v>5.161666596656981</v>
      </c>
      <c r="K29" s="21">
        <f ca="1">(1-'Electrification Scenario'!C35)*VLOOKUP(C$3,'Static Parameters'!$A$3:$B$9,2)*VLOOKUP($A29,'Growth Scenarios'!$E$3:$I$80,MATCH('Scenario Picker'!$B$3,'Growth Scenarios'!$F$2:$I$2,0)+1)/1000000000*VLOOKUP($A29,'Growth Scenarios'!$A$3:$D$80,MATCH('Scenario Picker'!$B$2,'Growth Scenarios'!$B$2:$D$2,0)+1)</f>
        <v>1.6202681423628797</v>
      </c>
      <c r="L29" s="21">
        <f ca="1">(1-'Electrification Scenario'!D35)*VLOOKUP(D$3,'Static Parameters'!$A$3:$B$9,2)*VLOOKUP($A29,'Growth Scenarios'!$E$3:$I$80,MATCH('Scenario Picker'!$B$3,'Growth Scenarios'!$F$2:$I$2,0)+1)/1000000000*VLOOKUP($A29,'Growth Scenarios'!$A$3:$D$80,MATCH('Scenario Picker'!$B$2,'Growth Scenarios'!$B$2:$D$2,0)+1)</f>
        <v>0.22290439385988331</v>
      </c>
      <c r="M29" s="21">
        <f ca="1">(1-'Electrification Scenario'!E35)*VLOOKUP(E$3,'Static Parameters'!$A$3:$B$9,2)*VLOOKUP($A29,'Growth Scenarios'!$E$3:$I$80,MATCH('Scenario Picker'!$B$3,'Growth Scenarios'!$F$2:$I$2,0)+1)/1000000000*VLOOKUP($A29,'Growth Scenarios'!$A$3:$D$80,MATCH('Scenario Picker'!$B$2,'Growth Scenarios'!$B$2:$D$2,0)+1)</f>
        <v>9.3733452229972567</v>
      </c>
      <c r="N29" s="21">
        <f ca="1">(1-'Electrification Scenario'!F35)*VLOOKUP(F$3,'Static Parameters'!$A$3:$B$9,2)*VLOOKUP($A29,'Growth Scenarios'!$E$3:$I$80,MATCH('Scenario Picker'!$B$3,'Growth Scenarios'!$F$2:$I$2,0)+1)/1000000000*VLOOKUP($A29,'Growth Scenarios'!$A$3:$D$80,MATCH('Scenario Picker'!$B$2,'Growth Scenarios'!$B$2:$D$2,0)+1)</f>
        <v>2.2509818051298587</v>
      </c>
      <c r="O29" s="21">
        <f ca="1">(1-'Electrification Scenario'!G35)*VLOOKUP(G$3,'Static Parameters'!$A$3:$B$9,2)*VLOOKUP($A29,'Growth Scenarios'!$E$3:$I$80,MATCH('Scenario Picker'!$B$3,'Growth Scenarios'!$F$2:$I$2,0)+1)/1000000000*VLOOKUP($A29,'Growth Scenarios'!$A$3:$D$80,MATCH('Scenario Picker'!$B$2,'Growth Scenarios'!$B$2:$D$2,0)+1)</f>
        <v>6.3463113893323522</v>
      </c>
      <c r="P29" s="21">
        <f ca="1">(1-'Electrification Scenario'!H35)*VLOOKUP(H$3,'Static Parameters'!$A$3:$B$9,2)*VLOOKUP($A29,'Growth Scenarios'!$E$3:$I$80,MATCH('Scenario Picker'!$B$3,'Growth Scenarios'!$F$2:$I$2,0)+1)/1000000000*VLOOKUP($A29,'Growth Scenarios'!$A$3:$D$80,MATCH('Scenario Picker'!$B$2,'Growth Scenarios'!$B$2:$D$2,0)+1)</f>
        <v>48.142648102335272</v>
      </c>
      <c r="Q29" s="28">
        <f t="shared" ca="1" si="1"/>
        <v>73.118125652674479</v>
      </c>
      <c r="R29" s="28">
        <f t="shared" ca="1" si="2"/>
        <v>398.64603902499891</v>
      </c>
    </row>
    <row r="30" spans="1:18" ht="15" x14ac:dyDescent="0.35">
      <c r="A30" s="31">
        <v>2048</v>
      </c>
      <c r="B30" s="25">
        <f ca="1">'Electrification Scenario'!B36*(1-'Electrification Scenario'!B$8*('Electrification Scenario'!B36-'Electrification Scenario'!B$4)/('Electrification Scenario'!B$5-'Electrification Scenario'!B$4))*VLOOKUP(B$3,'Static Parameters'!$A$3:$B$9,2)*VLOOKUP($A30,'Growth Scenarios'!$E$3:$I$80,MATCH('Scenario Picker'!$B$3,'Growth Scenarios'!$F$2:$I$2,0)+1)/1000000000*VLOOKUP($A30,'Growth Scenarios'!$A$3:$D$80,MATCH('Scenario Picker'!$B$2,'Growth Scenarios'!$B$2:$D$2,0)+1)</f>
        <v>5.8846591142314111</v>
      </c>
      <c r="C30" s="21">
        <f ca="1">'Electrification Scenario'!C36*(1-'Electrification Scenario'!C$8*('Electrification Scenario'!C36-'Electrification Scenario'!C$4)/('Electrification Scenario'!C$5-'Electrification Scenario'!C$4))*VLOOKUP(C$3,'Static Parameters'!$A$3:$B$9,2)*VLOOKUP($A30,'Growth Scenarios'!$E$3:$I$80,MATCH('Scenario Picker'!$B$3,'Growth Scenarios'!$F$2:$I$2,0)+1)/1000000000*VLOOKUP($A30,'Growth Scenarios'!$A$3:$D$80,MATCH('Scenario Picker'!$B$2,'Growth Scenarios'!$B$2:$D$2,0)+1)</f>
        <v>35.980596974735619</v>
      </c>
      <c r="D30" s="21">
        <f ca="1">'Electrification Scenario'!D36*(1-'Electrification Scenario'!D$8*('Electrification Scenario'!D36-'Electrification Scenario'!D$4)/('Electrification Scenario'!D$5-'Electrification Scenario'!D$4))*VLOOKUP(D$3,'Static Parameters'!$A$3:$B$9,2)*VLOOKUP($A30,'Growth Scenarios'!$E$3:$I$80,MATCH('Scenario Picker'!$B$3,'Growth Scenarios'!$F$2:$I$2,0)+1)/1000000000*VLOOKUP($A30,'Growth Scenarios'!$A$3:$D$80,MATCH('Scenario Picker'!$B$2,'Growth Scenarios'!$B$2:$D$2,0)+1)</f>
        <v>0.2419910712389414</v>
      </c>
      <c r="E30" s="21">
        <f ca="1">'Electrification Scenario'!E36*(1-'Electrification Scenario'!E$8*('Electrification Scenario'!E36-'Electrification Scenario'!E$4)/('Electrification Scenario'!E$5-'Electrification Scenario'!E$4))*VLOOKUP(E$3,'Static Parameters'!$A$3:$B$9,2)*VLOOKUP($A30,'Growth Scenarios'!$E$3:$I$80,MATCH('Scenario Picker'!$B$3,'Growth Scenarios'!$F$2:$I$2,0)+1)/1000000000*VLOOKUP($A30,'Growth Scenarios'!$A$3:$D$80,MATCH('Scenario Picker'!$B$2,'Growth Scenarios'!$B$2:$D$2,0)+1)</f>
        <v>136.49401473065939</v>
      </c>
      <c r="F30" s="21">
        <f ca="1">'Electrification Scenario'!F36*(1-'Electrification Scenario'!F$8*('Electrification Scenario'!F36-'Electrification Scenario'!F$4)/('Electrification Scenario'!F$5-'Electrification Scenario'!F$4))*VLOOKUP(F$3,'Static Parameters'!$A$3:$B$9,2)*VLOOKUP($A30,'Growth Scenarios'!$E$3:$I$80,MATCH('Scenario Picker'!$B$3,'Growth Scenarios'!$F$2:$I$2,0)+1)/1000000000*VLOOKUP($A30,'Growth Scenarios'!$A$3:$D$80,MATCH('Scenario Picker'!$B$2,'Growth Scenarios'!$B$2:$D$2,0)+1)</f>
        <v>5.2736757014077442</v>
      </c>
      <c r="G30" s="21">
        <f ca="1">'Electrification Scenario'!G36*(1-'Electrification Scenario'!G$8*('Electrification Scenario'!G36-'Electrification Scenario'!G$4)/('Electrification Scenario'!G$5-'Electrification Scenario'!G$4))*VLOOKUP(G$3,'Static Parameters'!$A$3:$B$9,2)*VLOOKUP($A30,'Growth Scenarios'!$E$3:$I$80,MATCH('Scenario Picker'!$B$3,'Growth Scenarios'!$F$2:$I$2,0)+1)/1000000000*VLOOKUP($A30,'Growth Scenarios'!$A$3:$D$80,MATCH('Scenario Picker'!$B$2,'Growth Scenarios'!$B$2:$D$2,0)+1)</f>
        <v>91.09498432872924</v>
      </c>
      <c r="H30" s="21">
        <f ca="1">'Electrification Scenario'!H36*(1-'Electrification Scenario'!H$8*('Electrification Scenario'!H36-'Electrification Scenario'!H$4)/('Electrification Scenario'!H$5-'Electrification Scenario'!H$4))*VLOOKUP(H$3,'Static Parameters'!$A$3:$B$9,2)*VLOOKUP($A30,'Growth Scenarios'!$E$3:$I$80,MATCH('Scenario Picker'!$B$3,'Growth Scenarios'!$F$2:$I$2,0)+1)/1000000000*VLOOKUP($A30,'Growth Scenarios'!$A$3:$D$80,MATCH('Scenario Picker'!$B$2,'Growth Scenarios'!$B$2:$D$2,0)+1)</f>
        <v>59.488484069862537</v>
      </c>
      <c r="I30" s="28">
        <f t="shared" ca="1" si="0"/>
        <v>334.45840599086489</v>
      </c>
      <c r="J30" s="25">
        <f ca="1">(1-'Electrification Scenario'!B36)*VLOOKUP(B$3,'Static Parameters'!$A$3:$B$9,2)*VLOOKUP($A30,'Growth Scenarios'!$E$3:$I$80,MATCH('Scenario Picker'!$B$3,'Growth Scenarios'!$F$2:$I$2,0)+1)/1000000000*VLOOKUP($A30,'Growth Scenarios'!$A$3:$D$80,MATCH('Scenario Picker'!$B$2,'Growth Scenarios'!$B$2:$D$2,0)+1)</f>
        <v>5.0871890585346602</v>
      </c>
      <c r="K30" s="21">
        <f ca="1">(1-'Electrification Scenario'!C36)*VLOOKUP(C$3,'Static Parameters'!$A$3:$B$9,2)*VLOOKUP($A30,'Growth Scenarios'!$E$3:$I$80,MATCH('Scenario Picker'!$B$3,'Growth Scenarios'!$F$2:$I$2,0)+1)/1000000000*VLOOKUP($A30,'Growth Scenarios'!$A$3:$D$80,MATCH('Scenario Picker'!$B$2,'Growth Scenarios'!$B$2:$D$2,0)+1)</f>
        <v>0.82010500257637109</v>
      </c>
      <c r="L30" s="21">
        <f ca="1">(1-'Electrification Scenario'!D36)*VLOOKUP(D$3,'Static Parameters'!$A$3:$B$9,2)*VLOOKUP($A30,'Growth Scenarios'!$E$3:$I$80,MATCH('Scenario Picker'!$B$3,'Growth Scenarios'!$F$2:$I$2,0)+1)/1000000000*VLOOKUP($A30,'Growth Scenarios'!$A$3:$D$80,MATCH('Scenario Picker'!$B$2,'Growth Scenarios'!$B$2:$D$2,0)+1)</f>
        <v>0.2159319022740975</v>
      </c>
      <c r="M30" s="21">
        <f ca="1">(1-'Electrification Scenario'!E36)*VLOOKUP(E$3,'Static Parameters'!$A$3:$B$9,2)*VLOOKUP($A30,'Growth Scenarios'!$E$3:$I$80,MATCH('Scenario Picker'!$B$3,'Growth Scenarios'!$F$2:$I$2,0)+1)/1000000000*VLOOKUP($A30,'Growth Scenarios'!$A$3:$D$80,MATCH('Scenario Picker'!$B$2,'Growth Scenarios'!$B$2:$D$2,0)+1)</f>
        <v>4.7443550282023148</v>
      </c>
      <c r="N30" s="21">
        <f ca="1">(1-'Electrification Scenario'!F36)*VLOOKUP(F$3,'Static Parameters'!$A$3:$B$9,2)*VLOOKUP($A30,'Growth Scenarios'!$E$3:$I$80,MATCH('Scenario Picker'!$B$3,'Growth Scenarios'!$F$2:$I$2,0)+1)/1000000000*VLOOKUP($A30,'Growth Scenarios'!$A$3:$D$80,MATCH('Scenario Picker'!$B$2,'Growth Scenarios'!$B$2:$D$2,0)+1)</f>
        <v>2.2348654458506454</v>
      </c>
      <c r="O30" s="21">
        <f ca="1">(1-'Electrification Scenario'!G36)*VLOOKUP(G$3,'Static Parameters'!$A$3:$B$9,2)*VLOOKUP($A30,'Growth Scenarios'!$E$3:$I$80,MATCH('Scenario Picker'!$B$3,'Growth Scenarios'!$F$2:$I$2,0)+1)/1000000000*VLOOKUP($A30,'Growth Scenarios'!$A$3:$D$80,MATCH('Scenario Picker'!$B$2,'Growth Scenarios'!$B$2:$D$2,0)+1)</f>
        <v>3.2122101164741759</v>
      </c>
      <c r="P30" s="21">
        <f ca="1">(1-'Electrification Scenario'!H36)*VLOOKUP(H$3,'Static Parameters'!$A$3:$B$9,2)*VLOOKUP($A30,'Growth Scenarios'!$E$3:$I$80,MATCH('Scenario Picker'!$B$3,'Growth Scenarios'!$F$2:$I$2,0)+1)/1000000000*VLOOKUP($A30,'Growth Scenarios'!$A$3:$D$80,MATCH('Scenario Picker'!$B$2,'Growth Scenarios'!$B$2:$D$2,0)+1)</f>
        <v>44.215873968691952</v>
      </c>
      <c r="Q30" s="28">
        <f t="shared" ca="1" si="1"/>
        <v>60.530530522604217</v>
      </c>
      <c r="R30" s="28">
        <f t="shared" ca="1" si="2"/>
        <v>394.98893651346913</v>
      </c>
    </row>
    <row r="31" spans="1:18" ht="15" x14ac:dyDescent="0.35">
      <c r="A31" s="31">
        <v>2049</v>
      </c>
      <c r="B31" s="25">
        <f ca="1">'Electrification Scenario'!B37*(1-'Electrification Scenario'!B$8*('Electrification Scenario'!B37-'Electrification Scenario'!B$4)/('Electrification Scenario'!B$5-'Electrification Scenario'!B$4))*VLOOKUP(B$3,'Static Parameters'!$A$3:$B$9,2)*VLOOKUP($A31,'Growth Scenarios'!$E$3:$I$80,MATCH('Scenario Picker'!$B$3,'Growth Scenarios'!$F$2:$I$2,0)+1)/1000000000*VLOOKUP($A31,'Growth Scenarios'!$A$3:$D$80,MATCH('Scenario Picker'!$B$2,'Growth Scenarios'!$B$2:$D$2,0)+1)</f>
        <v>6.011942579335332</v>
      </c>
      <c r="C31" s="21">
        <f ca="1">'Electrification Scenario'!C37*(1-'Electrification Scenario'!C$8*('Electrification Scenario'!C37-'Electrification Scenario'!C$4)/('Electrification Scenario'!C$5-'Electrification Scenario'!C$4))*VLOOKUP(C$3,'Static Parameters'!$A$3:$B$9,2)*VLOOKUP($A31,'Growth Scenarios'!$E$3:$I$80,MATCH('Scenario Picker'!$B$3,'Growth Scenarios'!$F$2:$I$2,0)+1)/1000000000*VLOOKUP($A31,'Growth Scenarios'!$A$3:$D$80,MATCH('Scenario Picker'!$B$2,'Growth Scenarios'!$B$2:$D$2,0)+1)</f>
        <v>36.739649095938155</v>
      </c>
      <c r="D31" s="21">
        <f ca="1">'Electrification Scenario'!D37*(1-'Electrification Scenario'!D$8*('Electrification Scenario'!D37-'Electrification Scenario'!D$4)/('Electrification Scenario'!D$5-'Electrification Scenario'!D$4))*VLOOKUP(D$3,'Static Parameters'!$A$3:$B$9,2)*VLOOKUP($A31,'Growth Scenarios'!$E$3:$I$80,MATCH('Scenario Picker'!$B$3,'Growth Scenarios'!$F$2:$I$2,0)+1)/1000000000*VLOOKUP($A31,'Growth Scenarios'!$A$3:$D$80,MATCH('Scenario Picker'!$B$2,'Growth Scenarios'!$B$2:$D$2,0)+1)</f>
        <v>0.25049760747230554</v>
      </c>
      <c r="E31" s="21">
        <f ca="1">'Electrification Scenario'!E37*(1-'Electrification Scenario'!E$8*('Electrification Scenario'!E37-'Electrification Scenario'!E$4)/('Electrification Scenario'!E$5-'Electrification Scenario'!E$4))*VLOOKUP(E$3,'Static Parameters'!$A$3:$B$9,2)*VLOOKUP($A31,'Growth Scenarios'!$E$3:$I$80,MATCH('Scenario Picker'!$B$3,'Growth Scenarios'!$F$2:$I$2,0)+1)/1000000000*VLOOKUP($A31,'Growth Scenarios'!$A$3:$D$80,MATCH('Scenario Picker'!$B$2,'Growth Scenarios'!$B$2:$D$2,0)+1)</f>
        <v>140.69615619694494</v>
      </c>
      <c r="F31" s="21">
        <f ca="1">'Electrification Scenario'!F37*(1-'Electrification Scenario'!F$8*('Electrification Scenario'!F37-'Electrification Scenario'!F$4)/('Electrification Scenario'!F$5-'Electrification Scenario'!F$4))*VLOOKUP(F$3,'Static Parameters'!$A$3:$B$9,2)*VLOOKUP($A31,'Growth Scenarios'!$E$3:$I$80,MATCH('Scenario Picker'!$B$3,'Growth Scenarios'!$F$2:$I$2,0)+1)/1000000000*VLOOKUP($A31,'Growth Scenarios'!$A$3:$D$80,MATCH('Scenario Picker'!$B$2,'Growth Scenarios'!$B$2:$D$2,0)+1)</f>
        <v>5.3230741587864934</v>
      </c>
      <c r="G31" s="21">
        <f ca="1">'Electrification Scenario'!G37*(1-'Electrification Scenario'!G$8*('Electrification Scenario'!G37-'Electrification Scenario'!G$4)/('Electrification Scenario'!G$5-'Electrification Scenario'!G$4))*VLOOKUP(G$3,'Static Parameters'!$A$3:$B$9,2)*VLOOKUP($A31,'Growth Scenarios'!$E$3:$I$80,MATCH('Scenario Picker'!$B$3,'Growth Scenarios'!$F$2:$I$2,0)+1)/1000000000*VLOOKUP($A31,'Growth Scenarios'!$A$3:$D$80,MATCH('Scenario Picker'!$B$2,'Growth Scenarios'!$B$2:$D$2,0)+1)</f>
        <v>93.936602802114578</v>
      </c>
      <c r="H31" s="21">
        <f ca="1">'Electrification Scenario'!H37*(1-'Electrification Scenario'!H$8*('Electrification Scenario'!H37-'Electrification Scenario'!H$4)/('Electrification Scenario'!H$5-'Electrification Scenario'!H$4))*VLOOKUP(H$3,'Static Parameters'!$A$3:$B$9,2)*VLOOKUP($A31,'Growth Scenarios'!$E$3:$I$80,MATCH('Scenario Picker'!$B$3,'Growth Scenarios'!$F$2:$I$2,0)+1)/1000000000*VLOOKUP($A31,'Growth Scenarios'!$A$3:$D$80,MATCH('Scenario Picker'!$B$2,'Growth Scenarios'!$B$2:$D$2,0)+1)</f>
        <v>60.275986798023517</v>
      </c>
      <c r="I31" s="28">
        <f t="shared" ca="1" si="0"/>
        <v>343.2339092386153</v>
      </c>
      <c r="J31" s="25">
        <f ca="1">(1-'Electrification Scenario'!B37)*VLOOKUP(B$3,'Static Parameters'!$A$3:$B$9,2)*VLOOKUP($A31,'Growth Scenarios'!$E$3:$I$80,MATCH('Scenario Picker'!$B$3,'Growth Scenarios'!$F$2:$I$2,0)+1)/1000000000*VLOOKUP($A31,'Growth Scenarios'!$A$3:$D$80,MATCH('Scenario Picker'!$B$2,'Growth Scenarios'!$B$2:$D$2,0)+1)</f>
        <v>5.0099521494461108</v>
      </c>
      <c r="K31" s="21">
        <f ca="1">(1-'Electrification Scenario'!C37)*VLOOKUP(C$3,'Static Parameters'!$A$3:$B$9,2)*VLOOKUP($A31,'Growth Scenarios'!$E$3:$I$80,MATCH('Scenario Picker'!$B$3,'Growth Scenarios'!$F$2:$I$2,0)+1)/1000000000*VLOOKUP($A31,'Growth Scenarios'!$A$3:$D$80,MATCH('Scenario Picker'!$B$2,'Growth Scenarios'!$B$2:$D$2,0)+1)</f>
        <v>0</v>
      </c>
      <c r="L31" s="21">
        <f ca="1">(1-'Electrification Scenario'!D37)*VLOOKUP(D$3,'Static Parameters'!$A$3:$B$9,2)*VLOOKUP($A31,'Growth Scenarios'!$E$3:$I$80,MATCH('Scenario Picker'!$B$3,'Growth Scenarios'!$F$2:$I$2,0)+1)/1000000000*VLOOKUP($A31,'Growth Scenarios'!$A$3:$D$80,MATCH('Scenario Picker'!$B$2,'Growth Scenarios'!$B$2:$D$2,0)+1)</f>
        <v>0.20874800622692127</v>
      </c>
      <c r="M31" s="21">
        <f ca="1">(1-'Electrification Scenario'!E37)*VLOOKUP(E$3,'Static Parameters'!$A$3:$B$9,2)*VLOOKUP($A31,'Growth Scenarios'!$E$3:$I$80,MATCH('Scenario Picker'!$B$3,'Growth Scenarios'!$F$2:$I$2,0)+1)/1000000000*VLOOKUP($A31,'Growth Scenarios'!$A$3:$D$80,MATCH('Scenario Picker'!$B$2,'Growth Scenarios'!$B$2:$D$2,0)+1)</f>
        <v>0</v>
      </c>
      <c r="N31" s="21">
        <f ca="1">(1-'Electrification Scenario'!F37)*VLOOKUP(F$3,'Static Parameters'!$A$3:$B$9,2)*VLOOKUP($A31,'Growth Scenarios'!$E$3:$I$80,MATCH('Scenario Picker'!$B$3,'Growth Scenarios'!$F$2:$I$2,0)+1)/1000000000*VLOOKUP($A31,'Growth Scenarios'!$A$3:$D$80,MATCH('Scenario Picker'!$B$2,'Growth Scenarios'!$B$2:$D$2,0)+1)</f>
        <v>2.2179475661610386</v>
      </c>
      <c r="O31" s="21">
        <f ca="1">(1-'Electrification Scenario'!G37)*VLOOKUP(G$3,'Static Parameters'!$A$3:$B$9,2)*VLOOKUP($A31,'Growth Scenarios'!$E$3:$I$80,MATCH('Scenario Picker'!$B$3,'Growth Scenarios'!$F$2:$I$2,0)+1)/1000000000*VLOOKUP($A31,'Growth Scenarios'!$A$3:$D$80,MATCH('Scenario Picker'!$B$2,'Growth Scenarios'!$B$2:$D$2,0)+1)</f>
        <v>0</v>
      </c>
      <c r="P31" s="21">
        <f ca="1">(1-'Electrification Scenario'!H37)*VLOOKUP(H$3,'Static Parameters'!$A$3:$B$9,2)*VLOOKUP($A31,'Growth Scenarios'!$E$3:$I$80,MATCH('Scenario Picker'!$B$3,'Growth Scenarios'!$F$2:$I$2,0)+1)/1000000000*VLOOKUP($A31,'Growth Scenarios'!$A$3:$D$80,MATCH('Scenario Picker'!$B$2,'Growth Scenarios'!$B$2:$D$2,0)+1)</f>
        <v>40.183991198682342</v>
      </c>
      <c r="Q31" s="28">
        <f t="shared" ca="1" si="1"/>
        <v>47.620638920516413</v>
      </c>
      <c r="R31" s="28">
        <f t="shared" ca="1" si="2"/>
        <v>390.8545481591317</v>
      </c>
    </row>
    <row r="32" spans="1:18" ht="15" x14ac:dyDescent="0.35">
      <c r="A32" s="31">
        <v>2050</v>
      </c>
      <c r="B32" s="25">
        <f ca="1">'Electrification Scenario'!B38*(1-'Electrification Scenario'!B$8*('Electrification Scenario'!B38-'Electrification Scenario'!B$4)/('Electrification Scenario'!B$5-'Electrification Scenario'!B$4))*VLOOKUP(B$3,'Static Parameters'!$A$3:$B$9,2)*VLOOKUP($A32,'Growth Scenarios'!$E$3:$I$80,MATCH('Scenario Picker'!$B$3,'Growth Scenarios'!$F$2:$I$2,0)+1)/1000000000*VLOOKUP($A32,'Growth Scenarios'!$A$3:$D$80,MATCH('Scenario Picker'!$B$2,'Growth Scenarios'!$B$2:$D$2,0)+1)</f>
        <v>6.085467823423202</v>
      </c>
      <c r="C32" s="21">
        <f ca="1">'Electrification Scenario'!C38*(1-'Electrification Scenario'!C$8*('Electrification Scenario'!C38-'Electrification Scenario'!C$4)/('Electrification Scenario'!C$5-'Electrification Scenario'!C$4))*VLOOKUP(C$3,'Static Parameters'!$A$3:$B$9,2)*VLOOKUP($A32,'Growth Scenarios'!$E$3:$I$80,MATCH('Scenario Picker'!$B$3,'Growth Scenarios'!$F$2:$I$2,0)+1)/1000000000*VLOOKUP($A32,'Growth Scenarios'!$A$3:$D$80,MATCH('Scenario Picker'!$B$2,'Growth Scenarios'!$B$2:$D$2,0)+1)</f>
        <v>37.188970032030682</v>
      </c>
      <c r="D32" s="21">
        <f ca="1">'Electrification Scenario'!D38*(1-'Electrification Scenario'!D$8*('Electrification Scenario'!D38-'Electrification Scenario'!D$4)/('Electrification Scenario'!D$5-'Electrification Scenario'!D$4))*VLOOKUP(D$3,'Static Parameters'!$A$3:$B$9,2)*VLOOKUP($A32,'Growth Scenarios'!$E$3:$I$80,MATCH('Scenario Picker'!$B$3,'Growth Scenarios'!$F$2:$I$2,0)+1)/1000000000*VLOOKUP($A32,'Growth Scenarios'!$A$3:$D$80,MATCH('Scenario Picker'!$B$2,'Growth Scenarios'!$B$2:$D$2,0)+1)</f>
        <v>0.25356115930930007</v>
      </c>
      <c r="E32" s="21">
        <f ca="1">'Electrification Scenario'!E38*(1-'Electrification Scenario'!E$8*('Electrification Scenario'!E38-'Electrification Scenario'!E$4)/('Electrification Scenario'!E$5-'Electrification Scenario'!E$4))*VLOOKUP(E$3,'Static Parameters'!$A$3:$B$9,2)*VLOOKUP($A32,'Growth Scenarios'!$E$3:$I$80,MATCH('Scenario Picker'!$B$3,'Growth Scenarios'!$F$2:$I$2,0)+1)/1000000000*VLOOKUP($A32,'Growth Scenarios'!$A$3:$D$80,MATCH('Scenario Picker'!$B$2,'Growth Scenarios'!$B$2:$D$2,0)+1)</f>
        <v>142.41685114539024</v>
      </c>
      <c r="F32" s="21">
        <f ca="1">'Electrification Scenario'!F38*(1-'Electrification Scenario'!F$8*('Electrification Scenario'!F38-'Electrification Scenario'!F$4)/('Electrification Scenario'!F$5-'Electrification Scenario'!F$4))*VLOOKUP(F$3,'Static Parameters'!$A$3:$B$9,2)*VLOOKUP($A32,'Growth Scenarios'!$E$3:$I$80,MATCH('Scenario Picker'!$B$3,'Growth Scenarios'!$F$2:$I$2,0)+1)/1000000000*VLOOKUP($A32,'Growth Scenarios'!$A$3:$D$80,MATCH('Scenario Picker'!$B$2,'Growth Scenarios'!$B$2:$D$2,0)+1)</f>
        <v>5.3881746353226285</v>
      </c>
      <c r="G32" s="21">
        <f ca="1">'Electrification Scenario'!G38*(1-'Electrification Scenario'!G$8*('Electrification Scenario'!G38-'Electrification Scenario'!G$4)/('Electrification Scenario'!G$5-'Electrification Scenario'!G$4))*VLOOKUP(G$3,'Static Parameters'!$A$3:$B$9,2)*VLOOKUP($A32,'Growth Scenarios'!$E$3:$I$80,MATCH('Scenario Picker'!$B$3,'Growth Scenarios'!$F$2:$I$2,0)+1)/1000000000*VLOOKUP($A32,'Growth Scenarios'!$A$3:$D$80,MATCH('Scenario Picker'!$B$2,'Growth Scenarios'!$B$2:$D$2,0)+1)</f>
        <v>95.085434740987537</v>
      </c>
      <c r="H32" s="21">
        <f ca="1">'Electrification Scenario'!H38*(1-'Electrification Scenario'!H$8*('Electrification Scenario'!H38-'Electrification Scenario'!H$4)/('Electrification Scenario'!H$5-'Electrification Scenario'!H$4))*VLOOKUP(H$3,'Static Parameters'!$A$3:$B$9,2)*VLOOKUP($A32,'Growth Scenarios'!$E$3:$I$80,MATCH('Scenario Picker'!$B$3,'Growth Scenarios'!$F$2:$I$2,0)+1)/1000000000*VLOOKUP($A32,'Growth Scenarios'!$A$3:$D$80,MATCH('Scenario Picker'!$B$2,'Growth Scenarios'!$B$2:$D$2,0)+1)</f>
        <v>61.013153958800331</v>
      </c>
      <c r="I32" s="28">
        <f t="shared" ca="1" si="0"/>
        <v>347.43161349526389</v>
      </c>
      <c r="J32" s="25">
        <f ca="1">(1-'Electrification Scenario'!B38)*VLOOKUP(B$3,'Static Parameters'!$A$3:$B$9,2)*VLOOKUP($A32,'Growth Scenarios'!$E$3:$I$80,MATCH('Scenario Picker'!$B$3,'Growth Scenarios'!$F$2:$I$2,0)+1)/1000000000*VLOOKUP($A32,'Growth Scenarios'!$A$3:$D$80,MATCH('Scenario Picker'!$B$2,'Growth Scenarios'!$B$2:$D$2,0)+1)</f>
        <v>5.0712231861860024</v>
      </c>
      <c r="K32" s="21">
        <f ca="1">(1-'Electrification Scenario'!C38)*VLOOKUP(C$3,'Static Parameters'!$A$3:$B$9,2)*VLOOKUP($A32,'Growth Scenarios'!$E$3:$I$80,MATCH('Scenario Picker'!$B$3,'Growth Scenarios'!$F$2:$I$2,0)+1)/1000000000*VLOOKUP($A32,'Growth Scenarios'!$A$3:$D$80,MATCH('Scenario Picker'!$B$2,'Growth Scenarios'!$B$2:$D$2,0)+1)</f>
        <v>0</v>
      </c>
      <c r="L32" s="21">
        <f ca="1">(1-'Electrification Scenario'!D38)*VLOOKUP(D$3,'Static Parameters'!$A$3:$B$9,2)*VLOOKUP($A32,'Growth Scenarios'!$E$3:$I$80,MATCH('Scenario Picker'!$B$3,'Growth Scenarios'!$F$2:$I$2,0)+1)/1000000000*VLOOKUP($A32,'Growth Scenarios'!$A$3:$D$80,MATCH('Scenario Picker'!$B$2,'Growth Scenarios'!$B$2:$D$2,0)+1)</f>
        <v>0.2113009660910834</v>
      </c>
      <c r="M32" s="21">
        <f ca="1">(1-'Electrification Scenario'!E38)*VLOOKUP(E$3,'Static Parameters'!$A$3:$B$9,2)*VLOOKUP($A32,'Growth Scenarios'!$E$3:$I$80,MATCH('Scenario Picker'!$B$3,'Growth Scenarios'!$F$2:$I$2,0)+1)/1000000000*VLOOKUP($A32,'Growth Scenarios'!$A$3:$D$80,MATCH('Scenario Picker'!$B$2,'Growth Scenarios'!$B$2:$D$2,0)+1)</f>
        <v>0</v>
      </c>
      <c r="N32" s="21">
        <f ca="1">(1-'Electrification Scenario'!F38)*VLOOKUP(F$3,'Static Parameters'!$A$3:$B$9,2)*VLOOKUP($A32,'Growth Scenarios'!$E$3:$I$80,MATCH('Scenario Picker'!$B$3,'Growth Scenarios'!$F$2:$I$2,0)+1)/1000000000*VLOOKUP($A32,'Growth Scenarios'!$A$3:$D$80,MATCH('Scenario Picker'!$B$2,'Growth Scenarios'!$B$2:$D$2,0)+1)</f>
        <v>2.2450727647177615</v>
      </c>
      <c r="O32" s="21">
        <f ca="1">(1-'Electrification Scenario'!G38)*VLOOKUP(G$3,'Static Parameters'!$A$3:$B$9,2)*VLOOKUP($A32,'Growth Scenarios'!$E$3:$I$80,MATCH('Scenario Picker'!$B$3,'Growth Scenarios'!$F$2:$I$2,0)+1)/1000000000*VLOOKUP($A32,'Growth Scenarios'!$A$3:$D$80,MATCH('Scenario Picker'!$B$2,'Growth Scenarios'!$B$2:$D$2,0)+1)</f>
        <v>0</v>
      </c>
      <c r="P32" s="21">
        <f ca="1">(1-'Electrification Scenario'!H38)*VLOOKUP(H$3,'Static Parameters'!$A$3:$B$9,2)*VLOOKUP($A32,'Growth Scenarios'!$E$3:$I$80,MATCH('Scenario Picker'!$B$3,'Growth Scenarios'!$F$2:$I$2,0)+1)/1000000000*VLOOKUP($A32,'Growth Scenarios'!$A$3:$D$80,MATCH('Scenario Picker'!$B$2,'Growth Scenarios'!$B$2:$D$2,0)+1)</f>
        <v>40.675435972533556</v>
      </c>
      <c r="Q32" s="28">
        <f t="shared" ca="1" si="1"/>
        <v>48.203032889528401</v>
      </c>
      <c r="R32" s="28">
        <f t="shared" ca="1" si="2"/>
        <v>395.63464638479229</v>
      </c>
    </row>
    <row r="33" spans="1:18" ht="15" x14ac:dyDescent="0.35">
      <c r="A33" s="31">
        <v>2051</v>
      </c>
      <c r="B33" s="25">
        <f ca="1">'Electrification Scenario'!B39*(1-'Electrification Scenario'!B$8*('Electrification Scenario'!B39-'Electrification Scenario'!B$4)/('Electrification Scenario'!B$5-'Electrification Scenario'!B$4))*VLOOKUP(B$3,'Static Parameters'!$A$3:$B$9,2)*VLOOKUP($A33,'Growth Scenarios'!$E$3:$I$80,MATCH('Scenario Picker'!$B$3,'Growth Scenarios'!$F$2:$I$2,0)+1)/1000000000*VLOOKUP($A33,'Growth Scenarios'!$A$3:$D$80,MATCH('Scenario Picker'!$B$2,'Growth Scenarios'!$B$2:$D$2,0)+1)</f>
        <v>6.1594936492290229</v>
      </c>
      <c r="C33" s="21">
        <f ca="1">'Electrification Scenario'!C39*(1-'Electrification Scenario'!C$8*('Electrification Scenario'!C39-'Electrification Scenario'!C$4)/('Electrification Scenario'!C$5-'Electrification Scenario'!C$4))*VLOOKUP(C$3,'Static Parameters'!$A$3:$B$9,2)*VLOOKUP($A33,'Growth Scenarios'!$E$3:$I$80,MATCH('Scenario Picker'!$B$3,'Growth Scenarios'!$F$2:$I$2,0)+1)/1000000000*VLOOKUP($A33,'Growth Scenarios'!$A$3:$D$80,MATCH('Scenario Picker'!$B$2,'Growth Scenarios'!$B$2:$D$2,0)+1)</f>
        <v>37.641350078621812</v>
      </c>
      <c r="D33" s="21">
        <f ca="1">'Electrification Scenario'!D39*(1-'Electrification Scenario'!D$8*('Electrification Scenario'!D39-'Electrification Scenario'!D$4)/('Electrification Scenario'!D$5-'Electrification Scenario'!D$4))*VLOOKUP(D$3,'Static Parameters'!$A$3:$B$9,2)*VLOOKUP($A33,'Growth Scenarios'!$E$3:$I$80,MATCH('Scenario Picker'!$B$3,'Growth Scenarios'!$F$2:$I$2,0)+1)/1000000000*VLOOKUP($A33,'Growth Scenarios'!$A$3:$D$80,MATCH('Scenario Picker'!$B$2,'Growth Scenarios'!$B$2:$D$2,0)+1)</f>
        <v>0.25664556871787597</v>
      </c>
      <c r="E33" s="21">
        <f ca="1">'Electrification Scenario'!E39*(1-'Electrification Scenario'!E$8*('Electrification Scenario'!E39-'Electrification Scenario'!E$4)/('Electrification Scenario'!E$5-'Electrification Scenario'!E$4))*VLOOKUP(E$3,'Static Parameters'!$A$3:$B$9,2)*VLOOKUP($A33,'Growth Scenarios'!$E$3:$I$80,MATCH('Scenario Picker'!$B$3,'Growth Scenarios'!$F$2:$I$2,0)+1)/1000000000*VLOOKUP($A33,'Growth Scenarios'!$A$3:$D$80,MATCH('Scenario Picker'!$B$2,'Growth Scenarios'!$B$2:$D$2,0)+1)</f>
        <v>144.14926109654033</v>
      </c>
      <c r="F33" s="21">
        <f ca="1">'Electrification Scenario'!F39*(1-'Electrification Scenario'!F$8*('Electrification Scenario'!F39-'Electrification Scenario'!F$4)/('Electrification Scenario'!F$5-'Electrification Scenario'!F$4))*VLOOKUP(F$3,'Static Parameters'!$A$3:$B$9,2)*VLOOKUP($A33,'Growth Scenarios'!$E$3:$I$80,MATCH('Scenario Picker'!$B$3,'Growth Scenarios'!$F$2:$I$2,0)+1)/1000000000*VLOOKUP($A33,'Growth Scenarios'!$A$3:$D$80,MATCH('Scenario Picker'!$B$2,'Growth Scenarios'!$B$2:$D$2,0)+1)</f>
        <v>5.4537183352548659</v>
      </c>
      <c r="G33" s="21">
        <f ca="1">'Electrification Scenario'!G39*(1-'Electrification Scenario'!G$8*('Electrification Scenario'!G39-'Electrification Scenario'!G$4)/('Electrification Scenario'!G$5-'Electrification Scenario'!G$4))*VLOOKUP(G$3,'Static Parameters'!$A$3:$B$9,2)*VLOOKUP($A33,'Growth Scenarios'!$E$3:$I$80,MATCH('Scenario Picker'!$B$3,'Growth Scenarios'!$F$2:$I$2,0)+1)/1000000000*VLOOKUP($A33,'Growth Scenarios'!$A$3:$D$80,MATCH('Scenario Picker'!$B$2,'Growth Scenarios'!$B$2:$D$2,0)+1)</f>
        <v>96.242088269203478</v>
      </c>
      <c r="H33" s="21">
        <f ca="1">'Electrification Scenario'!H39*(1-'Electrification Scenario'!H$8*('Electrification Scenario'!H39-'Electrification Scenario'!H$4)/('Electrification Scenario'!H$5-'Electrification Scenario'!H$4))*VLOOKUP(H$3,'Static Parameters'!$A$3:$B$9,2)*VLOOKUP($A33,'Growth Scenarios'!$E$3:$I$80,MATCH('Scenario Picker'!$B$3,'Growth Scenarios'!$F$2:$I$2,0)+1)/1000000000*VLOOKUP($A33,'Growth Scenarios'!$A$3:$D$80,MATCH('Scenario Picker'!$B$2,'Growth Scenarios'!$B$2:$D$2,0)+1)</f>
        <v>61.755339972738895</v>
      </c>
      <c r="I33" s="28">
        <f t="shared" ca="1" si="0"/>
        <v>351.6578969703063</v>
      </c>
      <c r="J33" s="25">
        <f ca="1">(1-'Electrification Scenario'!B39)*VLOOKUP(B$3,'Static Parameters'!$A$3:$B$9,2)*VLOOKUP($A33,'Growth Scenarios'!$E$3:$I$80,MATCH('Scenario Picker'!$B$3,'Growth Scenarios'!$F$2:$I$2,0)+1)/1000000000*VLOOKUP($A33,'Growth Scenarios'!$A$3:$D$80,MATCH('Scenario Picker'!$B$2,'Growth Scenarios'!$B$2:$D$2,0)+1)</f>
        <v>5.1329113743575192</v>
      </c>
      <c r="K33" s="21">
        <f ca="1">(1-'Electrification Scenario'!C39)*VLOOKUP(C$3,'Static Parameters'!$A$3:$B$9,2)*VLOOKUP($A33,'Growth Scenarios'!$E$3:$I$80,MATCH('Scenario Picker'!$B$3,'Growth Scenarios'!$F$2:$I$2,0)+1)/1000000000*VLOOKUP($A33,'Growth Scenarios'!$A$3:$D$80,MATCH('Scenario Picker'!$B$2,'Growth Scenarios'!$B$2:$D$2,0)+1)</f>
        <v>0</v>
      </c>
      <c r="L33" s="21">
        <f ca="1">(1-'Electrification Scenario'!D39)*VLOOKUP(D$3,'Static Parameters'!$A$3:$B$9,2)*VLOOKUP($A33,'Growth Scenarios'!$E$3:$I$80,MATCH('Scenario Picker'!$B$3,'Growth Scenarios'!$F$2:$I$2,0)+1)/1000000000*VLOOKUP($A33,'Growth Scenarios'!$A$3:$D$80,MATCH('Scenario Picker'!$B$2,'Growth Scenarios'!$B$2:$D$2,0)+1)</f>
        <v>0.21387130726489664</v>
      </c>
      <c r="M33" s="21">
        <f ca="1">(1-'Electrification Scenario'!E39)*VLOOKUP(E$3,'Static Parameters'!$A$3:$B$9,2)*VLOOKUP($A33,'Growth Scenarios'!$E$3:$I$80,MATCH('Scenario Picker'!$B$3,'Growth Scenarios'!$F$2:$I$2,0)+1)/1000000000*VLOOKUP($A33,'Growth Scenarios'!$A$3:$D$80,MATCH('Scenario Picker'!$B$2,'Growth Scenarios'!$B$2:$D$2,0)+1)</f>
        <v>0</v>
      </c>
      <c r="N33" s="21">
        <f ca="1">(1-'Electrification Scenario'!F39)*VLOOKUP(F$3,'Static Parameters'!$A$3:$B$9,2)*VLOOKUP($A33,'Growth Scenarios'!$E$3:$I$80,MATCH('Scenario Picker'!$B$3,'Growth Scenarios'!$F$2:$I$2,0)+1)/1000000000*VLOOKUP($A33,'Growth Scenarios'!$A$3:$D$80,MATCH('Scenario Picker'!$B$2,'Growth Scenarios'!$B$2:$D$2,0)+1)</f>
        <v>2.272382639689527</v>
      </c>
      <c r="O33" s="21">
        <f ca="1">(1-'Electrification Scenario'!G39)*VLOOKUP(G$3,'Static Parameters'!$A$3:$B$9,2)*VLOOKUP($A33,'Growth Scenarios'!$E$3:$I$80,MATCH('Scenario Picker'!$B$3,'Growth Scenarios'!$F$2:$I$2,0)+1)/1000000000*VLOOKUP($A33,'Growth Scenarios'!$A$3:$D$80,MATCH('Scenario Picker'!$B$2,'Growth Scenarios'!$B$2:$D$2,0)+1)</f>
        <v>0</v>
      </c>
      <c r="P33" s="21">
        <f ca="1">(1-'Electrification Scenario'!H39)*VLOOKUP(H$3,'Static Parameters'!$A$3:$B$9,2)*VLOOKUP($A33,'Growth Scenarios'!$E$3:$I$80,MATCH('Scenario Picker'!$B$3,'Growth Scenarios'!$F$2:$I$2,0)+1)/1000000000*VLOOKUP($A33,'Growth Scenarios'!$A$3:$D$80,MATCH('Scenario Picker'!$B$2,'Growth Scenarios'!$B$2:$D$2,0)+1)</f>
        <v>41.170226648492594</v>
      </c>
      <c r="Q33" s="28">
        <f t="shared" ca="1" si="1"/>
        <v>48.789391969804541</v>
      </c>
      <c r="R33" s="28">
        <f t="shared" ca="1" si="2"/>
        <v>400.44728894011087</v>
      </c>
    </row>
    <row r="34" spans="1:18" ht="15" x14ac:dyDescent="0.35">
      <c r="A34" s="31">
        <v>2052</v>
      </c>
      <c r="B34" s="25">
        <f ca="1">'Electrification Scenario'!B40*(1-'Electrification Scenario'!B$8*('Electrification Scenario'!B40-'Electrification Scenario'!B$4)/('Electrification Scenario'!B$5-'Electrification Scenario'!B$4))*VLOOKUP(B$3,'Static Parameters'!$A$3:$B$9,2)*VLOOKUP($A34,'Growth Scenarios'!$E$3:$I$80,MATCH('Scenario Picker'!$B$3,'Growth Scenarios'!$F$2:$I$2,0)+1)/1000000000*VLOOKUP($A34,'Growth Scenarios'!$A$3:$D$80,MATCH('Scenario Picker'!$B$2,'Growth Scenarios'!$B$2:$D$2,0)+1)</f>
        <v>6.2339135637478336</v>
      </c>
      <c r="C34" s="21">
        <f ca="1">'Electrification Scenario'!C40*(1-'Electrification Scenario'!C$8*('Electrification Scenario'!C40-'Electrification Scenario'!C$4)/('Electrification Scenario'!C$5-'Electrification Scenario'!C$4))*VLOOKUP(C$3,'Static Parameters'!$A$3:$B$9,2)*VLOOKUP($A34,'Growth Scenarios'!$E$3:$I$80,MATCH('Scenario Picker'!$B$3,'Growth Scenarios'!$F$2:$I$2,0)+1)/1000000000*VLOOKUP($A34,'Growth Scenarios'!$A$3:$D$80,MATCH('Scenario Picker'!$B$2,'Growth Scenarios'!$B$2:$D$2,0)+1)</f>
        <v>38.096138445125654</v>
      </c>
      <c r="D34" s="21">
        <f ca="1">'Electrification Scenario'!D40*(1-'Electrification Scenario'!D$8*('Electrification Scenario'!D40-'Electrification Scenario'!D$4)/('Electrification Scenario'!D$5-'Electrification Scenario'!D$4))*VLOOKUP(D$3,'Static Parameters'!$A$3:$B$9,2)*VLOOKUP($A34,'Growth Scenarios'!$E$3:$I$80,MATCH('Scenario Picker'!$B$3,'Growth Scenarios'!$F$2:$I$2,0)+1)/1000000000*VLOOKUP($A34,'Growth Scenarios'!$A$3:$D$80,MATCH('Scenario Picker'!$B$2,'Growth Scenarios'!$B$2:$D$2,0)+1)</f>
        <v>0.2597463984894931</v>
      </c>
      <c r="E34" s="21">
        <f ca="1">'Electrification Scenario'!E40*(1-'Electrification Scenario'!E$8*('Electrification Scenario'!E40-'Electrification Scenario'!E$4)/('Electrification Scenario'!E$5-'Electrification Scenario'!E$4))*VLOOKUP(E$3,'Static Parameters'!$A$3:$B$9,2)*VLOOKUP($A34,'Growth Scenarios'!$E$3:$I$80,MATCH('Scenario Picker'!$B$3,'Growth Scenarios'!$F$2:$I$2,0)+1)/1000000000*VLOOKUP($A34,'Growth Scenarios'!$A$3:$D$80,MATCH('Scenario Picker'!$B$2,'Growth Scenarios'!$B$2:$D$2,0)+1)</f>
        <v>145.89089381826528</v>
      </c>
      <c r="F34" s="21">
        <f ca="1">'Electrification Scenario'!F40*(1-'Electrification Scenario'!F$8*('Electrification Scenario'!F40-'Electrification Scenario'!F$4)/('Electrification Scenario'!F$5-'Electrification Scenario'!F$4))*VLOOKUP(F$3,'Static Parameters'!$A$3:$B$9,2)*VLOOKUP($A34,'Growth Scenarios'!$E$3:$I$80,MATCH('Scenario Picker'!$B$3,'Growth Scenarios'!$F$2:$I$2,0)+1)/1000000000*VLOOKUP($A34,'Growth Scenarios'!$A$3:$D$80,MATCH('Scenario Picker'!$B$2,'Growth Scenarios'!$B$2:$D$2,0)+1)</f>
        <v>5.5196109679017296</v>
      </c>
      <c r="G34" s="21">
        <f ca="1">'Electrification Scenario'!G40*(1-'Electrification Scenario'!G$8*('Electrification Scenario'!G40-'Electrification Scenario'!G$4)/('Electrification Scenario'!G$5-'Electrification Scenario'!G$4))*VLOOKUP(G$3,'Static Parameters'!$A$3:$B$9,2)*VLOOKUP($A34,'Growth Scenarios'!$E$3:$I$80,MATCH('Scenario Picker'!$B$3,'Growth Scenarios'!$F$2:$I$2,0)+1)/1000000000*VLOOKUP($A34,'Growth Scenarios'!$A$3:$D$80,MATCH('Scenario Picker'!$B$2,'Growth Scenarios'!$B$2:$D$2,0)+1)</f>
        <v>97.404899433559905</v>
      </c>
      <c r="H34" s="21">
        <f ca="1">'Electrification Scenario'!H40*(1-'Electrification Scenario'!H$8*('Electrification Scenario'!H40-'Electrification Scenario'!H$4)/('Electrification Scenario'!H$5-'Electrification Scenario'!H$4))*VLOOKUP(H$3,'Static Parameters'!$A$3:$B$9,2)*VLOOKUP($A34,'Growth Scenarios'!$E$3:$I$80,MATCH('Scenario Picker'!$B$3,'Growth Scenarios'!$F$2:$I$2,0)+1)/1000000000*VLOOKUP($A34,'Growth Scenarios'!$A$3:$D$80,MATCH('Scenario Picker'!$B$2,'Growth Scenarios'!$B$2:$D$2,0)+1)</f>
        <v>62.50147713653427</v>
      </c>
      <c r="I34" s="28">
        <f t="shared" ca="1" si="0"/>
        <v>355.9066797636242</v>
      </c>
      <c r="J34" s="25">
        <f ca="1">(1-'Electrification Scenario'!B40)*VLOOKUP(B$3,'Static Parameters'!$A$3:$B$9,2)*VLOOKUP($A34,'Growth Scenarios'!$E$3:$I$80,MATCH('Scenario Picker'!$B$3,'Growth Scenarios'!$F$2:$I$2,0)+1)/1000000000*VLOOKUP($A34,'Growth Scenarios'!$A$3:$D$80,MATCH('Scenario Picker'!$B$2,'Growth Scenarios'!$B$2:$D$2,0)+1)</f>
        <v>5.1949279697898625</v>
      </c>
      <c r="K34" s="21">
        <f ca="1">(1-'Electrification Scenario'!C40)*VLOOKUP(C$3,'Static Parameters'!$A$3:$B$9,2)*VLOOKUP($A34,'Growth Scenarios'!$E$3:$I$80,MATCH('Scenario Picker'!$B$3,'Growth Scenarios'!$F$2:$I$2,0)+1)/1000000000*VLOOKUP($A34,'Growth Scenarios'!$A$3:$D$80,MATCH('Scenario Picker'!$B$2,'Growth Scenarios'!$B$2:$D$2,0)+1)</f>
        <v>0</v>
      </c>
      <c r="L34" s="21">
        <f ca="1">(1-'Electrification Scenario'!D40)*VLOOKUP(D$3,'Static Parameters'!$A$3:$B$9,2)*VLOOKUP($A34,'Growth Scenarios'!$E$3:$I$80,MATCH('Scenario Picker'!$B$3,'Growth Scenarios'!$F$2:$I$2,0)+1)/1000000000*VLOOKUP($A34,'Growth Scenarios'!$A$3:$D$80,MATCH('Scenario Picker'!$B$2,'Growth Scenarios'!$B$2:$D$2,0)+1)</f>
        <v>0.21645533207457762</v>
      </c>
      <c r="M34" s="21">
        <f ca="1">(1-'Electrification Scenario'!E40)*VLOOKUP(E$3,'Static Parameters'!$A$3:$B$9,2)*VLOOKUP($A34,'Growth Scenarios'!$E$3:$I$80,MATCH('Scenario Picker'!$B$3,'Growth Scenarios'!$F$2:$I$2,0)+1)/1000000000*VLOOKUP($A34,'Growth Scenarios'!$A$3:$D$80,MATCH('Scenario Picker'!$B$2,'Growth Scenarios'!$B$2:$D$2,0)+1)</f>
        <v>0</v>
      </c>
      <c r="N34" s="21">
        <f ca="1">(1-'Electrification Scenario'!F40)*VLOOKUP(F$3,'Static Parameters'!$A$3:$B$9,2)*VLOOKUP($A34,'Growth Scenarios'!$E$3:$I$80,MATCH('Scenario Picker'!$B$3,'Growth Scenarios'!$F$2:$I$2,0)+1)/1000000000*VLOOKUP($A34,'Growth Scenarios'!$A$3:$D$80,MATCH('Scenario Picker'!$B$2,'Growth Scenarios'!$B$2:$D$2,0)+1)</f>
        <v>2.2998379032923872</v>
      </c>
      <c r="O34" s="21">
        <f ca="1">(1-'Electrification Scenario'!G40)*VLOOKUP(G$3,'Static Parameters'!$A$3:$B$9,2)*VLOOKUP($A34,'Growth Scenarios'!$E$3:$I$80,MATCH('Scenario Picker'!$B$3,'Growth Scenarios'!$F$2:$I$2,0)+1)/1000000000*VLOOKUP($A34,'Growth Scenarios'!$A$3:$D$80,MATCH('Scenario Picker'!$B$2,'Growth Scenarios'!$B$2:$D$2,0)+1)</f>
        <v>0</v>
      </c>
      <c r="P34" s="21">
        <f ca="1">(1-'Electrification Scenario'!H40)*VLOOKUP(H$3,'Static Parameters'!$A$3:$B$9,2)*VLOOKUP($A34,'Growth Scenarios'!$E$3:$I$80,MATCH('Scenario Picker'!$B$3,'Growth Scenarios'!$F$2:$I$2,0)+1)/1000000000*VLOOKUP($A34,'Growth Scenarios'!$A$3:$D$80,MATCH('Scenario Picker'!$B$2,'Growth Scenarios'!$B$2:$D$2,0)+1)</f>
        <v>41.66765142435618</v>
      </c>
      <c r="Q34" s="28">
        <f t="shared" ca="1" si="1"/>
        <v>49.378872629513005</v>
      </c>
      <c r="R34" s="28">
        <f t="shared" ca="1" si="2"/>
        <v>405.28555239313721</v>
      </c>
    </row>
    <row r="35" spans="1:18" ht="15" x14ac:dyDescent="0.35">
      <c r="A35" s="31">
        <v>2053</v>
      </c>
      <c r="B35" s="25">
        <f ca="1">'Electrification Scenario'!B41*(1-'Electrification Scenario'!B$8*('Electrification Scenario'!B41-'Electrification Scenario'!B$4)/('Electrification Scenario'!B$5-'Electrification Scenario'!B$4))*VLOOKUP(B$3,'Static Parameters'!$A$3:$B$9,2)*VLOOKUP($A35,'Growth Scenarios'!$E$3:$I$80,MATCH('Scenario Picker'!$B$3,'Growth Scenarios'!$F$2:$I$2,0)+1)/1000000000*VLOOKUP($A35,'Growth Scenarios'!$A$3:$D$80,MATCH('Scenario Picker'!$B$2,'Growth Scenarios'!$B$2:$D$2,0)+1)</f>
        <v>6.3086128246724762</v>
      </c>
      <c r="C35" s="21">
        <f ca="1">'Electrification Scenario'!C41*(1-'Electrification Scenario'!C$8*('Electrification Scenario'!C41-'Electrification Scenario'!C$4)/('Electrification Scenario'!C$5-'Electrification Scenario'!C$4))*VLOOKUP(C$3,'Static Parameters'!$A$3:$B$9,2)*VLOOKUP($A35,'Growth Scenarios'!$E$3:$I$80,MATCH('Scenario Picker'!$B$3,'Growth Scenarios'!$F$2:$I$2,0)+1)/1000000000*VLOOKUP($A35,'Growth Scenarios'!$A$3:$D$80,MATCH('Scenario Picker'!$B$2,'Growth Scenarios'!$B$2:$D$2,0)+1)</f>
        <v>38.55263392855403</v>
      </c>
      <c r="D35" s="21">
        <f ca="1">'Electrification Scenario'!D41*(1-'Electrification Scenario'!D$8*('Electrification Scenario'!D41-'Electrification Scenario'!D$4)/('Electrification Scenario'!D$5-'Electrification Scenario'!D$4))*VLOOKUP(D$3,'Static Parameters'!$A$3:$B$9,2)*VLOOKUP($A35,'Growth Scenarios'!$E$3:$I$80,MATCH('Scenario Picker'!$B$3,'Growth Scenarios'!$F$2:$I$2,0)+1)/1000000000*VLOOKUP($A35,'Growth Scenarios'!$A$3:$D$80,MATCH('Scenario Picker'!$B$2,'Growth Scenarios'!$B$2:$D$2,0)+1)</f>
        <v>0.26285886769468653</v>
      </c>
      <c r="E35" s="21">
        <f ca="1">'Electrification Scenario'!E41*(1-'Electrification Scenario'!E$8*('Electrification Scenario'!E41-'Electrification Scenario'!E$4)/('Electrification Scenario'!E$5-'Electrification Scenario'!E$4))*VLOOKUP(E$3,'Static Parameters'!$A$3:$B$9,2)*VLOOKUP($A35,'Growth Scenarios'!$E$3:$I$80,MATCH('Scenario Picker'!$B$3,'Growth Scenarios'!$F$2:$I$2,0)+1)/1000000000*VLOOKUP($A35,'Growth Scenarios'!$A$3:$D$80,MATCH('Scenario Picker'!$B$2,'Growth Scenarios'!$B$2:$D$2,0)+1)</f>
        <v>147.63906402184895</v>
      </c>
      <c r="F35" s="21">
        <f ca="1">'Electrification Scenario'!F41*(1-'Electrification Scenario'!F$8*('Electrification Scenario'!F41-'Electrification Scenario'!F$4)/('Electrification Scenario'!F$5-'Electrification Scenario'!F$4))*VLOOKUP(F$3,'Static Parameters'!$A$3:$B$9,2)*VLOOKUP($A35,'Growth Scenarios'!$E$3:$I$80,MATCH('Scenario Picker'!$B$3,'Growth Scenarios'!$F$2:$I$2,0)+1)/1000000000*VLOOKUP($A35,'Growth Scenarios'!$A$3:$D$80,MATCH('Scenario Picker'!$B$2,'Growth Scenarios'!$B$2:$D$2,0)+1)</f>
        <v>5.5857509385120894</v>
      </c>
      <c r="G35" s="21">
        <f ca="1">'Electrification Scenario'!G41*(1-'Electrification Scenario'!G$8*('Electrification Scenario'!G41-'Electrification Scenario'!G$4)/('Electrification Scenario'!G$5-'Electrification Scenario'!G$4))*VLOOKUP(G$3,'Static Parameters'!$A$3:$B$9,2)*VLOOKUP($A35,'Growth Scenarios'!$E$3:$I$80,MATCH('Scenario Picker'!$B$3,'Growth Scenarios'!$F$2:$I$2,0)+1)/1000000000*VLOOKUP($A35,'Growth Scenarios'!$A$3:$D$80,MATCH('Scenario Picker'!$B$2,'Growth Scenarios'!$B$2:$D$2,0)+1)</f>
        <v>98.572075385507446</v>
      </c>
      <c r="H35" s="21">
        <f ca="1">'Electrification Scenario'!H41*(1-'Electrification Scenario'!H$8*('Electrification Scenario'!H41-'Electrification Scenario'!H$4)/('Electrification Scenario'!H$5-'Electrification Scenario'!H$4))*VLOOKUP(H$3,'Static Parameters'!$A$3:$B$9,2)*VLOOKUP($A35,'Growth Scenarios'!$E$3:$I$80,MATCH('Scenario Picker'!$B$3,'Growth Scenarios'!$F$2:$I$2,0)+1)/1000000000*VLOOKUP($A35,'Growth Scenarios'!$A$3:$D$80,MATCH('Scenario Picker'!$B$2,'Growth Scenarios'!$B$2:$D$2,0)+1)</f>
        <v>63.250415039033946</v>
      </c>
      <c r="I35" s="28">
        <f t="shared" ca="1" si="0"/>
        <v>360.17141100582364</v>
      </c>
      <c r="J35" s="25">
        <f ca="1">(1-'Electrification Scenario'!B41)*VLOOKUP(B$3,'Static Parameters'!$A$3:$B$9,2)*VLOOKUP($A35,'Growth Scenarios'!$E$3:$I$80,MATCH('Scenario Picker'!$B$3,'Growth Scenarios'!$F$2:$I$2,0)+1)/1000000000*VLOOKUP($A35,'Growth Scenarios'!$A$3:$D$80,MATCH('Scenario Picker'!$B$2,'Growth Scenarios'!$B$2:$D$2,0)+1)</f>
        <v>5.2571773538937308</v>
      </c>
      <c r="K35" s="21">
        <f ca="1">(1-'Electrification Scenario'!C41)*VLOOKUP(C$3,'Static Parameters'!$A$3:$B$9,2)*VLOOKUP($A35,'Growth Scenarios'!$E$3:$I$80,MATCH('Scenario Picker'!$B$3,'Growth Scenarios'!$F$2:$I$2,0)+1)/1000000000*VLOOKUP($A35,'Growth Scenarios'!$A$3:$D$80,MATCH('Scenario Picker'!$B$2,'Growth Scenarios'!$B$2:$D$2,0)+1)</f>
        <v>0</v>
      </c>
      <c r="L35" s="21">
        <f ca="1">(1-'Electrification Scenario'!D41)*VLOOKUP(D$3,'Static Parameters'!$A$3:$B$9,2)*VLOOKUP($A35,'Growth Scenarios'!$E$3:$I$80,MATCH('Scenario Picker'!$B$3,'Growth Scenarios'!$F$2:$I$2,0)+1)/1000000000*VLOOKUP($A35,'Growth Scenarios'!$A$3:$D$80,MATCH('Scenario Picker'!$B$2,'Growth Scenarios'!$B$2:$D$2,0)+1)</f>
        <v>0.21904905641223879</v>
      </c>
      <c r="M35" s="21">
        <f ca="1">(1-'Electrification Scenario'!E41)*VLOOKUP(E$3,'Static Parameters'!$A$3:$B$9,2)*VLOOKUP($A35,'Growth Scenarios'!$E$3:$I$80,MATCH('Scenario Picker'!$B$3,'Growth Scenarios'!$F$2:$I$2,0)+1)/1000000000*VLOOKUP($A35,'Growth Scenarios'!$A$3:$D$80,MATCH('Scenario Picker'!$B$2,'Growth Scenarios'!$B$2:$D$2,0)+1)</f>
        <v>0</v>
      </c>
      <c r="N35" s="21">
        <f ca="1">(1-'Electrification Scenario'!F41)*VLOOKUP(F$3,'Static Parameters'!$A$3:$B$9,2)*VLOOKUP($A35,'Growth Scenarios'!$E$3:$I$80,MATCH('Scenario Picker'!$B$3,'Growth Scenarios'!$F$2:$I$2,0)+1)/1000000000*VLOOKUP($A35,'Growth Scenarios'!$A$3:$D$80,MATCH('Scenario Picker'!$B$2,'Growth Scenarios'!$B$2:$D$2,0)+1)</f>
        <v>2.327396224380037</v>
      </c>
      <c r="O35" s="21">
        <f ca="1">(1-'Electrification Scenario'!G41)*VLOOKUP(G$3,'Static Parameters'!$A$3:$B$9,2)*VLOOKUP($A35,'Growth Scenarios'!$E$3:$I$80,MATCH('Scenario Picker'!$B$3,'Growth Scenarios'!$F$2:$I$2,0)+1)/1000000000*VLOOKUP($A35,'Growth Scenarios'!$A$3:$D$80,MATCH('Scenario Picker'!$B$2,'Growth Scenarios'!$B$2:$D$2,0)+1)</f>
        <v>0</v>
      </c>
      <c r="P35" s="21">
        <f ca="1">(1-'Electrification Scenario'!H41)*VLOOKUP(H$3,'Static Parameters'!$A$3:$B$9,2)*VLOOKUP($A35,'Growth Scenarios'!$E$3:$I$80,MATCH('Scenario Picker'!$B$3,'Growth Scenarios'!$F$2:$I$2,0)+1)/1000000000*VLOOKUP($A35,'Growth Scenarios'!$A$3:$D$80,MATCH('Scenario Picker'!$B$2,'Growth Scenarios'!$B$2:$D$2,0)+1)</f>
        <v>42.166943359355969</v>
      </c>
      <c r="Q35" s="28">
        <f t="shared" ca="1" si="1"/>
        <v>49.970565994041976</v>
      </c>
      <c r="R35" s="28">
        <f t="shared" ca="1" si="2"/>
        <v>410.14197699986562</v>
      </c>
    </row>
    <row r="36" spans="1:18" ht="15" x14ac:dyDescent="0.35">
      <c r="A36" s="31">
        <v>2054</v>
      </c>
      <c r="B36" s="25">
        <f ca="1">'Electrification Scenario'!B42*(1-'Electrification Scenario'!B$8*('Electrification Scenario'!B42-'Electrification Scenario'!B$4)/('Electrification Scenario'!B$5-'Electrification Scenario'!B$4))*VLOOKUP(B$3,'Static Parameters'!$A$3:$B$9,2)*VLOOKUP($A36,'Growth Scenarios'!$E$3:$I$80,MATCH('Scenario Picker'!$B$3,'Growth Scenarios'!$F$2:$I$2,0)+1)/1000000000*VLOOKUP($A36,'Growth Scenarios'!$A$3:$D$80,MATCH('Scenario Picker'!$B$2,'Growth Scenarios'!$B$2:$D$2,0)+1)</f>
        <v>6.3834907294452021</v>
      </c>
      <c r="C36" s="21">
        <f ca="1">'Electrification Scenario'!C42*(1-'Electrification Scenario'!C$8*('Electrification Scenario'!C42-'Electrification Scenario'!C$4)/('Electrification Scenario'!C$5-'Electrification Scenario'!C$4))*VLOOKUP(C$3,'Static Parameters'!$A$3:$B$9,2)*VLOOKUP($A36,'Growth Scenarios'!$E$3:$I$80,MATCH('Scenario Picker'!$B$3,'Growth Scenarios'!$F$2:$I$2,0)+1)/1000000000*VLOOKUP($A36,'Growth Scenarios'!$A$3:$D$80,MATCH('Scenario Picker'!$B$2,'Growth Scenarios'!$B$2:$D$2,0)+1)</f>
        <v>39.01022112438735</v>
      </c>
      <c r="D36" s="21">
        <f ca="1">'Electrification Scenario'!D42*(1-'Electrification Scenario'!D$8*('Electrification Scenario'!D42-'Electrification Scenario'!D$4)/('Electrification Scenario'!D$5-'Electrification Scenario'!D$4))*VLOOKUP(D$3,'Static Parameters'!$A$3:$B$9,2)*VLOOKUP($A36,'Growth Scenarios'!$E$3:$I$80,MATCH('Scenario Picker'!$B$3,'Growth Scenarios'!$F$2:$I$2,0)+1)/1000000000*VLOOKUP($A36,'Growth Scenarios'!$A$3:$D$80,MATCH('Scenario Picker'!$B$2,'Growth Scenarios'!$B$2:$D$2,0)+1)</f>
        <v>0.26597878039355011</v>
      </c>
      <c r="E36" s="21">
        <f ca="1">'Electrification Scenario'!E42*(1-'Electrification Scenario'!E$8*('Electrification Scenario'!E42-'Electrification Scenario'!E$4)/('Electrification Scenario'!E$5-'Electrification Scenario'!E$4))*VLOOKUP(E$3,'Static Parameters'!$A$3:$B$9,2)*VLOOKUP($A36,'Growth Scenarios'!$E$3:$I$80,MATCH('Scenario Picker'!$B$3,'Growth Scenarios'!$F$2:$I$2,0)+1)/1000000000*VLOOKUP($A36,'Growth Scenarios'!$A$3:$D$80,MATCH('Scenario Picker'!$B$2,'Growth Scenarios'!$B$2:$D$2,0)+1)</f>
        <v>149.39141498771065</v>
      </c>
      <c r="F36" s="21">
        <f ca="1">'Electrification Scenario'!F42*(1-'Electrification Scenario'!F$8*('Electrification Scenario'!F42-'Electrification Scenario'!F$4)/('Electrification Scenario'!F$5-'Electrification Scenario'!F$4))*VLOOKUP(F$3,'Static Parameters'!$A$3:$B$9,2)*VLOOKUP($A36,'Growth Scenarios'!$E$3:$I$80,MATCH('Scenario Picker'!$B$3,'Growth Scenarios'!$F$2:$I$2,0)+1)/1000000000*VLOOKUP($A36,'Growth Scenarios'!$A$3:$D$80,MATCH('Scenario Picker'!$B$2,'Growth Scenarios'!$B$2:$D$2,0)+1)</f>
        <v>5.6520490833629404</v>
      </c>
      <c r="G36" s="21">
        <f ca="1">'Electrification Scenario'!G42*(1-'Electrification Scenario'!G$8*('Electrification Scenario'!G42-'Electrification Scenario'!G$4)/('Electrification Scenario'!G$5-'Electrification Scenario'!G$4))*VLOOKUP(G$3,'Static Parameters'!$A$3:$B$9,2)*VLOOKUP($A36,'Growth Scenarios'!$E$3:$I$80,MATCH('Scenario Picker'!$B$3,'Growth Scenarios'!$F$2:$I$2,0)+1)/1000000000*VLOOKUP($A36,'Growth Scenarios'!$A$3:$D$80,MATCH('Scenario Picker'!$B$2,'Growth Scenarios'!$B$2:$D$2,0)+1)</f>
        <v>99.742042647581314</v>
      </c>
      <c r="H36" s="21">
        <f ca="1">'Electrification Scenario'!H42*(1-'Electrification Scenario'!H$8*('Electrification Scenario'!H42-'Electrification Scenario'!H$4)/('Electrification Scenario'!H$5-'Electrification Scenario'!H$4))*VLOOKUP(H$3,'Static Parameters'!$A$3:$B$9,2)*VLOOKUP($A36,'Growth Scenarios'!$E$3:$I$80,MATCH('Scenario Picker'!$B$3,'Growth Scenarios'!$F$2:$I$2,0)+1)/1000000000*VLOOKUP($A36,'Growth Scenarios'!$A$3:$D$80,MATCH('Scenario Picker'!$B$2,'Growth Scenarios'!$B$2:$D$2,0)+1)</f>
        <v>64.001144032197985</v>
      </c>
      <c r="I36" s="28">
        <f t="shared" ca="1" si="0"/>
        <v>364.44634138507899</v>
      </c>
      <c r="J36" s="25">
        <f ca="1">(1-'Electrification Scenario'!B42)*VLOOKUP(B$3,'Static Parameters'!$A$3:$B$9,2)*VLOOKUP($A36,'Growth Scenarios'!$E$3:$I$80,MATCH('Scenario Picker'!$B$3,'Growth Scenarios'!$F$2:$I$2,0)+1)/1000000000*VLOOKUP($A36,'Growth Scenarios'!$A$3:$D$80,MATCH('Scenario Picker'!$B$2,'Growth Scenarios'!$B$2:$D$2,0)+1)</f>
        <v>5.3195756078710019</v>
      </c>
      <c r="K36" s="21">
        <f ca="1">(1-'Electrification Scenario'!C42)*VLOOKUP(C$3,'Static Parameters'!$A$3:$B$9,2)*VLOOKUP($A36,'Growth Scenarios'!$E$3:$I$80,MATCH('Scenario Picker'!$B$3,'Growth Scenarios'!$F$2:$I$2,0)+1)/1000000000*VLOOKUP($A36,'Growth Scenarios'!$A$3:$D$80,MATCH('Scenario Picker'!$B$2,'Growth Scenarios'!$B$2:$D$2,0)+1)</f>
        <v>0</v>
      </c>
      <c r="L36" s="21">
        <f ca="1">(1-'Electrification Scenario'!D42)*VLOOKUP(D$3,'Static Parameters'!$A$3:$B$9,2)*VLOOKUP($A36,'Growth Scenarios'!$E$3:$I$80,MATCH('Scenario Picker'!$B$3,'Growth Scenarios'!$F$2:$I$2,0)+1)/1000000000*VLOOKUP($A36,'Growth Scenarios'!$A$3:$D$80,MATCH('Scenario Picker'!$B$2,'Growth Scenarios'!$B$2:$D$2,0)+1)</f>
        <v>0.22164898366129177</v>
      </c>
      <c r="M36" s="21">
        <f ca="1">(1-'Electrification Scenario'!E42)*VLOOKUP(E$3,'Static Parameters'!$A$3:$B$9,2)*VLOOKUP($A36,'Growth Scenarios'!$E$3:$I$80,MATCH('Scenario Picker'!$B$3,'Growth Scenarios'!$F$2:$I$2,0)+1)/1000000000*VLOOKUP($A36,'Growth Scenarios'!$A$3:$D$80,MATCH('Scenario Picker'!$B$2,'Growth Scenarios'!$B$2:$D$2,0)+1)</f>
        <v>0</v>
      </c>
      <c r="N36" s="21">
        <f ca="1">(1-'Electrification Scenario'!F42)*VLOOKUP(F$3,'Static Parameters'!$A$3:$B$9,2)*VLOOKUP($A36,'Growth Scenarios'!$E$3:$I$80,MATCH('Scenario Picker'!$B$3,'Growth Scenarios'!$F$2:$I$2,0)+1)/1000000000*VLOOKUP($A36,'Growth Scenarios'!$A$3:$D$80,MATCH('Scenario Picker'!$B$2,'Growth Scenarios'!$B$2:$D$2,0)+1)</f>
        <v>2.355020451401225</v>
      </c>
      <c r="O36" s="21">
        <f ca="1">(1-'Electrification Scenario'!G42)*VLOOKUP(G$3,'Static Parameters'!$A$3:$B$9,2)*VLOOKUP($A36,'Growth Scenarios'!$E$3:$I$80,MATCH('Scenario Picker'!$B$3,'Growth Scenarios'!$F$2:$I$2,0)+1)/1000000000*VLOOKUP($A36,'Growth Scenarios'!$A$3:$D$80,MATCH('Scenario Picker'!$B$2,'Growth Scenarios'!$B$2:$D$2,0)+1)</f>
        <v>0</v>
      </c>
      <c r="P36" s="21">
        <f ca="1">(1-'Electrification Scenario'!H42)*VLOOKUP(H$3,'Static Parameters'!$A$3:$B$9,2)*VLOOKUP($A36,'Growth Scenarios'!$E$3:$I$80,MATCH('Scenario Picker'!$B$3,'Growth Scenarios'!$F$2:$I$2,0)+1)/1000000000*VLOOKUP($A36,'Growth Scenarios'!$A$3:$D$80,MATCH('Scenario Picker'!$B$2,'Growth Scenarios'!$B$2:$D$2,0)+1)</f>
        <v>42.667429354798664</v>
      </c>
      <c r="Q36" s="28">
        <f t="shared" ca="1" si="1"/>
        <v>50.563674397732186</v>
      </c>
      <c r="R36" s="28">
        <f t="shared" ca="1" si="2"/>
        <v>415.01001578281119</v>
      </c>
    </row>
    <row r="37" spans="1:18" ht="15" x14ac:dyDescent="0.35">
      <c r="A37" s="31">
        <v>2055</v>
      </c>
      <c r="B37" s="25">
        <f ca="1">'Electrification Scenario'!B43*(1-'Electrification Scenario'!B$8*('Electrification Scenario'!B43-'Electrification Scenario'!B$4)/('Electrification Scenario'!B$5-'Electrification Scenario'!B$4))*VLOOKUP(B$3,'Static Parameters'!$A$3:$B$9,2)*VLOOKUP($A37,'Growth Scenarios'!$E$3:$I$80,MATCH('Scenario Picker'!$B$3,'Growth Scenarios'!$F$2:$I$2,0)+1)/1000000000*VLOOKUP($A37,'Growth Scenarios'!$A$3:$D$80,MATCH('Scenario Picker'!$B$2,'Growth Scenarios'!$B$2:$D$2,0)+1)</f>
        <v>6.4584006822467597</v>
      </c>
      <c r="C37" s="21">
        <f ca="1">'Electrification Scenario'!C43*(1-'Electrification Scenario'!C$8*('Electrification Scenario'!C43-'Electrification Scenario'!C$4)/('Electrification Scenario'!C$5-'Electrification Scenario'!C$4))*VLOOKUP(C$3,'Static Parameters'!$A$3:$B$9,2)*VLOOKUP($A37,'Growth Scenarios'!$E$3:$I$80,MATCH('Scenario Picker'!$B$3,'Growth Scenarios'!$F$2:$I$2,0)+1)/1000000000*VLOOKUP($A37,'Growth Scenarios'!$A$3:$D$80,MATCH('Scenario Picker'!$B$2,'Growth Scenarios'!$B$2:$D$2,0)+1)</f>
        <v>39.468004169285763</v>
      </c>
      <c r="D37" s="21">
        <f ca="1">'Electrification Scenario'!D43*(1-'Electrification Scenario'!D$8*('Electrification Scenario'!D43-'Electrification Scenario'!D$4)/('Electrification Scenario'!D$5-'Electrification Scenario'!D$4))*VLOOKUP(D$3,'Static Parameters'!$A$3:$B$9,2)*VLOOKUP($A37,'Growth Scenarios'!$E$3:$I$80,MATCH('Scenario Picker'!$B$3,'Growth Scenarios'!$F$2:$I$2,0)+1)/1000000000*VLOOKUP($A37,'Growth Scenarios'!$A$3:$D$80,MATCH('Scenario Picker'!$B$2,'Growth Scenarios'!$B$2:$D$2,0)+1)</f>
        <v>0.26910002842694836</v>
      </c>
      <c r="E37" s="21">
        <f ca="1">'Electrification Scenario'!E43*(1-'Electrification Scenario'!E$8*('Electrification Scenario'!E43-'Electrification Scenario'!E$4)/('Electrification Scenario'!E$5-'Electrification Scenario'!E$4))*VLOOKUP(E$3,'Static Parameters'!$A$3:$B$9,2)*VLOOKUP($A37,'Growth Scenarios'!$E$3:$I$80,MATCH('Scenario Picker'!$B$3,'Growth Scenarios'!$F$2:$I$2,0)+1)/1000000000*VLOOKUP($A37,'Growth Scenarios'!$A$3:$D$80,MATCH('Scenario Picker'!$B$2,'Growth Scenarios'!$B$2:$D$2,0)+1)</f>
        <v>151.14451596646933</v>
      </c>
      <c r="F37" s="21">
        <f ca="1">'Electrification Scenario'!F43*(1-'Electrification Scenario'!F$8*('Electrification Scenario'!F43-'Electrification Scenario'!F$4)/('Electrification Scenario'!F$5-'Electrification Scenario'!F$4))*VLOOKUP(F$3,'Static Parameters'!$A$3:$B$9,2)*VLOOKUP($A37,'Growth Scenarios'!$E$3:$I$80,MATCH('Scenario Picker'!$B$3,'Growth Scenarios'!$F$2:$I$2,0)+1)/1000000000*VLOOKUP($A37,'Growth Scenarios'!$A$3:$D$80,MATCH('Scenario Picker'!$B$2,'Growth Scenarios'!$B$2:$D$2,0)+1)</f>
        <v>5.7183756040726541</v>
      </c>
      <c r="G37" s="21">
        <f ca="1">'Electrification Scenario'!G43*(1-'Electrification Scenario'!G$8*('Electrification Scenario'!G43-'Electrification Scenario'!G$4)/('Electrification Scenario'!G$5-'Electrification Scenario'!G$4))*VLOOKUP(G$3,'Static Parameters'!$A$3:$B$9,2)*VLOOKUP($A37,'Growth Scenarios'!$E$3:$I$80,MATCH('Scenario Picker'!$B$3,'Growth Scenarios'!$F$2:$I$2,0)+1)/1000000000*VLOOKUP($A37,'Growth Scenarios'!$A$3:$D$80,MATCH('Scenario Picker'!$B$2,'Growth Scenarios'!$B$2:$D$2,0)+1)</f>
        <v>100.91251066010564</v>
      </c>
      <c r="H37" s="21">
        <f ca="1">'Electrification Scenario'!H43*(1-'Electrification Scenario'!H$8*('Electrification Scenario'!H43-'Electrification Scenario'!H$4)/('Electrification Scenario'!H$5-'Electrification Scenario'!H$4))*VLOOKUP(H$3,'Static Parameters'!$A$3:$B$9,2)*VLOOKUP($A37,'Growth Scenarios'!$E$3:$I$80,MATCH('Scenario Picker'!$B$3,'Growth Scenarios'!$F$2:$I$2,0)+1)/1000000000*VLOOKUP($A37,'Growth Scenarios'!$A$3:$D$80,MATCH('Scenario Picker'!$B$2,'Growth Scenarios'!$B$2:$D$2,0)+1)</f>
        <v>64.752194340234439</v>
      </c>
      <c r="I37" s="28">
        <f t="shared" ca="1" si="0"/>
        <v>368.72310145084151</v>
      </c>
      <c r="J37" s="25">
        <f ca="1">(1-'Electrification Scenario'!B43)*VLOOKUP(B$3,'Static Parameters'!$A$3:$B$9,2)*VLOOKUP($A37,'Growth Scenarios'!$E$3:$I$80,MATCH('Scenario Picker'!$B$3,'Growth Scenarios'!$F$2:$I$2,0)+1)/1000000000*VLOOKUP($A37,'Growth Scenarios'!$A$3:$D$80,MATCH('Scenario Picker'!$B$2,'Growth Scenarios'!$B$2:$D$2,0)+1)</f>
        <v>5.3820005685389676</v>
      </c>
      <c r="K37" s="21">
        <f ca="1">(1-'Electrification Scenario'!C43)*VLOOKUP(C$3,'Static Parameters'!$A$3:$B$9,2)*VLOOKUP($A37,'Growth Scenarios'!$E$3:$I$80,MATCH('Scenario Picker'!$B$3,'Growth Scenarios'!$F$2:$I$2,0)+1)/1000000000*VLOOKUP($A37,'Growth Scenarios'!$A$3:$D$80,MATCH('Scenario Picker'!$B$2,'Growth Scenarios'!$B$2:$D$2,0)+1)</f>
        <v>0</v>
      </c>
      <c r="L37" s="21">
        <f ca="1">(1-'Electrification Scenario'!D43)*VLOOKUP(D$3,'Static Parameters'!$A$3:$B$9,2)*VLOOKUP($A37,'Growth Scenarios'!$E$3:$I$80,MATCH('Scenario Picker'!$B$3,'Growth Scenarios'!$F$2:$I$2,0)+1)/1000000000*VLOOKUP($A37,'Growth Scenarios'!$A$3:$D$80,MATCH('Scenario Picker'!$B$2,'Growth Scenarios'!$B$2:$D$2,0)+1)</f>
        <v>0.22425002368912367</v>
      </c>
      <c r="M37" s="21">
        <f ca="1">(1-'Electrification Scenario'!E43)*VLOOKUP(E$3,'Static Parameters'!$A$3:$B$9,2)*VLOOKUP($A37,'Growth Scenarios'!$E$3:$I$80,MATCH('Scenario Picker'!$B$3,'Growth Scenarios'!$F$2:$I$2,0)+1)/1000000000*VLOOKUP($A37,'Growth Scenarios'!$A$3:$D$80,MATCH('Scenario Picker'!$B$2,'Growth Scenarios'!$B$2:$D$2,0)+1)</f>
        <v>0</v>
      </c>
      <c r="N37" s="21">
        <f ca="1">(1-'Electrification Scenario'!F43)*VLOOKUP(F$3,'Static Parameters'!$A$3:$B$9,2)*VLOOKUP($A37,'Growth Scenarios'!$E$3:$I$80,MATCH('Scenario Picker'!$B$3,'Growth Scenarios'!$F$2:$I$2,0)+1)/1000000000*VLOOKUP($A37,'Growth Scenarios'!$A$3:$D$80,MATCH('Scenario Picker'!$B$2,'Growth Scenarios'!$B$2:$D$2,0)+1)</f>
        <v>2.382656501696939</v>
      </c>
      <c r="O37" s="21">
        <f ca="1">(1-'Electrification Scenario'!G43)*VLOOKUP(G$3,'Static Parameters'!$A$3:$B$9,2)*VLOOKUP($A37,'Growth Scenarios'!$E$3:$I$80,MATCH('Scenario Picker'!$B$3,'Growth Scenarios'!$F$2:$I$2,0)+1)/1000000000*VLOOKUP($A37,'Growth Scenarios'!$A$3:$D$80,MATCH('Scenario Picker'!$B$2,'Growth Scenarios'!$B$2:$D$2,0)+1)</f>
        <v>0</v>
      </c>
      <c r="P37" s="21">
        <f ca="1">(1-'Electrification Scenario'!H43)*VLOOKUP(H$3,'Static Parameters'!$A$3:$B$9,2)*VLOOKUP($A37,'Growth Scenarios'!$E$3:$I$80,MATCH('Scenario Picker'!$B$3,'Growth Scenarios'!$F$2:$I$2,0)+1)/1000000000*VLOOKUP($A37,'Growth Scenarios'!$A$3:$D$80,MATCH('Scenario Picker'!$B$2,'Growth Scenarios'!$B$2:$D$2,0)+1)</f>
        <v>43.168129560156302</v>
      </c>
      <c r="Q37" s="28">
        <f t="shared" ca="1" si="1"/>
        <v>51.157036654081331</v>
      </c>
      <c r="R37" s="28">
        <f t="shared" ca="1" si="2"/>
        <v>419.88013810492282</v>
      </c>
    </row>
    <row r="38" spans="1:18" ht="15" x14ac:dyDescent="0.35">
      <c r="A38" s="31">
        <v>2056</v>
      </c>
      <c r="B38" s="25">
        <f ca="1">'Electrification Scenario'!B44*(1-'Electrification Scenario'!B$8*('Electrification Scenario'!B44-'Electrification Scenario'!B$4)/('Electrification Scenario'!B$5-'Electrification Scenario'!B$4))*VLOOKUP(B$3,'Static Parameters'!$A$3:$B$9,2)*VLOOKUP($A38,'Growth Scenarios'!$E$3:$I$80,MATCH('Scenario Picker'!$B$3,'Growth Scenarios'!$F$2:$I$2,0)+1)/1000000000*VLOOKUP($A38,'Growth Scenarios'!$A$3:$D$80,MATCH('Scenario Picker'!$B$2,'Growth Scenarios'!$B$2:$D$2,0)+1)</f>
        <v>6.533295435779821</v>
      </c>
      <c r="C38" s="21">
        <f ca="1">'Electrification Scenario'!C44*(1-'Electrification Scenario'!C$8*('Electrification Scenario'!C44-'Electrification Scenario'!C$4)/('Electrification Scenario'!C$5-'Electrification Scenario'!C$4))*VLOOKUP(C$3,'Static Parameters'!$A$3:$B$9,2)*VLOOKUP($A38,'Growth Scenarios'!$E$3:$I$80,MATCH('Scenario Picker'!$B$3,'Growth Scenarios'!$F$2:$I$2,0)+1)/1000000000*VLOOKUP($A38,'Growth Scenarios'!$A$3:$D$80,MATCH('Scenario Picker'!$B$2,'Growth Scenarios'!$B$2:$D$2,0)+1)</f>
        <v>39.925694329765577</v>
      </c>
      <c r="D38" s="21">
        <f ca="1">'Electrification Scenario'!D44*(1-'Electrification Scenario'!D$8*('Electrification Scenario'!D44-'Electrification Scenario'!D$4)/('Electrification Scenario'!D$5-'Electrification Scenario'!D$4))*VLOOKUP(D$3,'Static Parameters'!$A$3:$B$9,2)*VLOOKUP($A38,'Growth Scenarios'!$E$3:$I$80,MATCH('Scenario Picker'!$B$3,'Growth Scenarios'!$F$2:$I$2,0)+1)/1000000000*VLOOKUP($A38,'Growth Scenarios'!$A$3:$D$80,MATCH('Scenario Picker'!$B$2,'Growth Scenarios'!$B$2:$D$2,0)+1)</f>
        <v>0.27222064315749256</v>
      </c>
      <c r="E38" s="21">
        <f ca="1">'Electrification Scenario'!E44*(1-'Electrification Scenario'!E$8*('Electrification Scenario'!E44-'Electrification Scenario'!E$4)/('Electrification Scenario'!E$5-'Electrification Scenario'!E$4))*VLOOKUP(E$3,'Static Parameters'!$A$3:$B$9,2)*VLOOKUP($A38,'Growth Scenarios'!$E$3:$I$80,MATCH('Scenario Picker'!$B$3,'Growth Scenarios'!$F$2:$I$2,0)+1)/1000000000*VLOOKUP($A38,'Growth Scenarios'!$A$3:$D$80,MATCH('Scenario Picker'!$B$2,'Growth Scenarios'!$B$2:$D$2,0)+1)</f>
        <v>152.897261240125</v>
      </c>
      <c r="F38" s="21">
        <f ca="1">'Electrification Scenario'!F44*(1-'Electrification Scenario'!F$8*('Electrification Scenario'!F44-'Electrification Scenario'!F$4)/('Electrification Scenario'!F$5-'Electrification Scenario'!F$4))*VLOOKUP(F$3,'Static Parameters'!$A$3:$B$9,2)*VLOOKUP($A38,'Growth Scenarios'!$E$3:$I$80,MATCH('Scenario Picker'!$B$3,'Growth Scenarios'!$F$2:$I$2,0)+1)/1000000000*VLOOKUP($A38,'Growth Scenarios'!$A$3:$D$80,MATCH('Scenario Picker'!$B$2,'Growth Scenarios'!$B$2:$D$2,0)+1)</f>
        <v>5.7846886670967184</v>
      </c>
      <c r="G38" s="21">
        <f ca="1">'Electrification Scenario'!G44*(1-'Electrification Scenario'!G$8*('Electrification Scenario'!G44-'Electrification Scenario'!G$4)/('Electrification Scenario'!G$5-'Electrification Scenario'!G$4))*VLOOKUP(G$3,'Static Parameters'!$A$3:$B$9,2)*VLOOKUP($A38,'Growth Scenarios'!$E$3:$I$80,MATCH('Scenario Picker'!$B$3,'Growth Scenarios'!$F$2:$I$2,0)+1)/1000000000*VLOOKUP($A38,'Growth Scenarios'!$A$3:$D$80,MATCH('Scenario Picker'!$B$2,'Growth Scenarios'!$B$2:$D$2,0)+1)</f>
        <v>102.08274118405971</v>
      </c>
      <c r="H38" s="21">
        <f ca="1">'Electrification Scenario'!H44*(1-'Electrification Scenario'!H$8*('Electrification Scenario'!H44-'Electrification Scenario'!H$4)/('Electrification Scenario'!H$5-'Electrification Scenario'!H$4))*VLOOKUP(H$3,'Static Parameters'!$A$3:$B$9,2)*VLOOKUP($A38,'Growth Scenarios'!$E$3:$I$80,MATCH('Scenario Picker'!$B$3,'Growth Scenarios'!$F$2:$I$2,0)+1)/1000000000*VLOOKUP($A38,'Growth Scenarios'!$A$3:$D$80,MATCH('Scenario Picker'!$B$2,'Growth Scenarios'!$B$2:$D$2,0)+1)</f>
        <v>65.503092259771634</v>
      </c>
      <c r="I38" s="28">
        <f t="shared" ca="1" si="0"/>
        <v>372.99899375975593</v>
      </c>
      <c r="J38" s="25">
        <f ca="1">(1-'Electrification Scenario'!B44)*VLOOKUP(B$3,'Static Parameters'!$A$3:$B$9,2)*VLOOKUP($A38,'Growth Scenarios'!$E$3:$I$80,MATCH('Scenario Picker'!$B$3,'Growth Scenarios'!$F$2:$I$2,0)+1)/1000000000*VLOOKUP($A38,'Growth Scenarios'!$A$3:$D$80,MATCH('Scenario Picker'!$B$2,'Growth Scenarios'!$B$2:$D$2,0)+1)</f>
        <v>5.4444128631498518</v>
      </c>
      <c r="K38" s="21">
        <f ca="1">(1-'Electrification Scenario'!C44)*VLOOKUP(C$3,'Static Parameters'!$A$3:$B$9,2)*VLOOKUP($A38,'Growth Scenarios'!$E$3:$I$80,MATCH('Scenario Picker'!$B$3,'Growth Scenarios'!$F$2:$I$2,0)+1)/1000000000*VLOOKUP($A38,'Growth Scenarios'!$A$3:$D$80,MATCH('Scenario Picker'!$B$2,'Growth Scenarios'!$B$2:$D$2,0)+1)</f>
        <v>0</v>
      </c>
      <c r="L38" s="21">
        <f ca="1">(1-'Electrification Scenario'!D44)*VLOOKUP(D$3,'Static Parameters'!$A$3:$B$9,2)*VLOOKUP($A38,'Growth Scenarios'!$E$3:$I$80,MATCH('Scenario Picker'!$B$3,'Growth Scenarios'!$F$2:$I$2,0)+1)/1000000000*VLOOKUP($A38,'Growth Scenarios'!$A$3:$D$80,MATCH('Scenario Picker'!$B$2,'Growth Scenarios'!$B$2:$D$2,0)+1)</f>
        <v>0.22685053596457713</v>
      </c>
      <c r="M38" s="21">
        <f ca="1">(1-'Electrification Scenario'!E44)*VLOOKUP(E$3,'Static Parameters'!$A$3:$B$9,2)*VLOOKUP($A38,'Growth Scenarios'!$E$3:$I$80,MATCH('Scenario Picker'!$B$3,'Growth Scenarios'!$F$2:$I$2,0)+1)/1000000000*VLOOKUP($A38,'Growth Scenarios'!$A$3:$D$80,MATCH('Scenario Picker'!$B$2,'Growth Scenarios'!$B$2:$D$2,0)+1)</f>
        <v>0</v>
      </c>
      <c r="N38" s="21">
        <f ca="1">(1-'Electrification Scenario'!F44)*VLOOKUP(F$3,'Static Parameters'!$A$3:$B$9,2)*VLOOKUP($A38,'Growth Scenarios'!$E$3:$I$80,MATCH('Scenario Picker'!$B$3,'Growth Scenarios'!$F$2:$I$2,0)+1)/1000000000*VLOOKUP($A38,'Growth Scenarios'!$A$3:$D$80,MATCH('Scenario Picker'!$B$2,'Growth Scenarios'!$B$2:$D$2,0)+1)</f>
        <v>2.4102869446236324</v>
      </c>
      <c r="O38" s="21">
        <f ca="1">(1-'Electrification Scenario'!G44)*VLOOKUP(G$3,'Static Parameters'!$A$3:$B$9,2)*VLOOKUP($A38,'Growth Scenarios'!$E$3:$I$80,MATCH('Scenario Picker'!$B$3,'Growth Scenarios'!$F$2:$I$2,0)+1)/1000000000*VLOOKUP($A38,'Growth Scenarios'!$A$3:$D$80,MATCH('Scenario Picker'!$B$2,'Growth Scenarios'!$B$2:$D$2,0)+1)</f>
        <v>0</v>
      </c>
      <c r="P38" s="21">
        <f ca="1">(1-'Electrification Scenario'!H44)*VLOOKUP(H$3,'Static Parameters'!$A$3:$B$9,2)*VLOOKUP($A38,'Growth Scenarios'!$E$3:$I$80,MATCH('Scenario Picker'!$B$3,'Growth Scenarios'!$F$2:$I$2,0)+1)/1000000000*VLOOKUP($A38,'Growth Scenarios'!$A$3:$D$80,MATCH('Scenario Picker'!$B$2,'Growth Scenarios'!$B$2:$D$2,0)+1)</f>
        <v>43.668728173181094</v>
      </c>
      <c r="Q38" s="28">
        <f t="shared" ca="1" si="1"/>
        <v>51.750278516919153</v>
      </c>
      <c r="R38" s="28">
        <f t="shared" ca="1" si="2"/>
        <v>424.74927227667507</v>
      </c>
    </row>
    <row r="39" spans="1:18" ht="15" x14ac:dyDescent="0.35">
      <c r="A39" s="31">
        <v>2057</v>
      </c>
      <c r="B39" s="25">
        <f ca="1">'Electrification Scenario'!B45*(1-'Electrification Scenario'!B$8*('Electrification Scenario'!B45-'Electrification Scenario'!B$4)/('Electrification Scenario'!B$5-'Electrification Scenario'!B$4))*VLOOKUP(B$3,'Static Parameters'!$A$3:$B$9,2)*VLOOKUP($A39,'Growth Scenarios'!$E$3:$I$80,MATCH('Scenario Picker'!$B$3,'Growth Scenarios'!$F$2:$I$2,0)+1)/1000000000*VLOOKUP($A39,'Growth Scenarios'!$A$3:$D$80,MATCH('Scenario Picker'!$B$2,'Growth Scenarios'!$B$2:$D$2,0)+1)</f>
        <v>6.6080763992502201</v>
      </c>
      <c r="C39" s="21">
        <f ca="1">'Electrification Scenario'!C45*(1-'Electrification Scenario'!C$8*('Electrification Scenario'!C45-'Electrification Scenario'!C$4)/('Electrification Scenario'!C$5-'Electrification Scenario'!C$4))*VLOOKUP(C$3,'Static Parameters'!$A$3:$B$9,2)*VLOOKUP($A39,'Growth Scenarios'!$E$3:$I$80,MATCH('Scenario Picker'!$B$3,'Growth Scenarios'!$F$2:$I$2,0)+1)/1000000000*VLOOKUP($A39,'Growth Scenarios'!$A$3:$D$80,MATCH('Scenario Picker'!$B$2,'Growth Scenarios'!$B$2:$D$2,0)+1)</f>
        <v>40.382689106529128</v>
      </c>
      <c r="D39" s="21">
        <f ca="1">'Electrification Scenario'!D45*(1-'Electrification Scenario'!D$8*('Electrification Scenario'!D45-'Electrification Scenario'!D$4)/('Electrification Scenario'!D$5-'Electrification Scenario'!D$4))*VLOOKUP(D$3,'Static Parameters'!$A$3:$B$9,2)*VLOOKUP($A39,'Growth Scenarios'!$E$3:$I$80,MATCH('Scenario Picker'!$B$3,'Growth Scenarios'!$F$2:$I$2,0)+1)/1000000000*VLOOKUP($A39,'Growth Scenarios'!$A$3:$D$80,MATCH('Scenario Picker'!$B$2,'Growth Scenarios'!$B$2:$D$2,0)+1)</f>
        <v>0.27533651663542591</v>
      </c>
      <c r="E39" s="21">
        <f ca="1">'Electrification Scenario'!E45*(1-'Electrification Scenario'!E$8*('Electrification Scenario'!E45-'Electrification Scenario'!E$4)/('Electrification Scenario'!E$5-'Electrification Scenario'!E$4))*VLOOKUP(E$3,'Static Parameters'!$A$3:$B$9,2)*VLOOKUP($A39,'Growth Scenarios'!$E$3:$I$80,MATCH('Scenario Picker'!$B$3,'Growth Scenarios'!$F$2:$I$2,0)+1)/1000000000*VLOOKUP($A39,'Growth Scenarios'!$A$3:$D$80,MATCH('Scenario Picker'!$B$2,'Growth Scenarios'!$B$2:$D$2,0)+1)</f>
        <v>154.64734351023085</v>
      </c>
      <c r="F39" s="21">
        <f ca="1">'Electrification Scenario'!F45*(1-'Electrification Scenario'!F$8*('Electrification Scenario'!F45-'Electrification Scenario'!F$4)/('Electrification Scenario'!F$5-'Electrification Scenario'!F$4))*VLOOKUP(F$3,'Static Parameters'!$A$3:$B$9,2)*VLOOKUP($A39,'Growth Scenarios'!$E$3:$I$80,MATCH('Scenario Picker'!$B$3,'Growth Scenarios'!$F$2:$I$2,0)+1)/1000000000*VLOOKUP($A39,'Growth Scenarios'!$A$3:$D$80,MATCH('Scenario Picker'!$B$2,'Growth Scenarios'!$B$2:$D$2,0)+1)</f>
        <v>5.8509009785028017</v>
      </c>
      <c r="G39" s="21">
        <f ca="1">'Electrification Scenario'!G45*(1-'Electrification Scenario'!G$8*('Electrification Scenario'!G45-'Electrification Scenario'!G$4)/('Electrification Scenario'!G$5-'Electrification Scenario'!G$4))*VLOOKUP(G$3,'Static Parameters'!$A$3:$B$9,2)*VLOOKUP($A39,'Growth Scenarios'!$E$3:$I$80,MATCH('Scenario Picker'!$B$3,'Growth Scenarios'!$F$2:$I$2,0)+1)/1000000000*VLOOKUP($A39,'Growth Scenarios'!$A$3:$D$80,MATCH('Scenario Picker'!$B$2,'Growth Scenarios'!$B$2:$D$2,0)+1)</f>
        <v>103.25119373828471</v>
      </c>
      <c r="H39" s="21">
        <f ca="1">'Electrification Scenario'!H45*(1-'Electrification Scenario'!H$8*('Electrification Scenario'!H45-'Electrification Scenario'!H$4)/('Electrification Scenario'!H$5-'Electrification Scenario'!H$4))*VLOOKUP(H$3,'Static Parameters'!$A$3:$B$9,2)*VLOOKUP($A39,'Growth Scenarios'!$E$3:$I$80,MATCH('Scenario Picker'!$B$3,'Growth Scenarios'!$F$2:$I$2,0)+1)/1000000000*VLOOKUP($A39,'Growth Scenarios'!$A$3:$D$80,MATCH('Scenario Picker'!$B$2,'Growth Scenarios'!$B$2:$D$2,0)+1)</f>
        <v>66.252849315399345</v>
      </c>
      <c r="I39" s="28">
        <f t="shared" ca="1" si="0"/>
        <v>377.26838956483243</v>
      </c>
      <c r="J39" s="25">
        <f ca="1">(1-'Electrification Scenario'!B45)*VLOOKUP(B$3,'Static Parameters'!$A$3:$B$9,2)*VLOOKUP($A39,'Growth Scenarios'!$E$3:$I$80,MATCH('Scenario Picker'!$B$3,'Growth Scenarios'!$F$2:$I$2,0)+1)/1000000000*VLOOKUP($A39,'Growth Scenarios'!$A$3:$D$80,MATCH('Scenario Picker'!$B$2,'Growth Scenarios'!$B$2:$D$2,0)+1)</f>
        <v>5.5067303327085178</v>
      </c>
      <c r="K39" s="21">
        <f ca="1">(1-'Electrification Scenario'!C45)*VLOOKUP(C$3,'Static Parameters'!$A$3:$B$9,2)*VLOOKUP($A39,'Growth Scenarios'!$E$3:$I$80,MATCH('Scenario Picker'!$B$3,'Growth Scenarios'!$F$2:$I$2,0)+1)/1000000000*VLOOKUP($A39,'Growth Scenarios'!$A$3:$D$80,MATCH('Scenario Picker'!$B$2,'Growth Scenarios'!$B$2:$D$2,0)+1)</f>
        <v>0</v>
      </c>
      <c r="L39" s="21">
        <f ca="1">(1-'Electrification Scenario'!D45)*VLOOKUP(D$3,'Static Parameters'!$A$3:$B$9,2)*VLOOKUP($A39,'Growth Scenarios'!$E$3:$I$80,MATCH('Scenario Picker'!$B$3,'Growth Scenarios'!$F$2:$I$2,0)+1)/1000000000*VLOOKUP($A39,'Growth Scenarios'!$A$3:$D$80,MATCH('Scenario Picker'!$B$2,'Growth Scenarios'!$B$2:$D$2,0)+1)</f>
        <v>0.22944709719618825</v>
      </c>
      <c r="M39" s="21">
        <f ca="1">(1-'Electrification Scenario'!E45)*VLOOKUP(E$3,'Static Parameters'!$A$3:$B$9,2)*VLOOKUP($A39,'Growth Scenarios'!$E$3:$I$80,MATCH('Scenario Picker'!$B$3,'Growth Scenarios'!$F$2:$I$2,0)+1)/1000000000*VLOOKUP($A39,'Growth Scenarios'!$A$3:$D$80,MATCH('Scenario Picker'!$B$2,'Growth Scenarios'!$B$2:$D$2,0)+1)</f>
        <v>0</v>
      </c>
      <c r="N39" s="21">
        <f ca="1">(1-'Electrification Scenario'!F45)*VLOOKUP(F$3,'Static Parameters'!$A$3:$B$9,2)*VLOOKUP($A39,'Growth Scenarios'!$E$3:$I$80,MATCH('Scenario Picker'!$B$3,'Growth Scenarios'!$F$2:$I$2,0)+1)/1000000000*VLOOKUP($A39,'Growth Scenarios'!$A$3:$D$80,MATCH('Scenario Picker'!$B$2,'Growth Scenarios'!$B$2:$D$2,0)+1)</f>
        <v>2.4378754077095</v>
      </c>
      <c r="O39" s="21">
        <f ca="1">(1-'Electrification Scenario'!G45)*VLOOKUP(G$3,'Static Parameters'!$A$3:$B$9,2)*VLOOKUP($A39,'Growth Scenarios'!$E$3:$I$80,MATCH('Scenario Picker'!$B$3,'Growth Scenarios'!$F$2:$I$2,0)+1)/1000000000*VLOOKUP($A39,'Growth Scenarios'!$A$3:$D$80,MATCH('Scenario Picker'!$B$2,'Growth Scenarios'!$B$2:$D$2,0)+1)</f>
        <v>0</v>
      </c>
      <c r="P39" s="21">
        <f ca="1">(1-'Electrification Scenario'!H45)*VLOOKUP(H$3,'Static Parameters'!$A$3:$B$9,2)*VLOOKUP($A39,'Growth Scenarios'!$E$3:$I$80,MATCH('Scenario Picker'!$B$3,'Growth Scenarios'!$F$2:$I$2,0)+1)/1000000000*VLOOKUP($A39,'Growth Scenarios'!$A$3:$D$80,MATCH('Scenario Picker'!$B$2,'Growth Scenarios'!$B$2:$D$2,0)+1)</f>
        <v>44.168566210266228</v>
      </c>
      <c r="Q39" s="28">
        <f t="shared" ca="1" si="1"/>
        <v>52.342619047880433</v>
      </c>
      <c r="R39" s="28">
        <f t="shared" ca="1" si="2"/>
        <v>429.61100861271285</v>
      </c>
    </row>
    <row r="40" spans="1:18" ht="15" x14ac:dyDescent="0.35">
      <c r="A40" s="31">
        <v>2058</v>
      </c>
      <c r="B40" s="25">
        <f ca="1">'Electrification Scenario'!B46*(1-'Electrification Scenario'!B$8*('Electrification Scenario'!B46-'Electrification Scenario'!B$4)/('Electrification Scenario'!B$5-'Electrification Scenario'!B$4))*VLOOKUP(B$3,'Static Parameters'!$A$3:$B$9,2)*VLOOKUP($A40,'Growth Scenarios'!$E$3:$I$80,MATCH('Scenario Picker'!$B$3,'Growth Scenarios'!$F$2:$I$2,0)+1)/1000000000*VLOOKUP($A40,'Growth Scenarios'!$A$3:$D$80,MATCH('Scenario Picker'!$B$2,'Growth Scenarios'!$B$2:$D$2,0)+1)</f>
        <v>6.6826194232070524</v>
      </c>
      <c r="C40" s="21">
        <f ca="1">'Electrification Scenario'!C46*(1-'Electrification Scenario'!C$8*('Electrification Scenario'!C46-'Electrification Scenario'!C$4)/('Electrification Scenario'!C$5-'Electrification Scenario'!C$4))*VLOOKUP(C$3,'Static Parameters'!$A$3:$B$9,2)*VLOOKUP($A40,'Growth Scenarios'!$E$3:$I$80,MATCH('Scenario Picker'!$B$3,'Growth Scenarios'!$F$2:$I$2,0)+1)/1000000000*VLOOKUP($A40,'Growth Scenarios'!$A$3:$D$80,MATCH('Scenario Picker'!$B$2,'Growth Scenarios'!$B$2:$D$2,0)+1)</f>
        <v>40.838229808487547</v>
      </c>
      <c r="D40" s="21">
        <f ca="1">'Electrification Scenario'!D46*(1-'Electrification Scenario'!D$8*('Electrification Scenario'!D46-'Electrification Scenario'!D$4)/('Electrification Scenario'!D$5-'Electrification Scenario'!D$4))*VLOOKUP(D$3,'Static Parameters'!$A$3:$B$9,2)*VLOOKUP($A40,'Growth Scenarios'!$E$3:$I$80,MATCH('Scenario Picker'!$B$3,'Growth Scenarios'!$F$2:$I$2,0)+1)/1000000000*VLOOKUP($A40,'Growth Scenarios'!$A$3:$D$80,MATCH('Scenario Picker'!$B$2,'Growth Scenarios'!$B$2:$D$2,0)+1)</f>
        <v>0.27844247596696053</v>
      </c>
      <c r="E40" s="21">
        <f ca="1">'Electrification Scenario'!E46*(1-'Electrification Scenario'!E$8*('Electrification Scenario'!E46-'Electrification Scenario'!E$4)/('Electrification Scenario'!E$5-'Electrification Scenario'!E$4))*VLOOKUP(E$3,'Static Parameters'!$A$3:$B$9,2)*VLOOKUP($A40,'Growth Scenarios'!$E$3:$I$80,MATCH('Scenario Picker'!$B$3,'Growth Scenarios'!$F$2:$I$2,0)+1)/1000000000*VLOOKUP($A40,'Growth Scenarios'!$A$3:$D$80,MATCH('Scenario Picker'!$B$2,'Growth Scenarios'!$B$2:$D$2,0)+1)</f>
        <v>156.39185733477618</v>
      </c>
      <c r="F40" s="21">
        <f ca="1">'Electrification Scenario'!F46*(1-'Electrification Scenario'!F$8*('Electrification Scenario'!F46-'Electrification Scenario'!F$4)/('Electrification Scenario'!F$5-'Electrification Scenario'!F$4))*VLOOKUP(F$3,'Static Parameters'!$A$3:$B$9,2)*VLOOKUP($A40,'Growth Scenarios'!$E$3:$I$80,MATCH('Scenario Picker'!$B$3,'Growth Scenarios'!$F$2:$I$2,0)+1)/1000000000*VLOOKUP($A40,'Growth Scenarios'!$A$3:$D$80,MATCH('Scenario Picker'!$B$2,'Growth Scenarios'!$B$2:$D$2,0)+1)</f>
        <v>5.9169026142979115</v>
      </c>
      <c r="G40" s="21">
        <f ca="1">'Electrification Scenario'!G46*(1-'Electrification Scenario'!G$8*('Electrification Scenario'!G46-'Electrification Scenario'!G$4)/('Electrification Scenario'!G$5-'Electrification Scenario'!G$4))*VLOOKUP(G$3,'Static Parameters'!$A$3:$B$9,2)*VLOOKUP($A40,'Growth Scenarios'!$E$3:$I$80,MATCH('Scenario Picker'!$B$3,'Growth Scenarios'!$F$2:$I$2,0)+1)/1000000000*VLOOKUP($A40,'Growth Scenarios'!$A$3:$D$80,MATCH('Scenario Picker'!$B$2,'Growth Scenarios'!$B$2:$D$2,0)+1)</f>
        <v>104.41592848761022</v>
      </c>
      <c r="H40" s="21">
        <f ca="1">'Electrification Scenario'!H46*(1-'Electrification Scenario'!H$8*('Electrification Scenario'!H46-'Electrification Scenario'!H$4)/('Electrification Scenario'!H$5-'Electrification Scenario'!H$4))*VLOOKUP(H$3,'Static Parameters'!$A$3:$B$9,2)*VLOOKUP($A40,'Growth Scenarios'!$E$3:$I$80,MATCH('Scenario Picker'!$B$3,'Growth Scenarios'!$F$2:$I$2,0)+1)/1000000000*VLOOKUP($A40,'Growth Scenarios'!$A$3:$D$80,MATCH('Scenario Picker'!$B$2,'Growth Scenarios'!$B$2:$D$2,0)+1)</f>
        <v>67.000220779549878</v>
      </c>
      <c r="I40" s="28">
        <f t="shared" ca="1" si="0"/>
        <v>381.52420092389571</v>
      </c>
      <c r="J40" s="25">
        <f ca="1">(1-'Electrification Scenario'!B46)*VLOOKUP(B$3,'Static Parameters'!$A$3:$B$9,2)*VLOOKUP($A40,'Growth Scenarios'!$E$3:$I$80,MATCH('Scenario Picker'!$B$3,'Growth Scenarios'!$F$2:$I$2,0)+1)/1000000000*VLOOKUP($A40,'Growth Scenarios'!$A$3:$D$80,MATCH('Scenario Picker'!$B$2,'Growth Scenarios'!$B$2:$D$2,0)+1)</f>
        <v>5.5688495193392109</v>
      </c>
      <c r="K40" s="21">
        <f ca="1">(1-'Electrification Scenario'!C46)*VLOOKUP(C$3,'Static Parameters'!$A$3:$B$9,2)*VLOOKUP($A40,'Growth Scenarios'!$E$3:$I$80,MATCH('Scenario Picker'!$B$3,'Growth Scenarios'!$F$2:$I$2,0)+1)/1000000000*VLOOKUP($A40,'Growth Scenarios'!$A$3:$D$80,MATCH('Scenario Picker'!$B$2,'Growth Scenarios'!$B$2:$D$2,0)+1)</f>
        <v>0</v>
      </c>
      <c r="L40" s="21">
        <f ca="1">(1-'Electrification Scenario'!D46)*VLOOKUP(D$3,'Static Parameters'!$A$3:$B$9,2)*VLOOKUP($A40,'Growth Scenarios'!$E$3:$I$80,MATCH('Scenario Picker'!$B$3,'Growth Scenarios'!$F$2:$I$2,0)+1)/1000000000*VLOOKUP($A40,'Growth Scenarios'!$A$3:$D$80,MATCH('Scenario Picker'!$B$2,'Growth Scenarios'!$B$2:$D$2,0)+1)</f>
        <v>0.23203539663913378</v>
      </c>
      <c r="M40" s="21">
        <f ca="1">(1-'Electrification Scenario'!E46)*VLOOKUP(E$3,'Static Parameters'!$A$3:$B$9,2)*VLOOKUP($A40,'Growth Scenarios'!$E$3:$I$80,MATCH('Scenario Picker'!$B$3,'Growth Scenarios'!$F$2:$I$2,0)+1)/1000000000*VLOOKUP($A40,'Growth Scenarios'!$A$3:$D$80,MATCH('Scenario Picker'!$B$2,'Growth Scenarios'!$B$2:$D$2,0)+1)</f>
        <v>0</v>
      </c>
      <c r="N40" s="21">
        <f ca="1">(1-'Electrification Scenario'!F46)*VLOOKUP(F$3,'Static Parameters'!$A$3:$B$9,2)*VLOOKUP($A40,'Growth Scenarios'!$E$3:$I$80,MATCH('Scenario Picker'!$B$3,'Growth Scenarios'!$F$2:$I$2,0)+1)/1000000000*VLOOKUP($A40,'Growth Scenarios'!$A$3:$D$80,MATCH('Scenario Picker'!$B$2,'Growth Scenarios'!$B$2:$D$2,0)+1)</f>
        <v>2.4653760892907961</v>
      </c>
      <c r="O40" s="21">
        <f ca="1">(1-'Electrification Scenario'!G46)*VLOOKUP(G$3,'Static Parameters'!$A$3:$B$9,2)*VLOOKUP($A40,'Growth Scenarios'!$E$3:$I$80,MATCH('Scenario Picker'!$B$3,'Growth Scenarios'!$F$2:$I$2,0)+1)/1000000000*VLOOKUP($A40,'Growth Scenarios'!$A$3:$D$80,MATCH('Scenario Picker'!$B$2,'Growth Scenarios'!$B$2:$D$2,0)+1)</f>
        <v>0</v>
      </c>
      <c r="P40" s="21">
        <f ca="1">(1-'Electrification Scenario'!H46)*VLOOKUP(H$3,'Static Parameters'!$A$3:$B$9,2)*VLOOKUP($A40,'Growth Scenarios'!$E$3:$I$80,MATCH('Scenario Picker'!$B$3,'Growth Scenarios'!$F$2:$I$2,0)+1)/1000000000*VLOOKUP($A40,'Growth Scenarios'!$A$3:$D$80,MATCH('Scenario Picker'!$B$2,'Growth Scenarios'!$B$2:$D$2,0)+1)</f>
        <v>44.666813853033254</v>
      </c>
      <c r="Q40" s="28">
        <f t="shared" ca="1" si="1"/>
        <v>52.93307485830239</v>
      </c>
      <c r="R40" s="28">
        <f t="shared" ca="1" si="2"/>
        <v>434.45727578219811</v>
      </c>
    </row>
    <row r="41" spans="1:18" ht="15" x14ac:dyDescent="0.35">
      <c r="A41" s="31">
        <v>2059</v>
      </c>
      <c r="B41" s="25">
        <f ca="1">'Electrification Scenario'!B47*(1-'Electrification Scenario'!B$8*('Electrification Scenario'!B47-'Electrification Scenario'!B$4)/('Electrification Scenario'!B$5-'Electrification Scenario'!B$4))*VLOOKUP(B$3,'Static Parameters'!$A$3:$B$9,2)*VLOOKUP($A41,'Growth Scenarios'!$E$3:$I$80,MATCH('Scenario Picker'!$B$3,'Growth Scenarios'!$F$2:$I$2,0)+1)/1000000000*VLOOKUP($A41,'Growth Scenarios'!$A$3:$D$80,MATCH('Scenario Picker'!$B$2,'Growth Scenarios'!$B$2:$D$2,0)+1)</f>
        <v>6.7568165343554405</v>
      </c>
      <c r="C41" s="21">
        <f ca="1">'Electrification Scenario'!C47*(1-'Electrification Scenario'!C$8*('Electrification Scenario'!C47-'Electrification Scenario'!C$4)/('Electrification Scenario'!C$5-'Electrification Scenario'!C$4))*VLOOKUP(C$3,'Static Parameters'!$A$3:$B$9,2)*VLOOKUP($A41,'Growth Scenarios'!$E$3:$I$80,MATCH('Scenario Picker'!$B$3,'Growth Scenarios'!$F$2:$I$2,0)+1)/1000000000*VLOOKUP($A41,'Growth Scenarios'!$A$3:$D$80,MATCH('Scenario Picker'!$B$2,'Growth Scenarios'!$B$2:$D$2,0)+1)</f>
        <v>41.291656598838806</v>
      </c>
      <c r="D41" s="21">
        <f ca="1">'Electrification Scenario'!D47*(1-'Electrification Scenario'!D$8*('Electrification Scenario'!D47-'Electrification Scenario'!D$4)/('Electrification Scenario'!D$5-'Electrification Scenario'!D$4))*VLOOKUP(D$3,'Static Parameters'!$A$3:$B$9,2)*VLOOKUP($A41,'Growth Scenarios'!$E$3:$I$80,MATCH('Scenario Picker'!$B$3,'Growth Scenarios'!$F$2:$I$2,0)+1)/1000000000*VLOOKUP($A41,'Growth Scenarios'!$A$3:$D$80,MATCH('Scenario Picker'!$B$2,'Growth Scenarios'!$B$2:$D$2,0)+1)</f>
        <v>0.28153402226481006</v>
      </c>
      <c r="E41" s="21">
        <f ca="1">'Electrification Scenario'!E47*(1-'Electrification Scenario'!E$8*('Electrification Scenario'!E47-'Electrification Scenario'!E$4)/('Electrification Scenario'!E$5-'Electrification Scenario'!E$4))*VLOOKUP(E$3,'Static Parameters'!$A$3:$B$9,2)*VLOOKUP($A41,'Growth Scenarios'!$E$3:$I$80,MATCH('Scenario Picker'!$B$3,'Growth Scenarios'!$F$2:$I$2,0)+1)/1000000000*VLOOKUP($A41,'Growth Scenarios'!$A$3:$D$80,MATCH('Scenario Picker'!$B$2,'Growth Scenarios'!$B$2:$D$2,0)+1)</f>
        <v>158.12827583873499</v>
      </c>
      <c r="F41" s="21">
        <f ca="1">'Electrification Scenario'!F47*(1-'Electrification Scenario'!F$8*('Electrification Scenario'!F47-'Electrification Scenario'!F$4)/('Electrification Scenario'!F$5-'Electrification Scenario'!F$4))*VLOOKUP(F$3,'Static Parameters'!$A$3:$B$9,2)*VLOOKUP($A41,'Growth Scenarios'!$E$3:$I$80,MATCH('Scenario Picker'!$B$3,'Growth Scenarios'!$F$2:$I$2,0)+1)/1000000000*VLOOKUP($A41,'Growth Scenarios'!$A$3:$D$80,MATCH('Scenario Picker'!$B$2,'Growth Scenarios'!$B$2:$D$2,0)+1)</f>
        <v>5.9825979731272145</v>
      </c>
      <c r="G41" s="21">
        <f ca="1">'Electrification Scenario'!G47*(1-'Electrification Scenario'!G$8*('Electrification Scenario'!G47-'Electrification Scenario'!G$4)/('Electrification Scenario'!G$5-'Electrification Scenario'!G$4))*VLOOKUP(G$3,'Static Parameters'!$A$3:$B$9,2)*VLOOKUP($A41,'Growth Scenarios'!$E$3:$I$80,MATCH('Scenario Picker'!$B$3,'Growth Scenarios'!$F$2:$I$2,0)+1)/1000000000*VLOOKUP($A41,'Growth Scenarios'!$A$3:$D$80,MATCH('Scenario Picker'!$B$2,'Growth Scenarios'!$B$2:$D$2,0)+1)</f>
        <v>105.57525834930378</v>
      </c>
      <c r="H41" s="21">
        <f ca="1">'Electrification Scenario'!H47*(1-'Electrification Scenario'!H$8*('Electrification Scenario'!H47-'Electrification Scenario'!H$4)/('Electrification Scenario'!H$5-'Electrification Scenario'!H$4))*VLOOKUP(H$3,'Static Parameters'!$A$3:$B$9,2)*VLOOKUP($A41,'Growth Scenarios'!$E$3:$I$80,MATCH('Scenario Picker'!$B$3,'Growth Scenarios'!$F$2:$I$2,0)+1)/1000000000*VLOOKUP($A41,'Growth Scenarios'!$A$3:$D$80,MATCH('Scenario Picker'!$B$2,'Growth Scenarios'!$B$2:$D$2,0)+1)</f>
        <v>67.744124107469915</v>
      </c>
      <c r="I41" s="28">
        <f t="shared" ca="1" si="0"/>
        <v>385.760263424095</v>
      </c>
      <c r="J41" s="25">
        <f ca="1">(1-'Electrification Scenario'!B47)*VLOOKUP(B$3,'Static Parameters'!$A$3:$B$9,2)*VLOOKUP($A41,'Growth Scenarios'!$E$3:$I$80,MATCH('Scenario Picker'!$B$3,'Growth Scenarios'!$F$2:$I$2,0)+1)/1000000000*VLOOKUP($A41,'Growth Scenarios'!$A$3:$D$80,MATCH('Scenario Picker'!$B$2,'Growth Scenarios'!$B$2:$D$2,0)+1)</f>
        <v>5.6306804452962007</v>
      </c>
      <c r="K41" s="21">
        <f ca="1">(1-'Electrification Scenario'!C47)*VLOOKUP(C$3,'Static Parameters'!$A$3:$B$9,2)*VLOOKUP($A41,'Growth Scenarios'!$E$3:$I$80,MATCH('Scenario Picker'!$B$3,'Growth Scenarios'!$F$2:$I$2,0)+1)/1000000000*VLOOKUP($A41,'Growth Scenarios'!$A$3:$D$80,MATCH('Scenario Picker'!$B$2,'Growth Scenarios'!$B$2:$D$2,0)+1)</f>
        <v>0</v>
      </c>
      <c r="L41" s="21">
        <f ca="1">(1-'Electrification Scenario'!D47)*VLOOKUP(D$3,'Static Parameters'!$A$3:$B$9,2)*VLOOKUP($A41,'Growth Scenarios'!$E$3:$I$80,MATCH('Scenario Picker'!$B$3,'Growth Scenarios'!$F$2:$I$2,0)+1)/1000000000*VLOOKUP($A41,'Growth Scenarios'!$A$3:$D$80,MATCH('Scenario Picker'!$B$2,'Growth Scenarios'!$B$2:$D$2,0)+1)</f>
        <v>0.23461168522067508</v>
      </c>
      <c r="M41" s="21">
        <f ca="1">(1-'Electrification Scenario'!E47)*VLOOKUP(E$3,'Static Parameters'!$A$3:$B$9,2)*VLOOKUP($A41,'Growth Scenarios'!$E$3:$I$80,MATCH('Scenario Picker'!$B$3,'Growth Scenarios'!$F$2:$I$2,0)+1)/1000000000*VLOOKUP($A41,'Growth Scenarios'!$A$3:$D$80,MATCH('Scenario Picker'!$B$2,'Growth Scenarios'!$B$2:$D$2,0)+1)</f>
        <v>0</v>
      </c>
      <c r="N41" s="21">
        <f ca="1">(1-'Electrification Scenario'!F47)*VLOOKUP(F$3,'Static Parameters'!$A$3:$B$9,2)*VLOOKUP($A41,'Growth Scenarios'!$E$3:$I$80,MATCH('Scenario Picker'!$B$3,'Growth Scenarios'!$F$2:$I$2,0)+1)/1000000000*VLOOKUP($A41,'Growth Scenarios'!$A$3:$D$80,MATCH('Scenario Picker'!$B$2,'Growth Scenarios'!$B$2:$D$2,0)+1)</f>
        <v>2.4927491554696721</v>
      </c>
      <c r="O41" s="21">
        <f ca="1">(1-'Electrification Scenario'!G47)*VLOOKUP(G$3,'Static Parameters'!$A$3:$B$9,2)*VLOOKUP($A41,'Growth Scenarios'!$E$3:$I$80,MATCH('Scenario Picker'!$B$3,'Growth Scenarios'!$F$2:$I$2,0)+1)/1000000000*VLOOKUP($A41,'Growth Scenarios'!$A$3:$D$80,MATCH('Scenario Picker'!$B$2,'Growth Scenarios'!$B$2:$D$2,0)+1)</f>
        <v>0</v>
      </c>
      <c r="P41" s="21">
        <f ca="1">(1-'Electrification Scenario'!H47)*VLOOKUP(H$3,'Static Parameters'!$A$3:$B$9,2)*VLOOKUP($A41,'Growth Scenarios'!$E$3:$I$80,MATCH('Scenario Picker'!$B$3,'Growth Scenarios'!$F$2:$I$2,0)+1)/1000000000*VLOOKUP($A41,'Growth Scenarios'!$A$3:$D$80,MATCH('Scenario Picker'!$B$2,'Growth Scenarios'!$B$2:$D$2,0)+1)</f>
        <v>45.162749404979948</v>
      </c>
      <c r="Q41" s="28">
        <f t="shared" ca="1" si="1"/>
        <v>53.520790690966493</v>
      </c>
      <c r="R41" s="28">
        <f t="shared" ca="1" si="2"/>
        <v>439.28105411506147</v>
      </c>
    </row>
    <row r="42" spans="1:18" ht="15" x14ac:dyDescent="0.35">
      <c r="A42" s="31">
        <v>2060</v>
      </c>
      <c r="B42" s="25">
        <f ca="1">'Electrification Scenario'!B48*(1-'Electrification Scenario'!B$8*('Electrification Scenario'!B48-'Electrification Scenario'!B$4)/('Electrification Scenario'!B$5-'Electrification Scenario'!B$4))*VLOOKUP(B$3,'Static Parameters'!$A$3:$B$9,2)*VLOOKUP($A42,'Growth Scenarios'!$E$3:$I$80,MATCH('Scenario Picker'!$B$3,'Growth Scenarios'!$F$2:$I$2,0)+1)/1000000000*VLOOKUP($A42,'Growth Scenarios'!$A$3:$D$80,MATCH('Scenario Picker'!$B$2,'Growth Scenarios'!$B$2:$D$2,0)+1)</f>
        <v>6.8305626764448233</v>
      </c>
      <c r="C42" s="21">
        <f ca="1">'Electrification Scenario'!C48*(1-'Electrification Scenario'!C$8*('Electrification Scenario'!C48-'Electrification Scenario'!C$4)/('Electrification Scenario'!C$5-'Electrification Scenario'!C$4))*VLOOKUP(C$3,'Static Parameters'!$A$3:$B$9,2)*VLOOKUP($A42,'Growth Scenarios'!$E$3:$I$80,MATCH('Scenario Picker'!$B$3,'Growth Scenarios'!$F$2:$I$2,0)+1)/1000000000*VLOOKUP($A42,'Growth Scenarios'!$A$3:$D$80,MATCH('Scenario Picker'!$B$2,'Growth Scenarios'!$B$2:$D$2,0)+1)</f>
        <v>41.742327467162816</v>
      </c>
      <c r="D42" s="21">
        <f ca="1">'Electrification Scenario'!D48*(1-'Electrification Scenario'!D$8*('Electrification Scenario'!D48-'Electrification Scenario'!D$4)/('Electrification Scenario'!D$5-'Electrification Scenario'!D$4))*VLOOKUP(D$3,'Static Parameters'!$A$3:$B$9,2)*VLOOKUP($A42,'Growth Scenarios'!$E$3:$I$80,MATCH('Scenario Picker'!$B$3,'Growth Scenarios'!$F$2:$I$2,0)+1)/1000000000*VLOOKUP($A42,'Growth Scenarios'!$A$3:$D$80,MATCH('Scenario Picker'!$B$2,'Growth Scenarios'!$B$2:$D$2,0)+1)</f>
        <v>0.28460677818520097</v>
      </c>
      <c r="E42" s="21">
        <f ca="1">'Electrification Scenario'!E48*(1-'Electrification Scenario'!E$8*('Electrification Scenario'!E48-'Electrification Scenario'!E$4)/('Electrification Scenario'!E$5-'Electrification Scenario'!E$4))*VLOOKUP(E$3,'Static Parameters'!$A$3:$B$9,2)*VLOOKUP($A42,'Growth Scenarios'!$E$3:$I$80,MATCH('Scenario Picker'!$B$3,'Growth Scenarios'!$F$2:$I$2,0)+1)/1000000000*VLOOKUP($A42,'Growth Scenarios'!$A$3:$D$80,MATCH('Scenario Picker'!$B$2,'Growth Scenarios'!$B$2:$D$2,0)+1)</f>
        <v>159.85414041402123</v>
      </c>
      <c r="F42" s="21">
        <f ca="1">'Electrification Scenario'!F48*(1-'Electrification Scenario'!F$8*('Electrification Scenario'!F48-'Electrification Scenario'!F$4)/('Electrification Scenario'!F$5-'Electrification Scenario'!F$4))*VLOOKUP(F$3,'Static Parameters'!$A$3:$B$9,2)*VLOOKUP($A42,'Growth Scenarios'!$E$3:$I$80,MATCH('Scenario Picker'!$B$3,'Growth Scenarios'!$F$2:$I$2,0)+1)/1000000000*VLOOKUP($A42,'Growth Scenarios'!$A$3:$D$80,MATCH('Scenario Picker'!$B$2,'Growth Scenarios'!$B$2:$D$2,0)+1)</f>
        <v>6.0478940364355234</v>
      </c>
      <c r="G42" s="21">
        <f ca="1">'Electrification Scenario'!G48*(1-'Electrification Scenario'!G$8*('Electrification Scenario'!G48-'Electrification Scenario'!G$4)/('Electrification Scenario'!G$5-'Electrification Scenario'!G$4))*VLOOKUP(G$3,'Static Parameters'!$A$3:$B$9,2)*VLOOKUP($A42,'Growth Scenarios'!$E$3:$I$80,MATCH('Scenario Picker'!$B$3,'Growth Scenarios'!$F$2:$I$2,0)+1)/1000000000*VLOOKUP($A42,'Growth Scenarios'!$A$3:$D$80,MATCH('Scenario Picker'!$B$2,'Growth Scenarios'!$B$2:$D$2,0)+1)</f>
        <v>106.72754181945039</v>
      </c>
      <c r="H42" s="21">
        <f ca="1">'Electrification Scenario'!H48*(1-'Electrification Scenario'!H$8*('Electrification Scenario'!H48-'Electrification Scenario'!H$4)/('Electrification Scenario'!H$5-'Electrification Scenario'!H$4))*VLOOKUP(H$3,'Static Parameters'!$A$3:$B$9,2)*VLOOKUP($A42,'Growth Scenarios'!$E$3:$I$80,MATCH('Scenario Picker'!$B$3,'Growth Scenarios'!$F$2:$I$2,0)+1)/1000000000*VLOOKUP($A42,'Growth Scenarios'!$A$3:$D$80,MATCH('Scenario Picker'!$B$2,'Growth Scenarios'!$B$2:$D$2,0)+1)</f>
        <v>68.483506000813989</v>
      </c>
      <c r="I42" s="28">
        <f t="shared" ca="1" si="0"/>
        <v>389.97057919251398</v>
      </c>
      <c r="J42" s="25">
        <f ca="1">(1-'Electrification Scenario'!B48)*VLOOKUP(B$3,'Static Parameters'!$A$3:$B$9,2)*VLOOKUP($A42,'Growth Scenarios'!$E$3:$I$80,MATCH('Scenario Picker'!$B$3,'Growth Scenarios'!$F$2:$I$2,0)+1)/1000000000*VLOOKUP($A42,'Growth Scenarios'!$A$3:$D$80,MATCH('Scenario Picker'!$B$2,'Growth Scenarios'!$B$2:$D$2,0)+1)</f>
        <v>5.6921355637040199</v>
      </c>
      <c r="K42" s="21">
        <f ca="1">(1-'Electrification Scenario'!C48)*VLOOKUP(C$3,'Static Parameters'!$A$3:$B$9,2)*VLOOKUP($A42,'Growth Scenarios'!$E$3:$I$80,MATCH('Scenario Picker'!$B$3,'Growth Scenarios'!$F$2:$I$2,0)+1)/1000000000*VLOOKUP($A42,'Growth Scenarios'!$A$3:$D$80,MATCH('Scenario Picker'!$B$2,'Growth Scenarios'!$B$2:$D$2,0)+1)</f>
        <v>0</v>
      </c>
      <c r="L42" s="21">
        <f ca="1">(1-'Electrification Scenario'!D48)*VLOOKUP(D$3,'Static Parameters'!$A$3:$B$9,2)*VLOOKUP($A42,'Growth Scenarios'!$E$3:$I$80,MATCH('Scenario Picker'!$B$3,'Growth Scenarios'!$F$2:$I$2,0)+1)/1000000000*VLOOKUP($A42,'Growth Scenarios'!$A$3:$D$80,MATCH('Scenario Picker'!$B$2,'Growth Scenarios'!$B$2:$D$2,0)+1)</f>
        <v>0.23717231515433418</v>
      </c>
      <c r="M42" s="21">
        <f ca="1">(1-'Electrification Scenario'!E48)*VLOOKUP(E$3,'Static Parameters'!$A$3:$B$9,2)*VLOOKUP($A42,'Growth Scenarios'!$E$3:$I$80,MATCH('Scenario Picker'!$B$3,'Growth Scenarios'!$F$2:$I$2,0)+1)/1000000000*VLOOKUP($A42,'Growth Scenarios'!$A$3:$D$80,MATCH('Scenario Picker'!$B$2,'Growth Scenarios'!$B$2:$D$2,0)+1)</f>
        <v>0</v>
      </c>
      <c r="N42" s="21">
        <f ca="1">(1-'Electrification Scenario'!F48)*VLOOKUP(F$3,'Static Parameters'!$A$3:$B$9,2)*VLOOKUP($A42,'Growth Scenarios'!$E$3:$I$80,MATCH('Scenario Picker'!$B$3,'Growth Scenarios'!$F$2:$I$2,0)+1)/1000000000*VLOOKUP($A42,'Growth Scenarios'!$A$3:$D$80,MATCH('Scenario Picker'!$B$2,'Growth Scenarios'!$B$2:$D$2,0)+1)</f>
        <v>2.5199558485148006</v>
      </c>
      <c r="O42" s="21">
        <f ca="1">(1-'Electrification Scenario'!G48)*VLOOKUP(G$3,'Static Parameters'!$A$3:$B$9,2)*VLOOKUP($A42,'Growth Scenarios'!$E$3:$I$80,MATCH('Scenario Picker'!$B$3,'Growth Scenarios'!$F$2:$I$2,0)+1)/1000000000*VLOOKUP($A42,'Growth Scenarios'!$A$3:$D$80,MATCH('Scenario Picker'!$B$2,'Growth Scenarios'!$B$2:$D$2,0)+1)</f>
        <v>0</v>
      </c>
      <c r="P42" s="21">
        <f ca="1">(1-'Electrification Scenario'!H48)*VLOOKUP(H$3,'Static Parameters'!$A$3:$B$9,2)*VLOOKUP($A42,'Growth Scenarios'!$E$3:$I$80,MATCH('Scenario Picker'!$B$3,'Growth Scenarios'!$F$2:$I$2,0)+1)/1000000000*VLOOKUP($A42,'Growth Scenarios'!$A$3:$D$80,MATCH('Scenario Picker'!$B$2,'Growth Scenarios'!$B$2:$D$2,0)+1)</f>
        <v>45.655670667209328</v>
      </c>
      <c r="Q42" s="28">
        <f t="shared" ca="1" si="1"/>
        <v>54.104934394582486</v>
      </c>
      <c r="R42" s="28">
        <f t="shared" ca="1" si="2"/>
        <v>444.07551358709645</v>
      </c>
    </row>
    <row r="43" spans="1:18" ht="15" x14ac:dyDescent="0.35">
      <c r="A43" s="31">
        <v>2061</v>
      </c>
      <c r="B43" s="25">
        <f ca="1">'Electrification Scenario'!B49*(1-'Electrification Scenario'!B$8*('Electrification Scenario'!B49-'Electrification Scenario'!B$4)/('Electrification Scenario'!B$5-'Electrification Scenario'!B$4))*VLOOKUP(B$3,'Static Parameters'!$A$3:$B$9,2)*VLOOKUP($A43,'Growth Scenarios'!$E$3:$I$80,MATCH('Scenario Picker'!$B$3,'Growth Scenarios'!$F$2:$I$2,0)+1)/1000000000*VLOOKUP($A43,'Growth Scenarios'!$A$3:$D$80,MATCH('Scenario Picker'!$B$2,'Growth Scenarios'!$B$2:$D$2,0)+1)</f>
        <v>6.9037492235611149</v>
      </c>
      <c r="C43" s="21">
        <f ca="1">'Electrification Scenario'!C49*(1-'Electrification Scenario'!C$8*('Electrification Scenario'!C49-'Electrification Scenario'!C$4)/('Electrification Scenario'!C$5-'Electrification Scenario'!C$4))*VLOOKUP(C$3,'Static Parameters'!$A$3:$B$9,2)*VLOOKUP($A43,'Growth Scenarios'!$E$3:$I$80,MATCH('Scenario Picker'!$B$3,'Growth Scenarios'!$F$2:$I$2,0)+1)/1000000000*VLOOKUP($A43,'Growth Scenarios'!$A$3:$D$80,MATCH('Scenario Picker'!$B$2,'Growth Scenarios'!$B$2:$D$2,0)+1)</f>
        <v>42.189578588429036</v>
      </c>
      <c r="D43" s="21">
        <f ca="1">'Electrification Scenario'!D49*(1-'Electrification Scenario'!D$8*('Electrification Scenario'!D49-'Electrification Scenario'!D$4)/('Electrification Scenario'!D$5-'Electrification Scenario'!D$4))*VLOOKUP(D$3,'Static Parameters'!$A$3:$B$9,2)*VLOOKUP($A43,'Growth Scenarios'!$E$3:$I$80,MATCH('Scenario Picker'!$B$3,'Growth Scenarios'!$F$2:$I$2,0)+1)/1000000000*VLOOKUP($A43,'Growth Scenarios'!$A$3:$D$80,MATCH('Scenario Picker'!$B$2,'Growth Scenarios'!$B$2:$D$2,0)+1)</f>
        <v>0.28765621764837979</v>
      </c>
      <c r="E43" s="21">
        <f ca="1">'Electrification Scenario'!E49*(1-'Electrification Scenario'!E$8*('Electrification Scenario'!E49-'Electrification Scenario'!E$4)/('Electrification Scenario'!E$5-'Electrification Scenario'!E$4))*VLOOKUP(E$3,'Static Parameters'!$A$3:$B$9,2)*VLOOKUP($A43,'Growth Scenarios'!$E$3:$I$80,MATCH('Scenario Picker'!$B$3,'Growth Scenarios'!$F$2:$I$2,0)+1)/1000000000*VLOOKUP($A43,'Growth Scenarios'!$A$3:$D$80,MATCH('Scenario Picker'!$B$2,'Growth Scenarios'!$B$2:$D$2,0)+1)</f>
        <v>161.56690891250665</v>
      </c>
      <c r="F43" s="21">
        <f ca="1">'Electrification Scenario'!F49*(1-'Electrification Scenario'!F$8*('Electrification Scenario'!F49-'Electrification Scenario'!F$4)/('Electrification Scenario'!F$5-'Electrification Scenario'!F$4))*VLOOKUP(F$3,'Static Parameters'!$A$3:$B$9,2)*VLOOKUP($A43,'Growth Scenarios'!$E$3:$I$80,MATCH('Scenario Picker'!$B$3,'Growth Scenarios'!$F$2:$I$2,0)+1)/1000000000*VLOOKUP($A43,'Growth Scenarios'!$A$3:$D$80,MATCH('Scenario Picker'!$B$2,'Growth Scenarios'!$B$2:$D$2,0)+1)</f>
        <v>6.1126946250280714</v>
      </c>
      <c r="G43" s="21">
        <f ca="1">'Electrification Scenario'!G49*(1-'Electrification Scenario'!G$8*('Electrification Scenario'!G49-'Electrification Scenario'!G$4)/('Electrification Scenario'!G$5-'Electrification Scenario'!G$4))*VLOOKUP(G$3,'Static Parameters'!$A$3:$B$9,2)*VLOOKUP($A43,'Growth Scenarios'!$E$3:$I$80,MATCH('Scenario Picker'!$B$3,'Growth Scenarios'!$F$2:$I$2,0)+1)/1000000000*VLOOKUP($A43,'Growth Scenarios'!$A$3:$D$80,MATCH('Scenario Picker'!$B$2,'Growth Scenarios'!$B$2:$D$2,0)+1)</f>
        <v>107.87108161814244</v>
      </c>
      <c r="H43" s="21">
        <f ca="1">'Electrification Scenario'!H49*(1-'Electrification Scenario'!H$8*('Electrification Scenario'!H49-'Electrification Scenario'!H$4)/('Electrification Scenario'!H$5-'Electrification Scenario'!H$4))*VLOOKUP(H$3,'Static Parameters'!$A$3:$B$9,2)*VLOOKUP($A43,'Growth Scenarios'!$E$3:$I$80,MATCH('Scenario Picker'!$B$3,'Growth Scenarios'!$F$2:$I$2,0)+1)/1000000000*VLOOKUP($A43,'Growth Scenarios'!$A$3:$D$80,MATCH('Scenario Picker'!$B$2,'Growth Scenarios'!$B$2:$D$2,0)+1)</f>
        <v>69.217277371641387</v>
      </c>
      <c r="I43" s="28">
        <f t="shared" ca="1" si="0"/>
        <v>394.14894655695707</v>
      </c>
      <c r="J43" s="25">
        <f ca="1">(1-'Electrification Scenario'!B49)*VLOOKUP(B$3,'Static Parameters'!$A$3:$B$9,2)*VLOOKUP($A43,'Growth Scenarios'!$E$3:$I$80,MATCH('Scenario Picker'!$B$3,'Growth Scenarios'!$F$2:$I$2,0)+1)/1000000000*VLOOKUP($A43,'Growth Scenarios'!$A$3:$D$80,MATCH('Scenario Picker'!$B$2,'Growth Scenarios'!$B$2:$D$2,0)+1)</f>
        <v>5.7531243529675953</v>
      </c>
      <c r="K43" s="21">
        <f ca="1">(1-'Electrification Scenario'!C49)*VLOOKUP(C$3,'Static Parameters'!$A$3:$B$9,2)*VLOOKUP($A43,'Growth Scenarios'!$E$3:$I$80,MATCH('Scenario Picker'!$B$3,'Growth Scenarios'!$F$2:$I$2,0)+1)/1000000000*VLOOKUP($A43,'Growth Scenarios'!$A$3:$D$80,MATCH('Scenario Picker'!$B$2,'Growth Scenarios'!$B$2:$D$2,0)+1)</f>
        <v>0</v>
      </c>
      <c r="L43" s="21">
        <f ca="1">(1-'Electrification Scenario'!D49)*VLOOKUP(D$3,'Static Parameters'!$A$3:$B$9,2)*VLOOKUP($A43,'Growth Scenarios'!$E$3:$I$80,MATCH('Scenario Picker'!$B$3,'Growth Scenarios'!$F$2:$I$2,0)+1)/1000000000*VLOOKUP($A43,'Growth Scenarios'!$A$3:$D$80,MATCH('Scenario Picker'!$B$2,'Growth Scenarios'!$B$2:$D$2,0)+1)</f>
        <v>0.23971351470698318</v>
      </c>
      <c r="M43" s="21">
        <f ca="1">(1-'Electrification Scenario'!E49)*VLOOKUP(E$3,'Static Parameters'!$A$3:$B$9,2)*VLOOKUP($A43,'Growth Scenarios'!$E$3:$I$80,MATCH('Scenario Picker'!$B$3,'Growth Scenarios'!$F$2:$I$2,0)+1)/1000000000*VLOOKUP($A43,'Growth Scenarios'!$A$3:$D$80,MATCH('Scenario Picker'!$B$2,'Growth Scenarios'!$B$2:$D$2,0)+1)</f>
        <v>0</v>
      </c>
      <c r="N43" s="21">
        <f ca="1">(1-'Electrification Scenario'!F49)*VLOOKUP(F$3,'Static Parameters'!$A$3:$B$9,2)*VLOOKUP($A43,'Growth Scenarios'!$E$3:$I$80,MATCH('Scenario Picker'!$B$3,'Growth Scenarios'!$F$2:$I$2,0)+1)/1000000000*VLOOKUP($A43,'Growth Scenarios'!$A$3:$D$80,MATCH('Scenario Picker'!$B$2,'Growth Scenarios'!$B$2:$D$2,0)+1)</f>
        <v>2.5469560937616964</v>
      </c>
      <c r="O43" s="21">
        <f ca="1">(1-'Electrification Scenario'!G49)*VLOOKUP(G$3,'Static Parameters'!$A$3:$B$9,2)*VLOOKUP($A43,'Growth Scenarios'!$E$3:$I$80,MATCH('Scenario Picker'!$B$3,'Growth Scenarios'!$F$2:$I$2,0)+1)/1000000000*VLOOKUP($A43,'Growth Scenarios'!$A$3:$D$80,MATCH('Scenario Picker'!$B$2,'Growth Scenarios'!$B$2:$D$2,0)+1)</f>
        <v>0</v>
      </c>
      <c r="P43" s="21">
        <f ca="1">(1-'Electrification Scenario'!H49)*VLOOKUP(H$3,'Static Parameters'!$A$3:$B$9,2)*VLOOKUP($A43,'Growth Scenarios'!$E$3:$I$80,MATCH('Scenario Picker'!$B$3,'Growth Scenarios'!$F$2:$I$2,0)+1)/1000000000*VLOOKUP($A43,'Growth Scenarios'!$A$3:$D$80,MATCH('Scenario Picker'!$B$2,'Growth Scenarios'!$B$2:$D$2,0)+1)</f>
        <v>46.144851581094251</v>
      </c>
      <c r="Q43" s="28">
        <f t="shared" ca="1" si="1"/>
        <v>54.684645542530525</v>
      </c>
      <c r="R43" s="28">
        <f t="shared" ca="1" si="2"/>
        <v>448.83359209948759</v>
      </c>
    </row>
    <row r="44" spans="1:18" ht="15" x14ac:dyDescent="0.35">
      <c r="A44" s="31">
        <v>2062</v>
      </c>
      <c r="B44" s="25">
        <f ca="1">'Electrification Scenario'!B50*(1-'Electrification Scenario'!B$8*('Electrification Scenario'!B50-'Electrification Scenario'!B$4)/('Electrification Scenario'!B$5-'Electrification Scenario'!B$4))*VLOOKUP(B$3,'Static Parameters'!$A$3:$B$9,2)*VLOOKUP($A44,'Growth Scenarios'!$E$3:$I$80,MATCH('Scenario Picker'!$B$3,'Growth Scenarios'!$F$2:$I$2,0)+1)/1000000000*VLOOKUP($A44,'Growth Scenarios'!$A$3:$D$80,MATCH('Scenario Picker'!$B$2,'Growth Scenarios'!$B$2:$D$2,0)+1)</f>
        <v>6.9762554664413177</v>
      </c>
      <c r="C44" s="21">
        <f ca="1">'Electrification Scenario'!C50*(1-'Electrification Scenario'!C$8*('Electrification Scenario'!C50-'Electrification Scenario'!C$4)/('Electrification Scenario'!C$5-'Electrification Scenario'!C$4))*VLOOKUP(C$3,'Static Parameters'!$A$3:$B$9,2)*VLOOKUP($A44,'Growth Scenarios'!$E$3:$I$80,MATCH('Scenario Picker'!$B$3,'Growth Scenarios'!$F$2:$I$2,0)+1)/1000000000*VLOOKUP($A44,'Growth Scenarios'!$A$3:$D$80,MATCH('Scenario Picker'!$B$2,'Growth Scenarios'!$B$2:$D$2,0)+1)</f>
        <v>42.632672294919175</v>
      </c>
      <c r="D44" s="21">
        <f ca="1">'Electrification Scenario'!D50*(1-'Electrification Scenario'!D$8*('Electrification Scenario'!D50-'Electrification Scenario'!D$4)/('Electrification Scenario'!D$5-'Electrification Scenario'!D$4))*VLOOKUP(D$3,'Static Parameters'!$A$3:$B$9,2)*VLOOKUP($A44,'Growth Scenarios'!$E$3:$I$80,MATCH('Scenario Picker'!$B$3,'Growth Scenarios'!$F$2:$I$2,0)+1)/1000000000*VLOOKUP($A44,'Growth Scenarios'!$A$3:$D$80,MATCH('Scenario Picker'!$B$2,'Growth Scenarios'!$B$2:$D$2,0)+1)</f>
        <v>0.29067731110172157</v>
      </c>
      <c r="E44" s="21">
        <f ca="1">'Electrification Scenario'!E50*(1-'Electrification Scenario'!E$8*('Electrification Scenario'!E50-'Electrification Scenario'!E$4)/('Electrification Scenario'!E$5-'Electrification Scenario'!E$4))*VLOOKUP(E$3,'Static Parameters'!$A$3:$B$9,2)*VLOOKUP($A44,'Growth Scenarios'!$E$3:$I$80,MATCH('Scenario Picker'!$B$3,'Growth Scenarios'!$F$2:$I$2,0)+1)/1000000000*VLOOKUP($A44,'Growth Scenarios'!$A$3:$D$80,MATCH('Scenario Picker'!$B$2,'Growth Scenarios'!$B$2:$D$2,0)+1)</f>
        <v>163.26375640213359</v>
      </c>
      <c r="F44" s="21">
        <f ca="1">'Electrification Scenario'!F50*(1-'Electrification Scenario'!F$8*('Electrification Scenario'!F50-'Electrification Scenario'!F$4)/('Electrification Scenario'!F$5-'Electrification Scenario'!F$4))*VLOOKUP(F$3,'Static Parameters'!$A$3:$B$9,2)*VLOOKUP($A44,'Growth Scenarios'!$E$3:$I$80,MATCH('Scenario Picker'!$B$3,'Growth Scenarios'!$F$2:$I$2,0)+1)/1000000000*VLOOKUP($A44,'Growth Scenarios'!$A$3:$D$80,MATCH('Scenario Picker'!$B$2,'Growth Scenarios'!$B$2:$D$2,0)+1)</f>
        <v>6.1768928609115861</v>
      </c>
      <c r="G44" s="21">
        <f ca="1">'Electrification Scenario'!G50*(1-'Electrification Scenario'!G$8*('Electrification Scenario'!G50-'Electrification Scenario'!G$4)/('Electrification Scenario'!G$5-'Electrification Scenario'!G$4))*VLOOKUP(G$3,'Static Parameters'!$A$3:$B$9,2)*VLOOKUP($A44,'Growth Scenarios'!$E$3:$I$80,MATCH('Scenario Picker'!$B$3,'Growth Scenarios'!$F$2:$I$2,0)+1)/1000000000*VLOOKUP($A44,'Growth Scenarios'!$A$3:$D$80,MATCH('Scenario Picker'!$B$2,'Growth Scenarios'!$B$2:$D$2,0)+1)</f>
        <v>109.00399166314561</v>
      </c>
      <c r="H44" s="21">
        <f ca="1">'Electrification Scenario'!H50*(1-'Electrification Scenario'!H$8*('Electrification Scenario'!H50-'Electrification Scenario'!H$4)/('Electrification Scenario'!H$5-'Electrification Scenario'!H$4))*VLOOKUP(H$3,'Static Parameters'!$A$3:$B$9,2)*VLOOKUP($A44,'Growth Scenarios'!$E$3:$I$80,MATCH('Scenario Picker'!$B$3,'Growth Scenarios'!$F$2:$I$2,0)+1)/1000000000*VLOOKUP($A44,'Growth Scenarios'!$A$3:$D$80,MATCH('Scenario Picker'!$B$2,'Growth Scenarios'!$B$2:$D$2,0)+1)</f>
        <v>69.944227983851761</v>
      </c>
      <c r="I44" s="28">
        <f t="shared" ca="1" si="0"/>
        <v>398.28847398250474</v>
      </c>
      <c r="J44" s="25">
        <f ca="1">(1-'Electrification Scenario'!B50)*VLOOKUP(B$3,'Static Parameters'!$A$3:$B$9,2)*VLOOKUP($A44,'Growth Scenarios'!$E$3:$I$80,MATCH('Scenario Picker'!$B$3,'Growth Scenarios'!$F$2:$I$2,0)+1)/1000000000*VLOOKUP($A44,'Growth Scenarios'!$A$3:$D$80,MATCH('Scenario Picker'!$B$2,'Growth Scenarios'!$B$2:$D$2,0)+1)</f>
        <v>5.8135462220344332</v>
      </c>
      <c r="K44" s="21">
        <f ca="1">(1-'Electrification Scenario'!C50)*VLOOKUP(C$3,'Static Parameters'!$A$3:$B$9,2)*VLOOKUP($A44,'Growth Scenarios'!$E$3:$I$80,MATCH('Scenario Picker'!$B$3,'Growth Scenarios'!$F$2:$I$2,0)+1)/1000000000*VLOOKUP($A44,'Growth Scenarios'!$A$3:$D$80,MATCH('Scenario Picker'!$B$2,'Growth Scenarios'!$B$2:$D$2,0)+1)</f>
        <v>0</v>
      </c>
      <c r="L44" s="21">
        <f ca="1">(1-'Electrification Scenario'!D50)*VLOOKUP(D$3,'Static Parameters'!$A$3:$B$9,2)*VLOOKUP($A44,'Growth Scenarios'!$E$3:$I$80,MATCH('Scenario Picker'!$B$3,'Growth Scenarios'!$F$2:$I$2,0)+1)/1000000000*VLOOKUP($A44,'Growth Scenarios'!$A$3:$D$80,MATCH('Scenario Picker'!$B$2,'Growth Scenarios'!$B$2:$D$2,0)+1)</f>
        <v>0.24223109258476802</v>
      </c>
      <c r="M44" s="21">
        <f ca="1">(1-'Electrification Scenario'!E50)*VLOOKUP(E$3,'Static Parameters'!$A$3:$B$9,2)*VLOOKUP($A44,'Growth Scenarios'!$E$3:$I$80,MATCH('Scenario Picker'!$B$3,'Growth Scenarios'!$F$2:$I$2,0)+1)/1000000000*VLOOKUP($A44,'Growth Scenarios'!$A$3:$D$80,MATCH('Scenario Picker'!$B$2,'Growth Scenarios'!$B$2:$D$2,0)+1)</f>
        <v>0</v>
      </c>
      <c r="N44" s="21">
        <f ca="1">(1-'Electrification Scenario'!F50)*VLOOKUP(F$3,'Static Parameters'!$A$3:$B$9,2)*VLOOKUP($A44,'Growth Scenarios'!$E$3:$I$80,MATCH('Scenario Picker'!$B$3,'Growth Scenarios'!$F$2:$I$2,0)+1)/1000000000*VLOOKUP($A44,'Growth Scenarios'!$A$3:$D$80,MATCH('Scenario Picker'!$B$2,'Growth Scenarios'!$B$2:$D$2,0)+1)</f>
        <v>2.5737053587131604</v>
      </c>
      <c r="O44" s="21">
        <f ca="1">(1-'Electrification Scenario'!G50)*VLOOKUP(G$3,'Static Parameters'!$A$3:$B$9,2)*VLOOKUP($A44,'Growth Scenarios'!$E$3:$I$80,MATCH('Scenario Picker'!$B$3,'Growth Scenarios'!$F$2:$I$2,0)+1)/1000000000*VLOOKUP($A44,'Growth Scenarios'!$A$3:$D$80,MATCH('Scenario Picker'!$B$2,'Growth Scenarios'!$B$2:$D$2,0)+1)</f>
        <v>0</v>
      </c>
      <c r="P44" s="21">
        <f ca="1">(1-'Electrification Scenario'!H50)*VLOOKUP(H$3,'Static Parameters'!$A$3:$B$9,2)*VLOOKUP($A44,'Growth Scenarios'!$E$3:$I$80,MATCH('Scenario Picker'!$B$3,'Growth Scenarios'!$F$2:$I$2,0)+1)/1000000000*VLOOKUP($A44,'Growth Scenarios'!$A$3:$D$80,MATCH('Scenario Picker'!$B$2,'Growth Scenarios'!$B$2:$D$2,0)+1)</f>
        <v>46.629485322567838</v>
      </c>
      <c r="Q44" s="28">
        <f t="shared" ca="1" si="1"/>
        <v>55.2589679959002</v>
      </c>
      <c r="R44" s="28">
        <f t="shared" ca="1" si="2"/>
        <v>453.54744197840495</v>
      </c>
    </row>
    <row r="45" spans="1:18" ht="15" x14ac:dyDescent="0.35">
      <c r="A45" s="31">
        <v>2063</v>
      </c>
      <c r="B45" s="25">
        <f ca="1">'Electrification Scenario'!B51*(1-'Electrification Scenario'!B$8*('Electrification Scenario'!B51-'Electrification Scenario'!B$4)/('Electrification Scenario'!B$5-'Electrification Scenario'!B$4))*VLOOKUP(B$3,'Static Parameters'!$A$3:$B$9,2)*VLOOKUP($A45,'Growth Scenarios'!$E$3:$I$80,MATCH('Scenario Picker'!$B$3,'Growth Scenarios'!$F$2:$I$2,0)+1)/1000000000*VLOOKUP($A45,'Growth Scenarios'!$A$3:$D$80,MATCH('Scenario Picker'!$B$2,'Growth Scenarios'!$B$2:$D$2,0)+1)</f>
        <v>7.0479903565514412</v>
      </c>
      <c r="C45" s="21">
        <f ca="1">'Electrification Scenario'!C51*(1-'Electrification Scenario'!C$8*('Electrification Scenario'!C51-'Electrification Scenario'!C$4)/('Electrification Scenario'!C$5-'Electrification Scenario'!C$4))*VLOOKUP(C$3,'Static Parameters'!$A$3:$B$9,2)*VLOOKUP($A45,'Growth Scenarios'!$E$3:$I$80,MATCH('Scenario Picker'!$B$3,'Growth Scenarios'!$F$2:$I$2,0)+1)/1000000000*VLOOKUP($A45,'Growth Scenarios'!$A$3:$D$80,MATCH('Scenario Picker'!$B$2,'Growth Scenarios'!$B$2:$D$2,0)+1)</f>
        <v>43.071052178925484</v>
      </c>
      <c r="D45" s="21">
        <f ca="1">'Electrification Scenario'!D51*(1-'Electrification Scenario'!D$8*('Electrification Scenario'!D51-'Electrification Scenario'!D$4)/('Electrification Scenario'!D$5-'Electrification Scenario'!D$4))*VLOOKUP(D$3,'Static Parameters'!$A$3:$B$9,2)*VLOOKUP($A45,'Growth Scenarios'!$E$3:$I$80,MATCH('Scenario Picker'!$B$3,'Growth Scenarios'!$F$2:$I$2,0)+1)/1000000000*VLOOKUP($A45,'Growth Scenarios'!$A$3:$D$80,MATCH('Scenario Picker'!$B$2,'Growth Scenarios'!$B$2:$D$2,0)+1)</f>
        <v>0.29366626485631003</v>
      </c>
      <c r="E45" s="21">
        <f ca="1">'Electrification Scenario'!E51*(1-'Electrification Scenario'!E$8*('Electrification Scenario'!E51-'Electrification Scenario'!E$4)/('Electrification Scenario'!E$5-'Electrification Scenario'!E$4))*VLOOKUP(E$3,'Static Parameters'!$A$3:$B$9,2)*VLOOKUP($A45,'Growth Scenarios'!$E$3:$I$80,MATCH('Scenario Picker'!$B$3,'Growth Scenarios'!$F$2:$I$2,0)+1)/1000000000*VLOOKUP($A45,'Growth Scenarios'!$A$3:$D$80,MATCH('Scenario Picker'!$B$2,'Growth Scenarios'!$B$2:$D$2,0)+1)</f>
        <v>164.94255209429414</v>
      </c>
      <c r="F45" s="21">
        <f ca="1">'Electrification Scenario'!F51*(1-'Electrification Scenario'!F$8*('Electrification Scenario'!F51-'Electrification Scenario'!F$4)/('Electrification Scenario'!F$5-'Electrification Scenario'!F$4))*VLOOKUP(F$3,'Static Parameters'!$A$3:$B$9,2)*VLOOKUP($A45,'Growth Scenarios'!$E$3:$I$80,MATCH('Scenario Picker'!$B$3,'Growth Scenarios'!$F$2:$I$2,0)+1)/1000000000*VLOOKUP($A45,'Growth Scenarios'!$A$3:$D$80,MATCH('Scenario Picker'!$B$2,'Growth Scenarios'!$B$2:$D$2,0)+1)</f>
        <v>6.2404081281965906</v>
      </c>
      <c r="G45" s="21">
        <f ca="1">'Electrification Scenario'!G51*(1-'Electrification Scenario'!G$8*('Electrification Scenario'!G51-'Electrification Scenario'!G$4)/('Electrification Scenario'!G$5-'Electrification Scenario'!G$4))*VLOOKUP(G$3,'Static Parameters'!$A$3:$B$9,2)*VLOOKUP($A45,'Growth Scenarios'!$E$3:$I$80,MATCH('Scenario Picker'!$B$3,'Growth Scenarios'!$F$2:$I$2,0)+1)/1000000000*VLOOKUP($A45,'Growth Scenarios'!$A$3:$D$80,MATCH('Scenario Picker'!$B$2,'Growth Scenarios'!$B$2:$D$2,0)+1)</f>
        <v>110.12484932111629</v>
      </c>
      <c r="H45" s="21">
        <f ca="1">'Electrification Scenario'!H51*(1-'Electrification Scenario'!H$8*('Electrification Scenario'!H51-'Electrification Scenario'!H$4)/('Electrification Scenario'!H$5-'Electrification Scenario'!H$4))*VLOOKUP(H$3,'Static Parameters'!$A$3:$B$9,2)*VLOOKUP($A45,'Growth Scenarios'!$E$3:$I$80,MATCH('Scenario Picker'!$B$3,'Growth Scenarios'!$F$2:$I$2,0)+1)/1000000000*VLOOKUP($A45,'Growth Scenarios'!$A$3:$D$80,MATCH('Scenario Picker'!$B$2,'Growth Scenarios'!$B$2:$D$2,0)+1)</f>
        <v>70.663444981049608</v>
      </c>
      <c r="I45" s="28">
        <f t="shared" ca="1" si="0"/>
        <v>402.38396332498985</v>
      </c>
      <c r="J45" s="25">
        <f ca="1">(1-'Electrification Scenario'!B51)*VLOOKUP(B$3,'Static Parameters'!$A$3:$B$9,2)*VLOOKUP($A45,'Growth Scenarios'!$E$3:$I$80,MATCH('Scenario Picker'!$B$3,'Growth Scenarios'!$F$2:$I$2,0)+1)/1000000000*VLOOKUP($A45,'Growth Scenarios'!$A$3:$D$80,MATCH('Scenario Picker'!$B$2,'Growth Scenarios'!$B$2:$D$2,0)+1)</f>
        <v>5.8733252971262013</v>
      </c>
      <c r="K45" s="21">
        <f ca="1">(1-'Electrification Scenario'!C51)*VLOOKUP(C$3,'Static Parameters'!$A$3:$B$9,2)*VLOOKUP($A45,'Growth Scenarios'!$E$3:$I$80,MATCH('Scenario Picker'!$B$3,'Growth Scenarios'!$F$2:$I$2,0)+1)/1000000000*VLOOKUP($A45,'Growth Scenarios'!$A$3:$D$80,MATCH('Scenario Picker'!$B$2,'Growth Scenarios'!$B$2:$D$2,0)+1)</f>
        <v>0</v>
      </c>
      <c r="L45" s="21">
        <f ca="1">(1-'Electrification Scenario'!D51)*VLOOKUP(D$3,'Static Parameters'!$A$3:$B$9,2)*VLOOKUP($A45,'Growth Scenarios'!$E$3:$I$80,MATCH('Scenario Picker'!$B$3,'Growth Scenarios'!$F$2:$I$2,0)+1)/1000000000*VLOOKUP($A45,'Growth Scenarios'!$A$3:$D$80,MATCH('Scenario Picker'!$B$2,'Growth Scenarios'!$B$2:$D$2,0)+1)</f>
        <v>0.24472188738025841</v>
      </c>
      <c r="M45" s="21">
        <f ca="1">(1-'Electrification Scenario'!E51)*VLOOKUP(E$3,'Static Parameters'!$A$3:$B$9,2)*VLOOKUP($A45,'Growth Scenarios'!$E$3:$I$80,MATCH('Scenario Picker'!$B$3,'Growth Scenarios'!$F$2:$I$2,0)+1)/1000000000*VLOOKUP($A45,'Growth Scenarios'!$A$3:$D$80,MATCH('Scenario Picker'!$B$2,'Growth Scenarios'!$B$2:$D$2,0)+1)</f>
        <v>0</v>
      </c>
      <c r="N45" s="21">
        <f ca="1">(1-'Electrification Scenario'!F51)*VLOOKUP(F$3,'Static Parameters'!$A$3:$B$9,2)*VLOOKUP($A45,'Growth Scenarios'!$E$3:$I$80,MATCH('Scenario Picker'!$B$3,'Growth Scenarios'!$F$2:$I$2,0)+1)/1000000000*VLOOKUP($A45,'Growth Scenarios'!$A$3:$D$80,MATCH('Scenario Picker'!$B$2,'Growth Scenarios'!$B$2:$D$2,0)+1)</f>
        <v>2.6001700534152459</v>
      </c>
      <c r="O45" s="21">
        <f ca="1">(1-'Electrification Scenario'!G51)*VLOOKUP(G$3,'Static Parameters'!$A$3:$B$9,2)*VLOOKUP($A45,'Growth Scenarios'!$E$3:$I$80,MATCH('Scenario Picker'!$B$3,'Growth Scenarios'!$F$2:$I$2,0)+1)/1000000000*VLOOKUP($A45,'Growth Scenarios'!$A$3:$D$80,MATCH('Scenario Picker'!$B$2,'Growth Scenarios'!$B$2:$D$2,0)+1)</f>
        <v>0</v>
      </c>
      <c r="P45" s="21">
        <f ca="1">(1-'Electrification Scenario'!H51)*VLOOKUP(H$3,'Static Parameters'!$A$3:$B$9,2)*VLOOKUP($A45,'Growth Scenarios'!$E$3:$I$80,MATCH('Scenario Picker'!$B$3,'Growth Scenarios'!$F$2:$I$2,0)+1)/1000000000*VLOOKUP($A45,'Growth Scenarios'!$A$3:$D$80,MATCH('Scenario Picker'!$B$2,'Growth Scenarios'!$B$2:$D$2,0)+1)</f>
        <v>47.108963320699743</v>
      </c>
      <c r="Q45" s="28">
        <f t="shared" ca="1" si="1"/>
        <v>55.82718055862145</v>
      </c>
      <c r="R45" s="28">
        <f t="shared" ca="1" si="2"/>
        <v>458.21114388361127</v>
      </c>
    </row>
    <row r="46" spans="1:18" ht="15" x14ac:dyDescent="0.35">
      <c r="A46" s="31">
        <v>2064</v>
      </c>
      <c r="B46" s="25">
        <f ca="1">'Electrification Scenario'!B52*(1-'Electrification Scenario'!B$8*('Electrification Scenario'!B52-'Electrification Scenario'!B$4)/('Electrification Scenario'!B$5-'Electrification Scenario'!B$4))*VLOOKUP(B$3,'Static Parameters'!$A$3:$B$9,2)*VLOOKUP($A46,'Growth Scenarios'!$E$3:$I$80,MATCH('Scenario Picker'!$B$3,'Growth Scenarios'!$F$2:$I$2,0)+1)/1000000000*VLOOKUP($A46,'Growth Scenarios'!$A$3:$D$80,MATCH('Scenario Picker'!$B$2,'Growth Scenarios'!$B$2:$D$2,0)+1)</f>
        <v>7.1188213629391681</v>
      </c>
      <c r="C46" s="21">
        <f ca="1">'Electrification Scenario'!C52*(1-'Electrification Scenario'!C$8*('Electrification Scenario'!C52-'Electrification Scenario'!C$4)/('Electrification Scenario'!C$5-'Electrification Scenario'!C$4))*VLOOKUP(C$3,'Static Parameters'!$A$3:$B$9,2)*VLOOKUP($A46,'Growth Scenarios'!$E$3:$I$80,MATCH('Scenario Picker'!$B$3,'Growth Scenarios'!$F$2:$I$2,0)+1)/1000000000*VLOOKUP($A46,'Growth Scenarios'!$A$3:$D$80,MATCH('Scenario Picker'!$B$2,'Growth Scenarios'!$B$2:$D$2,0)+1)</f>
        <v>43.503908329072694</v>
      </c>
      <c r="D46" s="21">
        <f ca="1">'Electrification Scenario'!D52*(1-'Electrification Scenario'!D$8*('Electrification Scenario'!D52-'Electrification Scenario'!D$4)/('Electrification Scenario'!D$5-'Electrification Scenario'!D$4))*VLOOKUP(D$3,'Static Parameters'!$A$3:$B$9,2)*VLOOKUP($A46,'Growth Scenarios'!$E$3:$I$80,MATCH('Scenario Picker'!$B$3,'Growth Scenarios'!$F$2:$I$2,0)+1)/1000000000*VLOOKUP($A46,'Growth Scenarios'!$A$3:$D$80,MATCH('Scenario Picker'!$B$2,'Growth Scenarios'!$B$2:$D$2,0)+1)</f>
        <v>0.29661755678913204</v>
      </c>
      <c r="E46" s="21">
        <f ca="1">'Electrification Scenario'!E52*(1-'Electrification Scenario'!E$8*('Electrification Scenario'!E52-'Electrification Scenario'!E$4)/('Electrification Scenario'!E$5-'Electrification Scenario'!E$4))*VLOOKUP(E$3,'Static Parameters'!$A$3:$B$9,2)*VLOOKUP($A46,'Growth Scenarios'!$E$3:$I$80,MATCH('Scenario Picker'!$B$3,'Growth Scenarios'!$F$2:$I$2,0)+1)/1000000000*VLOOKUP($A46,'Growth Scenarios'!$A$3:$D$80,MATCH('Scenario Picker'!$B$2,'Growth Scenarios'!$B$2:$D$2,0)+1)</f>
        <v>166.60019439656247</v>
      </c>
      <c r="F46" s="21">
        <f ca="1">'Electrification Scenario'!F52*(1-'Electrification Scenario'!F$8*('Electrification Scenario'!F52-'Electrification Scenario'!F$4)/('Electrification Scenario'!F$5-'Electrification Scenario'!F$4))*VLOOKUP(F$3,'Static Parameters'!$A$3:$B$9,2)*VLOOKUP($A46,'Growth Scenarios'!$E$3:$I$80,MATCH('Scenario Picker'!$B$3,'Growth Scenarios'!$F$2:$I$2,0)+1)/1000000000*VLOOKUP($A46,'Growth Scenarios'!$A$3:$D$80,MATCH('Scenario Picker'!$B$2,'Growth Scenarios'!$B$2:$D$2,0)+1)</f>
        <v>6.3031230817690567</v>
      </c>
      <c r="G46" s="21">
        <f ca="1">'Electrification Scenario'!G52*(1-'Electrification Scenario'!G$8*('Electrification Scenario'!G52-'Electrification Scenario'!G$4)/('Electrification Scenario'!G$5-'Electrification Scenario'!G$4))*VLOOKUP(G$3,'Static Parameters'!$A$3:$B$9,2)*VLOOKUP($A46,'Growth Scenarios'!$E$3:$I$80,MATCH('Scenario Picker'!$B$3,'Growth Scenarios'!$F$2:$I$2,0)+1)/1000000000*VLOOKUP($A46,'Growth Scenarios'!$A$3:$D$80,MATCH('Scenario Picker'!$B$2,'Growth Scenarios'!$B$2:$D$2,0)+1)</f>
        <v>111.23158379592451</v>
      </c>
      <c r="H46" s="21">
        <f ca="1">'Electrification Scenario'!H52*(1-'Electrification Scenario'!H$8*('Electrification Scenario'!H52-'Electrification Scenario'!H$4)/('Electrification Scenario'!H$5-'Electrification Scenario'!H$4))*VLOOKUP(H$3,'Static Parameters'!$A$3:$B$9,2)*VLOOKUP($A46,'Growth Scenarios'!$E$3:$I$80,MATCH('Scenario Picker'!$B$3,'Growth Scenarios'!$F$2:$I$2,0)+1)/1000000000*VLOOKUP($A46,'Growth Scenarios'!$A$3:$D$80,MATCH('Scenario Picker'!$B$2,'Growth Scenarios'!$B$2:$D$2,0)+1)</f>
        <v>71.373599602384886</v>
      </c>
      <c r="I46" s="28">
        <f t="shared" ca="1" si="0"/>
        <v>406.42784812544193</v>
      </c>
      <c r="J46" s="25">
        <f ca="1">(1-'Electrification Scenario'!B52)*VLOOKUP(B$3,'Static Parameters'!$A$3:$B$9,2)*VLOOKUP($A46,'Growth Scenarios'!$E$3:$I$80,MATCH('Scenario Picker'!$B$3,'Growth Scenarios'!$F$2:$I$2,0)+1)/1000000000*VLOOKUP($A46,'Growth Scenarios'!$A$3:$D$80,MATCH('Scenario Picker'!$B$2,'Growth Scenarios'!$B$2:$D$2,0)+1)</f>
        <v>5.93235113578264</v>
      </c>
      <c r="K46" s="21">
        <f ca="1">(1-'Electrification Scenario'!C52)*VLOOKUP(C$3,'Static Parameters'!$A$3:$B$9,2)*VLOOKUP($A46,'Growth Scenarios'!$E$3:$I$80,MATCH('Scenario Picker'!$B$3,'Growth Scenarios'!$F$2:$I$2,0)+1)/1000000000*VLOOKUP($A46,'Growth Scenarios'!$A$3:$D$80,MATCH('Scenario Picker'!$B$2,'Growth Scenarios'!$B$2:$D$2,0)+1)</f>
        <v>0</v>
      </c>
      <c r="L46" s="21">
        <f ca="1">(1-'Electrification Scenario'!D52)*VLOOKUP(D$3,'Static Parameters'!$A$3:$B$9,2)*VLOOKUP($A46,'Growth Scenarios'!$E$3:$I$80,MATCH('Scenario Picker'!$B$3,'Growth Scenarios'!$F$2:$I$2,0)+1)/1000000000*VLOOKUP($A46,'Growth Scenarios'!$A$3:$D$80,MATCH('Scenario Picker'!$B$2,'Growth Scenarios'!$B$2:$D$2,0)+1)</f>
        <v>0.24718129732427668</v>
      </c>
      <c r="M46" s="21">
        <f ca="1">(1-'Electrification Scenario'!E52)*VLOOKUP(E$3,'Static Parameters'!$A$3:$B$9,2)*VLOOKUP($A46,'Growth Scenarios'!$E$3:$I$80,MATCH('Scenario Picker'!$B$3,'Growth Scenarios'!$F$2:$I$2,0)+1)/1000000000*VLOOKUP($A46,'Growth Scenarios'!$A$3:$D$80,MATCH('Scenario Picker'!$B$2,'Growth Scenarios'!$B$2:$D$2,0)+1)</f>
        <v>0</v>
      </c>
      <c r="N46" s="21">
        <f ca="1">(1-'Electrification Scenario'!F52)*VLOOKUP(F$3,'Static Parameters'!$A$3:$B$9,2)*VLOOKUP($A46,'Growth Scenarios'!$E$3:$I$80,MATCH('Scenario Picker'!$B$3,'Growth Scenarios'!$F$2:$I$2,0)+1)/1000000000*VLOOKUP($A46,'Growth Scenarios'!$A$3:$D$80,MATCH('Scenario Picker'!$B$2,'Growth Scenarios'!$B$2:$D$2,0)+1)</f>
        <v>2.6263012840704394</v>
      </c>
      <c r="O46" s="21">
        <f ca="1">(1-'Electrification Scenario'!G52)*VLOOKUP(G$3,'Static Parameters'!$A$3:$B$9,2)*VLOOKUP($A46,'Growth Scenarios'!$E$3:$I$80,MATCH('Scenario Picker'!$B$3,'Growth Scenarios'!$F$2:$I$2,0)+1)/1000000000*VLOOKUP($A46,'Growth Scenarios'!$A$3:$D$80,MATCH('Scenario Picker'!$B$2,'Growth Scenarios'!$B$2:$D$2,0)+1)</f>
        <v>0</v>
      </c>
      <c r="P46" s="21">
        <f ca="1">(1-'Electrification Scenario'!H52)*VLOOKUP(H$3,'Static Parameters'!$A$3:$B$9,2)*VLOOKUP($A46,'Growth Scenarios'!$E$3:$I$80,MATCH('Scenario Picker'!$B$3,'Growth Scenarios'!$F$2:$I$2,0)+1)/1000000000*VLOOKUP($A46,'Growth Scenarios'!$A$3:$D$80,MATCH('Scenario Picker'!$B$2,'Growth Scenarios'!$B$2:$D$2,0)+1)</f>
        <v>47.582399734923257</v>
      </c>
      <c r="Q46" s="28">
        <f t="shared" ca="1" si="1"/>
        <v>56.388233452100614</v>
      </c>
      <c r="R46" s="28">
        <f t="shared" ca="1" si="2"/>
        <v>462.81608157754255</v>
      </c>
    </row>
    <row r="47" spans="1:18" ht="15" x14ac:dyDescent="0.35">
      <c r="A47" s="31">
        <v>2065</v>
      </c>
      <c r="B47" s="25">
        <f ca="1">'Electrification Scenario'!B53*(1-'Electrification Scenario'!B$8*('Electrification Scenario'!B53-'Electrification Scenario'!B$4)/('Electrification Scenario'!B$5-'Electrification Scenario'!B$4))*VLOOKUP(B$3,'Static Parameters'!$A$3:$B$9,2)*VLOOKUP($A47,'Growth Scenarios'!$E$3:$I$80,MATCH('Scenario Picker'!$B$3,'Growth Scenarios'!$F$2:$I$2,0)+1)/1000000000*VLOOKUP($A47,'Growth Scenarios'!$A$3:$D$80,MATCH('Scenario Picker'!$B$2,'Growth Scenarios'!$B$2:$D$2,0)+1)</f>
        <v>7.1886205805257664</v>
      </c>
      <c r="C47" s="21">
        <f ca="1">'Electrification Scenario'!C53*(1-'Electrification Scenario'!C$8*('Electrification Scenario'!C53-'Electrification Scenario'!C$4)/('Electrification Scenario'!C$5-'Electrification Scenario'!C$4))*VLOOKUP(C$3,'Static Parameters'!$A$3:$B$9,2)*VLOOKUP($A47,'Growth Scenarios'!$E$3:$I$80,MATCH('Scenario Picker'!$B$3,'Growth Scenarios'!$F$2:$I$2,0)+1)/1000000000*VLOOKUP($A47,'Growth Scenarios'!$A$3:$D$80,MATCH('Scenario Picker'!$B$2,'Growth Scenarios'!$B$2:$D$2,0)+1)</f>
        <v>43.930459103213025</v>
      </c>
      <c r="D47" s="21">
        <f ca="1">'Electrification Scenario'!D53*(1-'Electrification Scenario'!D$8*('Electrification Scenario'!D53-'Electrification Scenario'!D$4)/('Electrification Scenario'!D$5-'Electrification Scenario'!D$4))*VLOOKUP(D$3,'Static Parameters'!$A$3:$B$9,2)*VLOOKUP($A47,'Growth Scenarios'!$E$3:$I$80,MATCH('Scenario Picker'!$B$3,'Growth Scenarios'!$F$2:$I$2,0)+1)/1000000000*VLOOKUP($A47,'Growth Scenarios'!$A$3:$D$80,MATCH('Scenario Picker'!$B$2,'Growth Scenarios'!$B$2:$D$2,0)+1)</f>
        <v>0.29952585752190697</v>
      </c>
      <c r="E47" s="21">
        <f ca="1">'Electrification Scenario'!E53*(1-'Electrification Scenario'!E$8*('Electrification Scenario'!E53-'Electrification Scenario'!E$4)/('Electrification Scenario'!E$5-'Electrification Scenario'!E$4))*VLOOKUP(E$3,'Static Parameters'!$A$3:$B$9,2)*VLOOKUP($A47,'Growth Scenarios'!$E$3:$I$80,MATCH('Scenario Picker'!$B$3,'Growth Scenarios'!$F$2:$I$2,0)+1)/1000000000*VLOOKUP($A47,'Growth Scenarios'!$A$3:$D$80,MATCH('Scenario Picker'!$B$2,'Growth Scenarios'!$B$2:$D$2,0)+1)</f>
        <v>168.23368997480443</v>
      </c>
      <c r="F47" s="21">
        <f ca="1">'Electrification Scenario'!F53*(1-'Electrification Scenario'!F$8*('Electrification Scenario'!F53-'Electrification Scenario'!F$4)/('Electrification Scenario'!F$5-'Electrification Scenario'!F$4))*VLOOKUP(F$3,'Static Parameters'!$A$3:$B$9,2)*VLOOKUP($A47,'Growth Scenarios'!$E$3:$I$80,MATCH('Scenario Picker'!$B$3,'Growth Scenarios'!$F$2:$I$2,0)+1)/1000000000*VLOOKUP($A47,'Growth Scenarios'!$A$3:$D$80,MATCH('Scenario Picker'!$B$2,'Growth Scenarios'!$B$2:$D$2,0)+1)</f>
        <v>6.3649244723405234</v>
      </c>
      <c r="G47" s="21">
        <f ca="1">'Electrification Scenario'!G53*(1-'Electrification Scenario'!G$8*('Electrification Scenario'!G53-'Electrification Scenario'!G$4)/('Electrification Scenario'!G$5-'Electrification Scenario'!G$4))*VLOOKUP(G$3,'Static Parameters'!$A$3:$B$9,2)*VLOOKUP($A47,'Growth Scenarios'!$E$3:$I$80,MATCH('Scenario Picker'!$B$3,'Growth Scenarios'!$F$2:$I$2,0)+1)/1000000000*VLOOKUP($A47,'Growth Scenarios'!$A$3:$D$80,MATCH('Scenario Picker'!$B$2,'Growth Scenarios'!$B$2:$D$2,0)+1)</f>
        <v>112.32219657071512</v>
      </c>
      <c r="H47" s="21">
        <f ca="1">'Electrification Scenario'!H53*(1-'Electrification Scenario'!H$8*('Electrification Scenario'!H53-'Electrification Scenario'!H$4)/('Electrification Scenario'!H$5-'Electrification Scenario'!H$4))*VLOOKUP(H$3,'Static Parameters'!$A$3:$B$9,2)*VLOOKUP($A47,'Growth Scenarios'!$E$3:$I$80,MATCH('Scenario Picker'!$B$3,'Growth Scenarios'!$F$2:$I$2,0)+1)/1000000000*VLOOKUP($A47,'Growth Scenarios'!$A$3:$D$80,MATCH('Scenario Picker'!$B$2,'Growth Scenarios'!$B$2:$D$2,0)+1)</f>
        <v>72.073409466208858</v>
      </c>
      <c r="I47" s="28">
        <f t="shared" ca="1" si="0"/>
        <v>410.41282602532965</v>
      </c>
      <c r="J47" s="25">
        <f ca="1">(1-'Electrification Scenario'!B53)*VLOOKUP(B$3,'Static Parameters'!$A$3:$B$9,2)*VLOOKUP($A47,'Growth Scenarios'!$E$3:$I$80,MATCH('Scenario Picker'!$B$3,'Growth Scenarios'!$F$2:$I$2,0)+1)/1000000000*VLOOKUP($A47,'Growth Scenarios'!$A$3:$D$80,MATCH('Scenario Picker'!$B$2,'Growth Scenarios'!$B$2:$D$2,0)+1)</f>
        <v>5.9905171504381398</v>
      </c>
      <c r="K47" s="21">
        <f ca="1">(1-'Electrification Scenario'!C53)*VLOOKUP(C$3,'Static Parameters'!$A$3:$B$9,2)*VLOOKUP($A47,'Growth Scenarios'!$E$3:$I$80,MATCH('Scenario Picker'!$B$3,'Growth Scenarios'!$F$2:$I$2,0)+1)/1000000000*VLOOKUP($A47,'Growth Scenarios'!$A$3:$D$80,MATCH('Scenario Picker'!$B$2,'Growth Scenarios'!$B$2:$D$2,0)+1)</f>
        <v>0</v>
      </c>
      <c r="L47" s="21">
        <f ca="1">(1-'Electrification Scenario'!D53)*VLOOKUP(D$3,'Static Parameters'!$A$3:$B$9,2)*VLOOKUP($A47,'Growth Scenarios'!$E$3:$I$80,MATCH('Scenario Picker'!$B$3,'Growth Scenarios'!$F$2:$I$2,0)+1)/1000000000*VLOOKUP($A47,'Growth Scenarios'!$A$3:$D$80,MATCH('Scenario Picker'!$B$2,'Growth Scenarios'!$B$2:$D$2,0)+1)</f>
        <v>0.24960488126825581</v>
      </c>
      <c r="M47" s="21">
        <f ca="1">(1-'Electrification Scenario'!E53)*VLOOKUP(E$3,'Static Parameters'!$A$3:$B$9,2)*VLOOKUP($A47,'Growth Scenarios'!$E$3:$I$80,MATCH('Scenario Picker'!$B$3,'Growth Scenarios'!$F$2:$I$2,0)+1)/1000000000*VLOOKUP($A47,'Growth Scenarios'!$A$3:$D$80,MATCH('Scenario Picker'!$B$2,'Growth Scenarios'!$B$2:$D$2,0)+1)</f>
        <v>0</v>
      </c>
      <c r="N47" s="21">
        <f ca="1">(1-'Electrification Scenario'!F53)*VLOOKUP(F$3,'Static Parameters'!$A$3:$B$9,2)*VLOOKUP($A47,'Growth Scenarios'!$E$3:$I$80,MATCH('Scenario Picker'!$B$3,'Growth Scenarios'!$F$2:$I$2,0)+1)/1000000000*VLOOKUP($A47,'Growth Scenarios'!$A$3:$D$80,MATCH('Scenario Picker'!$B$2,'Growth Scenarios'!$B$2:$D$2,0)+1)</f>
        <v>2.6520518634752177</v>
      </c>
      <c r="O47" s="21">
        <f ca="1">(1-'Electrification Scenario'!G53)*VLOOKUP(G$3,'Static Parameters'!$A$3:$B$9,2)*VLOOKUP($A47,'Growth Scenarios'!$E$3:$I$80,MATCH('Scenario Picker'!$B$3,'Growth Scenarios'!$F$2:$I$2,0)+1)/1000000000*VLOOKUP($A47,'Growth Scenarios'!$A$3:$D$80,MATCH('Scenario Picker'!$B$2,'Growth Scenarios'!$B$2:$D$2,0)+1)</f>
        <v>0</v>
      </c>
      <c r="P47" s="21">
        <f ca="1">(1-'Electrification Scenario'!H53)*VLOOKUP(H$3,'Static Parameters'!$A$3:$B$9,2)*VLOOKUP($A47,'Growth Scenarios'!$E$3:$I$80,MATCH('Scenario Picker'!$B$3,'Growth Scenarios'!$F$2:$I$2,0)+1)/1000000000*VLOOKUP($A47,'Growth Scenarios'!$A$3:$D$80,MATCH('Scenario Picker'!$B$2,'Growth Scenarios'!$B$2:$D$2,0)+1)</f>
        <v>48.048939644139239</v>
      </c>
      <c r="Q47" s="28">
        <f t="shared" ca="1" si="1"/>
        <v>56.941113539320853</v>
      </c>
      <c r="R47" s="28">
        <f t="shared" ca="1" si="2"/>
        <v>467.35393956465049</v>
      </c>
    </row>
    <row r="48" spans="1:18" ht="15" x14ac:dyDescent="0.35">
      <c r="A48" s="31">
        <v>2066</v>
      </c>
      <c r="B48" s="25">
        <f ca="1">'Electrification Scenario'!B54*(1-'Electrification Scenario'!B$8*('Electrification Scenario'!B54-'Electrification Scenario'!B$4)/('Electrification Scenario'!B$5-'Electrification Scenario'!B$4))*VLOOKUP(B$3,'Static Parameters'!$A$3:$B$9,2)*VLOOKUP($A48,'Growth Scenarios'!$E$3:$I$80,MATCH('Scenario Picker'!$B$3,'Growth Scenarios'!$F$2:$I$2,0)+1)/1000000000*VLOOKUP($A48,'Growth Scenarios'!$A$3:$D$80,MATCH('Scenario Picker'!$B$2,'Growth Scenarios'!$B$2:$D$2,0)+1)</f>
        <v>7.257246172919821</v>
      </c>
      <c r="C48" s="21">
        <f ca="1">'Electrification Scenario'!C54*(1-'Electrification Scenario'!C$8*('Electrification Scenario'!C54-'Electrification Scenario'!C$4)/('Electrification Scenario'!C$5-'Electrification Scenario'!C$4))*VLOOKUP(C$3,'Static Parameters'!$A$3:$B$9,2)*VLOOKUP($A48,'Growth Scenarios'!$E$3:$I$80,MATCH('Scenario Picker'!$B$3,'Growth Scenarios'!$F$2:$I$2,0)+1)/1000000000*VLOOKUP($A48,'Growth Scenarios'!$A$3:$D$80,MATCH('Scenario Picker'!$B$2,'Growth Scenarios'!$B$2:$D$2,0)+1)</f>
        <v>44.349837723398913</v>
      </c>
      <c r="D48" s="21">
        <f ca="1">'Electrification Scenario'!D54*(1-'Electrification Scenario'!D$8*('Electrification Scenario'!D54-'Electrification Scenario'!D$4)/('Electrification Scenario'!D$5-'Electrification Scenario'!D$4))*VLOOKUP(D$3,'Static Parameters'!$A$3:$B$9,2)*VLOOKUP($A48,'Growth Scenarios'!$E$3:$I$80,MATCH('Scenario Picker'!$B$3,'Growth Scenarios'!$F$2:$I$2,0)+1)/1000000000*VLOOKUP($A48,'Growth Scenarios'!$A$3:$D$80,MATCH('Scenario Picker'!$B$2,'Growth Scenarios'!$B$2:$D$2,0)+1)</f>
        <v>0.30238525720499254</v>
      </c>
      <c r="E48" s="21">
        <f ca="1">'Electrification Scenario'!E54*(1-'Electrification Scenario'!E$8*('Electrification Scenario'!E54-'Electrification Scenario'!E$4)/('Electrification Scenario'!E$5-'Electrification Scenario'!E$4))*VLOOKUP(E$3,'Static Parameters'!$A$3:$B$9,2)*VLOOKUP($A48,'Growth Scenarios'!$E$3:$I$80,MATCH('Scenario Picker'!$B$3,'Growth Scenarios'!$F$2:$I$2,0)+1)/1000000000*VLOOKUP($A48,'Growth Scenarios'!$A$3:$D$80,MATCH('Scenario Picker'!$B$2,'Growth Scenarios'!$B$2:$D$2,0)+1)</f>
        <v>169.83971946347083</v>
      </c>
      <c r="F48" s="21">
        <f ca="1">'Electrification Scenario'!F54*(1-'Electrification Scenario'!F$8*('Electrification Scenario'!F54-'Electrification Scenario'!F$4)/('Electrification Scenario'!F$5-'Electrification Scenario'!F$4))*VLOOKUP(F$3,'Static Parameters'!$A$3:$B$9,2)*VLOOKUP($A48,'Growth Scenarios'!$E$3:$I$80,MATCH('Scenario Picker'!$B$3,'Growth Scenarios'!$F$2:$I$2,0)+1)/1000000000*VLOOKUP($A48,'Growth Scenarios'!$A$3:$D$80,MATCH('Scenario Picker'!$B$2,'Growth Scenarios'!$B$2:$D$2,0)+1)</f>
        <v>6.4256867156060933</v>
      </c>
      <c r="G48" s="21">
        <f ca="1">'Electrification Scenario'!G54*(1-'Electrification Scenario'!G$8*('Electrification Scenario'!G54-'Electrification Scenario'!G$4)/('Electrification Scenario'!G$5-'Electrification Scenario'!G$4))*VLOOKUP(G$3,'Static Parameters'!$A$3:$B$9,2)*VLOOKUP($A48,'Growth Scenarios'!$E$3:$I$80,MATCH('Scenario Picker'!$B$3,'Growth Scenarios'!$F$2:$I$2,0)+1)/1000000000*VLOOKUP($A48,'Growth Scenarios'!$A$3:$D$80,MATCH('Scenario Picker'!$B$2,'Growth Scenarios'!$B$2:$D$2,0)+1)</f>
        <v>113.39447145187223</v>
      </c>
      <c r="H48" s="21">
        <f ca="1">'Electrification Scenario'!H54*(1-'Electrification Scenario'!H$8*('Electrification Scenario'!H54-'Electrification Scenario'!H$4)/('Electrification Scenario'!H$5-'Electrification Scenario'!H$4))*VLOOKUP(H$3,'Static Parameters'!$A$3:$B$9,2)*VLOOKUP($A48,'Growth Scenarios'!$E$3:$I$80,MATCH('Scenario Picker'!$B$3,'Growth Scenarios'!$F$2:$I$2,0)+1)/1000000000*VLOOKUP($A48,'Growth Scenarios'!$A$3:$D$80,MATCH('Scenario Picker'!$B$2,'Growth Scenarios'!$B$2:$D$2,0)+1)</f>
        <v>72.76145251495133</v>
      </c>
      <c r="I48" s="28">
        <f t="shared" ca="1" si="0"/>
        <v>414.3307992994242</v>
      </c>
      <c r="J48" s="25">
        <f ca="1">(1-'Electrification Scenario'!B54)*VLOOKUP(B$3,'Static Parameters'!$A$3:$B$9,2)*VLOOKUP($A48,'Growth Scenarios'!$E$3:$I$80,MATCH('Scenario Picker'!$B$3,'Growth Scenarios'!$F$2:$I$2,0)+1)/1000000000*VLOOKUP($A48,'Growth Scenarios'!$A$3:$D$80,MATCH('Scenario Picker'!$B$2,'Growth Scenarios'!$B$2:$D$2,0)+1)</f>
        <v>6.0477051440998526</v>
      </c>
      <c r="K48" s="21">
        <f ca="1">(1-'Electrification Scenario'!C54)*VLOOKUP(C$3,'Static Parameters'!$A$3:$B$9,2)*VLOOKUP($A48,'Growth Scenarios'!$E$3:$I$80,MATCH('Scenario Picker'!$B$3,'Growth Scenarios'!$F$2:$I$2,0)+1)/1000000000*VLOOKUP($A48,'Growth Scenarios'!$A$3:$D$80,MATCH('Scenario Picker'!$B$2,'Growth Scenarios'!$B$2:$D$2,0)+1)</f>
        <v>0</v>
      </c>
      <c r="L48" s="21">
        <f ca="1">(1-'Electrification Scenario'!D54)*VLOOKUP(D$3,'Static Parameters'!$A$3:$B$9,2)*VLOOKUP($A48,'Growth Scenarios'!$E$3:$I$80,MATCH('Scenario Picker'!$B$3,'Growth Scenarios'!$F$2:$I$2,0)+1)/1000000000*VLOOKUP($A48,'Growth Scenarios'!$A$3:$D$80,MATCH('Scenario Picker'!$B$2,'Growth Scenarios'!$B$2:$D$2,0)+1)</f>
        <v>0.25198771433749384</v>
      </c>
      <c r="M48" s="21">
        <f ca="1">(1-'Electrification Scenario'!E54)*VLOOKUP(E$3,'Static Parameters'!$A$3:$B$9,2)*VLOOKUP($A48,'Growth Scenarios'!$E$3:$I$80,MATCH('Scenario Picker'!$B$3,'Growth Scenarios'!$F$2:$I$2,0)+1)/1000000000*VLOOKUP($A48,'Growth Scenarios'!$A$3:$D$80,MATCH('Scenario Picker'!$B$2,'Growth Scenarios'!$B$2:$D$2,0)+1)</f>
        <v>0</v>
      </c>
      <c r="N48" s="21">
        <f ca="1">(1-'Electrification Scenario'!F54)*VLOOKUP(F$3,'Static Parameters'!$A$3:$B$9,2)*VLOOKUP($A48,'Growth Scenarios'!$E$3:$I$80,MATCH('Scenario Picker'!$B$3,'Growth Scenarios'!$F$2:$I$2,0)+1)/1000000000*VLOOKUP($A48,'Growth Scenarios'!$A$3:$D$80,MATCH('Scenario Picker'!$B$2,'Growth Scenarios'!$B$2:$D$2,0)+1)</f>
        <v>2.6773694648358721</v>
      </c>
      <c r="O48" s="21">
        <f ca="1">(1-'Electrification Scenario'!G54)*VLOOKUP(G$3,'Static Parameters'!$A$3:$B$9,2)*VLOOKUP($A48,'Growth Scenarios'!$E$3:$I$80,MATCH('Scenario Picker'!$B$3,'Growth Scenarios'!$F$2:$I$2,0)+1)/1000000000*VLOOKUP($A48,'Growth Scenarios'!$A$3:$D$80,MATCH('Scenario Picker'!$B$2,'Growth Scenarios'!$B$2:$D$2,0)+1)</f>
        <v>0</v>
      </c>
      <c r="P48" s="21">
        <f ca="1">(1-'Electrification Scenario'!H54)*VLOOKUP(H$3,'Static Parameters'!$A$3:$B$9,2)*VLOOKUP($A48,'Growth Scenarios'!$E$3:$I$80,MATCH('Scenario Picker'!$B$3,'Growth Scenarios'!$F$2:$I$2,0)+1)/1000000000*VLOOKUP($A48,'Growth Scenarios'!$A$3:$D$80,MATCH('Scenario Picker'!$B$2,'Growth Scenarios'!$B$2:$D$2,0)+1)</f>
        <v>48.507635009967558</v>
      </c>
      <c r="Q48" s="28">
        <f t="shared" ca="1" si="1"/>
        <v>57.484697333240774</v>
      </c>
      <c r="R48" s="28">
        <f t="shared" ca="1" si="2"/>
        <v>471.81549663266497</v>
      </c>
    </row>
    <row r="49" spans="1:18" ht="15" x14ac:dyDescent="0.35">
      <c r="A49" s="31">
        <v>2067</v>
      </c>
      <c r="B49" s="25">
        <f ca="1">'Electrification Scenario'!B55*(1-'Electrification Scenario'!B$8*('Electrification Scenario'!B55-'Electrification Scenario'!B$4)/('Electrification Scenario'!B$5-'Electrification Scenario'!B$4))*VLOOKUP(B$3,'Static Parameters'!$A$3:$B$9,2)*VLOOKUP($A49,'Growth Scenarios'!$E$3:$I$80,MATCH('Scenario Picker'!$B$3,'Growth Scenarios'!$F$2:$I$2,0)+1)/1000000000*VLOOKUP($A49,'Growth Scenarios'!$A$3:$D$80,MATCH('Scenario Picker'!$B$2,'Growth Scenarios'!$B$2:$D$2,0)+1)</f>
        <v>7.3245816287705248</v>
      </c>
      <c r="C49" s="21">
        <f ca="1">'Electrification Scenario'!C55*(1-'Electrification Scenario'!C$8*('Electrification Scenario'!C55-'Electrification Scenario'!C$4)/('Electrification Scenario'!C$5-'Electrification Scenario'!C$4))*VLOOKUP(C$3,'Static Parameters'!$A$3:$B$9,2)*VLOOKUP($A49,'Growth Scenarios'!$E$3:$I$80,MATCH('Scenario Picker'!$B$3,'Growth Scenarios'!$F$2:$I$2,0)+1)/1000000000*VLOOKUP($A49,'Growth Scenarios'!$A$3:$D$80,MATCH('Scenario Picker'!$B$2,'Growth Scenarios'!$B$2:$D$2,0)+1)</f>
        <v>44.761332175819881</v>
      </c>
      <c r="D49" s="21">
        <f ca="1">'Electrification Scenario'!D55*(1-'Electrification Scenario'!D$8*('Electrification Scenario'!D55-'Electrification Scenario'!D$4)/('Electrification Scenario'!D$5-'Electrification Scenario'!D$4))*VLOOKUP(D$3,'Static Parameters'!$A$3:$B$9,2)*VLOOKUP($A49,'Growth Scenarios'!$E$3:$I$80,MATCH('Scenario Picker'!$B$3,'Growth Scenarios'!$F$2:$I$2,0)+1)/1000000000*VLOOKUP($A49,'Growth Scenarios'!$A$3:$D$80,MATCH('Scenario Picker'!$B$2,'Growth Scenarios'!$B$2:$D$2,0)+1)</f>
        <v>0.30519090119877185</v>
      </c>
      <c r="E49" s="21">
        <f ca="1">'Electrification Scenario'!E55*(1-'Electrification Scenario'!E$8*('Electrification Scenario'!E55-'Electrification Scenario'!E$4)/('Electrification Scenario'!E$5-'Electrification Scenario'!E$4))*VLOOKUP(E$3,'Static Parameters'!$A$3:$B$9,2)*VLOOKUP($A49,'Growth Scenarios'!$E$3:$I$80,MATCH('Scenario Picker'!$B$3,'Growth Scenarios'!$F$2:$I$2,0)+1)/1000000000*VLOOKUP($A49,'Growth Scenarios'!$A$3:$D$80,MATCH('Scenario Picker'!$B$2,'Growth Scenarios'!$B$2:$D$2,0)+1)</f>
        <v>171.41555617331016</v>
      </c>
      <c r="F49" s="21">
        <f ca="1">'Electrification Scenario'!F55*(1-'Electrification Scenario'!F$8*('Electrification Scenario'!F55-'Electrification Scenario'!F$4)/('Electrification Scenario'!F$5-'Electrification Scenario'!F$4))*VLOOKUP(F$3,'Static Parameters'!$A$3:$B$9,2)*VLOOKUP($A49,'Growth Scenarios'!$E$3:$I$80,MATCH('Scenario Picker'!$B$3,'Growth Scenarios'!$F$2:$I$2,0)+1)/1000000000*VLOOKUP($A49,'Growth Scenarios'!$A$3:$D$80,MATCH('Scenario Picker'!$B$2,'Growth Scenarios'!$B$2:$D$2,0)+1)</f>
        <v>6.4853066504739028</v>
      </c>
      <c r="G49" s="21">
        <f ca="1">'Electrification Scenario'!G55*(1-'Electrification Scenario'!G$8*('Electrification Scenario'!G55-'Electrification Scenario'!G$4)/('Electrification Scenario'!G$5-'Electrification Scenario'!G$4))*VLOOKUP(G$3,'Static Parameters'!$A$3:$B$9,2)*VLOOKUP($A49,'Growth Scenarios'!$E$3:$I$80,MATCH('Scenario Picker'!$B$3,'Growth Scenarios'!$F$2:$I$2,0)+1)/1000000000*VLOOKUP($A49,'Growth Scenarios'!$A$3:$D$80,MATCH('Scenario Picker'!$B$2,'Growth Scenarios'!$B$2:$D$2,0)+1)</f>
        <v>114.44658794953946</v>
      </c>
      <c r="H49" s="21">
        <f ca="1">'Electrification Scenario'!H55*(1-'Electrification Scenario'!H$8*('Electrification Scenario'!H55-'Electrification Scenario'!H$4)/('Electrification Scenario'!H$5-'Electrification Scenario'!H$4))*VLOOKUP(H$3,'Static Parameters'!$A$3:$B$9,2)*VLOOKUP($A49,'Growth Scenarios'!$E$3:$I$80,MATCH('Scenario Picker'!$B$3,'Growth Scenarios'!$F$2:$I$2,0)+1)/1000000000*VLOOKUP($A49,'Growth Scenarios'!$A$3:$D$80,MATCH('Scenario Picker'!$B$2,'Growth Scenarios'!$B$2:$D$2,0)+1)</f>
        <v>73.436560600954479</v>
      </c>
      <c r="I49" s="28">
        <f t="shared" ca="1" si="0"/>
        <v>418.1751160800672</v>
      </c>
      <c r="J49" s="25">
        <f ca="1">(1-'Electrification Scenario'!B55)*VLOOKUP(B$3,'Static Parameters'!$A$3:$B$9,2)*VLOOKUP($A49,'Growth Scenarios'!$E$3:$I$80,MATCH('Scenario Picker'!$B$3,'Growth Scenarios'!$F$2:$I$2,0)+1)/1000000000*VLOOKUP($A49,'Growth Scenarios'!$A$3:$D$80,MATCH('Scenario Picker'!$B$2,'Growth Scenarios'!$B$2:$D$2,0)+1)</f>
        <v>6.1038180239754389</v>
      </c>
      <c r="K49" s="21">
        <f ca="1">(1-'Electrification Scenario'!C55)*VLOOKUP(C$3,'Static Parameters'!$A$3:$B$9,2)*VLOOKUP($A49,'Growth Scenarios'!$E$3:$I$80,MATCH('Scenario Picker'!$B$3,'Growth Scenarios'!$F$2:$I$2,0)+1)/1000000000*VLOOKUP($A49,'Growth Scenarios'!$A$3:$D$80,MATCH('Scenario Picker'!$B$2,'Growth Scenarios'!$B$2:$D$2,0)+1)</f>
        <v>0</v>
      </c>
      <c r="L49" s="21">
        <f ca="1">(1-'Electrification Scenario'!D55)*VLOOKUP(D$3,'Static Parameters'!$A$3:$B$9,2)*VLOOKUP($A49,'Growth Scenarios'!$E$3:$I$80,MATCH('Scenario Picker'!$B$3,'Growth Scenarios'!$F$2:$I$2,0)+1)/1000000000*VLOOKUP($A49,'Growth Scenarios'!$A$3:$D$80,MATCH('Scenario Picker'!$B$2,'Growth Scenarios'!$B$2:$D$2,0)+1)</f>
        <v>0.25432575099897653</v>
      </c>
      <c r="M49" s="21">
        <f ca="1">(1-'Electrification Scenario'!E55)*VLOOKUP(E$3,'Static Parameters'!$A$3:$B$9,2)*VLOOKUP($A49,'Growth Scenarios'!$E$3:$I$80,MATCH('Scenario Picker'!$B$3,'Growth Scenarios'!$F$2:$I$2,0)+1)/1000000000*VLOOKUP($A49,'Growth Scenarios'!$A$3:$D$80,MATCH('Scenario Picker'!$B$2,'Growth Scenarios'!$B$2:$D$2,0)+1)</f>
        <v>0</v>
      </c>
      <c r="N49" s="21">
        <f ca="1">(1-'Electrification Scenario'!F55)*VLOOKUP(F$3,'Static Parameters'!$A$3:$B$9,2)*VLOOKUP($A49,'Growth Scenarios'!$E$3:$I$80,MATCH('Scenario Picker'!$B$3,'Growth Scenarios'!$F$2:$I$2,0)+1)/1000000000*VLOOKUP($A49,'Growth Scenarios'!$A$3:$D$80,MATCH('Scenario Picker'!$B$2,'Growth Scenarios'!$B$2:$D$2,0)+1)</f>
        <v>2.7022111043641264</v>
      </c>
      <c r="O49" s="21">
        <f ca="1">(1-'Electrification Scenario'!G55)*VLOOKUP(G$3,'Static Parameters'!$A$3:$B$9,2)*VLOOKUP($A49,'Growth Scenarios'!$E$3:$I$80,MATCH('Scenario Picker'!$B$3,'Growth Scenarios'!$F$2:$I$2,0)+1)/1000000000*VLOOKUP($A49,'Growth Scenarios'!$A$3:$D$80,MATCH('Scenario Picker'!$B$2,'Growth Scenarios'!$B$2:$D$2,0)+1)</f>
        <v>0</v>
      </c>
      <c r="P49" s="21">
        <f ca="1">(1-'Electrification Scenario'!H55)*VLOOKUP(H$3,'Static Parameters'!$A$3:$B$9,2)*VLOOKUP($A49,'Growth Scenarios'!$E$3:$I$80,MATCH('Scenario Picker'!$B$3,'Growth Scenarios'!$F$2:$I$2,0)+1)/1000000000*VLOOKUP($A49,'Growth Scenarios'!$A$3:$D$80,MATCH('Scenario Picker'!$B$2,'Growth Scenarios'!$B$2:$D$2,0)+1)</f>
        <v>48.957707067302984</v>
      </c>
      <c r="Q49" s="28">
        <f t="shared" ca="1" si="1"/>
        <v>58.018061946641524</v>
      </c>
      <c r="R49" s="28">
        <f t="shared" ca="1" si="2"/>
        <v>476.19317802670872</v>
      </c>
    </row>
    <row r="50" spans="1:18" ht="15" x14ac:dyDescent="0.35">
      <c r="A50" s="31">
        <v>2068</v>
      </c>
      <c r="B50" s="25">
        <f ca="1">'Electrification Scenario'!B56*(1-'Electrification Scenario'!B$8*('Electrification Scenario'!B56-'Electrification Scenario'!B$4)/('Electrification Scenario'!B$5-'Electrification Scenario'!B$4))*VLOOKUP(B$3,'Static Parameters'!$A$3:$B$9,2)*VLOOKUP($A50,'Growth Scenarios'!$E$3:$I$80,MATCH('Scenario Picker'!$B$3,'Growth Scenarios'!$F$2:$I$2,0)+1)/1000000000*VLOOKUP($A50,'Growth Scenarios'!$A$3:$D$80,MATCH('Scenario Picker'!$B$2,'Growth Scenarios'!$B$2:$D$2,0)+1)</f>
        <v>7.3904614849353818</v>
      </c>
      <c r="C50" s="21">
        <f ca="1">'Electrification Scenario'!C56*(1-'Electrification Scenario'!C$8*('Electrification Scenario'!C56-'Electrification Scenario'!C$4)/('Electrification Scenario'!C$5-'Electrification Scenario'!C$4))*VLOOKUP(C$3,'Static Parameters'!$A$3:$B$9,2)*VLOOKUP($A50,'Growth Scenarios'!$E$3:$I$80,MATCH('Scenario Picker'!$B$3,'Growth Scenarios'!$F$2:$I$2,0)+1)/1000000000*VLOOKUP($A50,'Growth Scenarios'!$A$3:$D$80,MATCH('Scenario Picker'!$B$2,'Growth Scenarios'!$B$2:$D$2,0)+1)</f>
        <v>45.163931296827329</v>
      </c>
      <c r="D50" s="21">
        <f ca="1">'Electrification Scenario'!D56*(1-'Electrification Scenario'!D$8*('Electrification Scenario'!D56-'Electrification Scenario'!D$4)/('Electrification Scenario'!D$5-'Electrification Scenario'!D$4))*VLOOKUP(D$3,'Static Parameters'!$A$3:$B$9,2)*VLOOKUP($A50,'Growth Scenarios'!$E$3:$I$80,MATCH('Scenario Picker'!$B$3,'Growth Scenarios'!$F$2:$I$2,0)+1)/1000000000*VLOOKUP($A50,'Growth Scenarios'!$A$3:$D$80,MATCH('Scenario Picker'!$B$2,'Growth Scenarios'!$B$2:$D$2,0)+1)</f>
        <v>0.30793589520564091</v>
      </c>
      <c r="E50" s="21">
        <f ca="1">'Electrification Scenario'!E56*(1-'Electrification Scenario'!E$8*('Electrification Scenario'!E56-'Electrification Scenario'!E$4)/('Electrification Scenario'!E$5-'Electrification Scenario'!E$4))*VLOOKUP(E$3,'Static Parameters'!$A$3:$B$9,2)*VLOOKUP($A50,'Growth Scenarios'!$E$3:$I$80,MATCH('Scenario Picker'!$B$3,'Growth Scenarios'!$F$2:$I$2,0)+1)/1000000000*VLOOKUP($A50,'Growth Scenarios'!$A$3:$D$80,MATCH('Scenario Picker'!$B$2,'Growth Scenarios'!$B$2:$D$2,0)+1)</f>
        <v>172.9573278071683</v>
      </c>
      <c r="F50" s="21">
        <f ca="1">'Electrification Scenario'!F56*(1-'Electrification Scenario'!F$8*('Electrification Scenario'!F56-'Electrification Scenario'!F$4)/('Electrification Scenario'!F$5-'Electrification Scenario'!F$4))*VLOOKUP(F$3,'Static Parameters'!$A$3:$B$9,2)*VLOOKUP($A50,'Growth Scenarios'!$E$3:$I$80,MATCH('Scenario Picker'!$B$3,'Growth Scenarios'!$F$2:$I$2,0)+1)/1000000000*VLOOKUP($A50,'Growth Scenarios'!$A$3:$D$80,MATCH('Scenario Picker'!$B$2,'Growth Scenarios'!$B$2:$D$2,0)+1)</f>
        <v>6.5436377731198707</v>
      </c>
      <c r="G50" s="21">
        <f ca="1">'Electrification Scenario'!G56*(1-'Electrification Scenario'!G$8*('Electrification Scenario'!G56-'Electrification Scenario'!G$4)/('Electrification Scenario'!G$5-'Electrification Scenario'!G$4))*VLOOKUP(G$3,'Static Parameters'!$A$3:$B$9,2)*VLOOKUP($A50,'Growth Scenarios'!$E$3:$I$80,MATCH('Scenario Picker'!$B$3,'Growth Scenarios'!$F$2:$I$2,0)+1)/1000000000*VLOOKUP($A50,'Growth Scenarios'!$A$3:$D$80,MATCH('Scenario Picker'!$B$2,'Growth Scenarios'!$B$2:$D$2,0)+1)</f>
        <v>115.47596070211536</v>
      </c>
      <c r="H50" s="21">
        <f ca="1">'Electrification Scenario'!H56*(1-'Electrification Scenario'!H$8*('Electrification Scenario'!H56-'Electrification Scenario'!H$4)/('Electrification Scenario'!H$5-'Electrification Scenario'!H$4))*VLOOKUP(H$3,'Static Parameters'!$A$3:$B$9,2)*VLOOKUP($A50,'Growth Scenarios'!$E$3:$I$80,MATCH('Scenario Picker'!$B$3,'Growth Scenarios'!$F$2:$I$2,0)+1)/1000000000*VLOOKUP($A50,'Growth Scenarios'!$A$3:$D$80,MATCH('Scenario Picker'!$B$2,'Growth Scenarios'!$B$2:$D$2,0)+1)</f>
        <v>74.097074783857337</v>
      </c>
      <c r="I50" s="28">
        <f t="shared" ca="1" si="0"/>
        <v>421.93632974322924</v>
      </c>
      <c r="J50" s="25">
        <f ca="1">(1-'Electrification Scenario'!B56)*VLOOKUP(B$3,'Static Parameters'!$A$3:$B$9,2)*VLOOKUP($A50,'Growth Scenarios'!$E$3:$I$80,MATCH('Scenario Picker'!$B$3,'Growth Scenarios'!$F$2:$I$2,0)+1)/1000000000*VLOOKUP($A50,'Growth Scenarios'!$A$3:$D$80,MATCH('Scenario Picker'!$B$2,'Growth Scenarios'!$B$2:$D$2,0)+1)</f>
        <v>6.1587179041128186</v>
      </c>
      <c r="K50" s="21">
        <f ca="1">(1-'Electrification Scenario'!C56)*VLOOKUP(C$3,'Static Parameters'!$A$3:$B$9,2)*VLOOKUP($A50,'Growth Scenarios'!$E$3:$I$80,MATCH('Scenario Picker'!$B$3,'Growth Scenarios'!$F$2:$I$2,0)+1)/1000000000*VLOOKUP($A50,'Growth Scenarios'!$A$3:$D$80,MATCH('Scenario Picker'!$B$2,'Growth Scenarios'!$B$2:$D$2,0)+1)</f>
        <v>0</v>
      </c>
      <c r="L50" s="21">
        <f ca="1">(1-'Electrification Scenario'!D56)*VLOOKUP(D$3,'Static Parameters'!$A$3:$B$9,2)*VLOOKUP($A50,'Growth Scenarios'!$E$3:$I$80,MATCH('Scenario Picker'!$B$3,'Growth Scenarios'!$F$2:$I$2,0)+1)/1000000000*VLOOKUP($A50,'Growth Scenarios'!$A$3:$D$80,MATCH('Scenario Picker'!$B$2,'Growth Scenarios'!$B$2:$D$2,0)+1)</f>
        <v>0.25661324600470076</v>
      </c>
      <c r="M50" s="21">
        <f ca="1">(1-'Electrification Scenario'!E56)*VLOOKUP(E$3,'Static Parameters'!$A$3:$B$9,2)*VLOOKUP($A50,'Growth Scenarios'!$E$3:$I$80,MATCH('Scenario Picker'!$B$3,'Growth Scenarios'!$F$2:$I$2,0)+1)/1000000000*VLOOKUP($A50,'Growth Scenarios'!$A$3:$D$80,MATCH('Scenario Picker'!$B$2,'Growth Scenarios'!$B$2:$D$2,0)+1)</f>
        <v>0</v>
      </c>
      <c r="N50" s="21">
        <f ca="1">(1-'Electrification Scenario'!F56)*VLOOKUP(F$3,'Static Parameters'!$A$3:$B$9,2)*VLOOKUP($A50,'Growth Scenarios'!$E$3:$I$80,MATCH('Scenario Picker'!$B$3,'Growth Scenarios'!$F$2:$I$2,0)+1)/1000000000*VLOOKUP($A50,'Growth Scenarios'!$A$3:$D$80,MATCH('Scenario Picker'!$B$2,'Growth Scenarios'!$B$2:$D$2,0)+1)</f>
        <v>2.7265157387999457</v>
      </c>
      <c r="O50" s="21">
        <f ca="1">(1-'Electrification Scenario'!G56)*VLOOKUP(G$3,'Static Parameters'!$A$3:$B$9,2)*VLOOKUP($A50,'Growth Scenarios'!$E$3:$I$80,MATCH('Scenario Picker'!$B$3,'Growth Scenarios'!$F$2:$I$2,0)+1)/1000000000*VLOOKUP($A50,'Growth Scenarios'!$A$3:$D$80,MATCH('Scenario Picker'!$B$2,'Growth Scenarios'!$B$2:$D$2,0)+1)</f>
        <v>0</v>
      </c>
      <c r="P50" s="21">
        <f ca="1">(1-'Electrification Scenario'!H56)*VLOOKUP(H$3,'Static Parameters'!$A$3:$B$9,2)*VLOOKUP($A50,'Growth Scenarios'!$E$3:$I$80,MATCH('Scenario Picker'!$B$3,'Growth Scenarios'!$F$2:$I$2,0)+1)/1000000000*VLOOKUP($A50,'Growth Scenarios'!$A$3:$D$80,MATCH('Scenario Picker'!$B$2,'Growth Scenarios'!$B$2:$D$2,0)+1)</f>
        <v>49.398049855904887</v>
      </c>
      <c r="Q50" s="28">
        <f t="shared" ca="1" si="1"/>
        <v>58.53989674482235</v>
      </c>
      <c r="R50" s="28">
        <f t="shared" ca="1" si="2"/>
        <v>480.47622648805157</v>
      </c>
    </row>
    <row r="51" spans="1:18" ht="15" x14ac:dyDescent="0.35">
      <c r="A51" s="31">
        <v>2069</v>
      </c>
      <c r="B51" s="25">
        <f ca="1">'Electrification Scenario'!B57*(1-'Electrification Scenario'!B$8*('Electrification Scenario'!B57-'Electrification Scenario'!B$4)/('Electrification Scenario'!B$5-'Electrification Scenario'!B$4))*VLOOKUP(B$3,'Static Parameters'!$A$3:$B$9,2)*VLOOKUP($A51,'Growth Scenarios'!$E$3:$I$80,MATCH('Scenario Picker'!$B$3,'Growth Scenarios'!$F$2:$I$2,0)+1)/1000000000*VLOOKUP($A51,'Growth Scenarios'!$A$3:$D$80,MATCH('Scenario Picker'!$B$2,'Growth Scenarios'!$B$2:$D$2,0)+1)</f>
        <v>7.4547458097235202</v>
      </c>
      <c r="C51" s="21">
        <f ca="1">'Electrification Scenario'!C57*(1-'Electrification Scenario'!C$8*('Electrification Scenario'!C57-'Electrification Scenario'!C$4)/('Electrification Scenario'!C$5-'Electrification Scenario'!C$4))*VLOOKUP(C$3,'Static Parameters'!$A$3:$B$9,2)*VLOOKUP($A51,'Growth Scenarios'!$E$3:$I$80,MATCH('Scenario Picker'!$B$3,'Growth Scenarios'!$F$2:$I$2,0)+1)/1000000000*VLOOKUP($A51,'Growth Scenarios'!$A$3:$D$80,MATCH('Scenario Picker'!$B$2,'Growth Scenarios'!$B$2:$D$2,0)+1)</f>
        <v>45.556779948310414</v>
      </c>
      <c r="D51" s="21">
        <f ca="1">'Electrification Scenario'!D57*(1-'Electrification Scenario'!D$8*('Electrification Scenario'!D57-'Electrification Scenario'!D$4)/('Electrification Scenario'!D$5-'Electrification Scenario'!D$4))*VLOOKUP(D$3,'Static Parameters'!$A$3:$B$9,2)*VLOOKUP($A51,'Growth Scenarios'!$E$3:$I$80,MATCH('Scenario Picker'!$B$3,'Growth Scenarios'!$F$2:$I$2,0)+1)/1000000000*VLOOKUP($A51,'Growth Scenarios'!$A$3:$D$80,MATCH('Scenario Picker'!$B$2,'Growth Scenarios'!$B$2:$D$2,0)+1)</f>
        <v>0.31061440873848012</v>
      </c>
      <c r="E51" s="21">
        <f ca="1">'Electrification Scenario'!E57*(1-'Electrification Scenario'!E$8*('Electrification Scenario'!E57-'Electrification Scenario'!E$4)/('Electrification Scenario'!E$5-'Electrification Scenario'!E$4))*VLOOKUP(E$3,'Static Parameters'!$A$3:$B$9,2)*VLOOKUP($A51,'Growth Scenarios'!$E$3:$I$80,MATCH('Scenario Picker'!$B$3,'Growth Scenarios'!$F$2:$I$2,0)+1)/1000000000*VLOOKUP($A51,'Growth Scenarios'!$A$3:$D$80,MATCH('Scenario Picker'!$B$2,'Growth Scenarios'!$B$2:$D$2,0)+1)</f>
        <v>174.46175957477965</v>
      </c>
      <c r="F51" s="21">
        <f ca="1">'Electrification Scenario'!F57*(1-'Electrification Scenario'!F$8*('Electrification Scenario'!F57-'Electrification Scenario'!F$4)/('Electrification Scenario'!F$5-'Electrification Scenario'!F$4))*VLOOKUP(F$3,'Static Parameters'!$A$3:$B$9,2)*VLOOKUP($A51,'Growth Scenarios'!$E$3:$I$80,MATCH('Scenario Picker'!$B$3,'Growth Scenarios'!$F$2:$I$2,0)+1)/1000000000*VLOOKUP($A51,'Growth Scenarios'!$A$3:$D$80,MATCH('Scenario Picker'!$B$2,'Growth Scenarios'!$B$2:$D$2,0)+1)</f>
        <v>6.600556185692704</v>
      </c>
      <c r="G51" s="21">
        <f ca="1">'Electrification Scenario'!G57*(1-'Electrification Scenario'!G$8*('Electrification Scenario'!G57-'Electrification Scenario'!G$4)/('Electrification Scenario'!G$5-'Electrification Scenario'!G$4))*VLOOKUP(G$3,'Static Parameters'!$A$3:$B$9,2)*VLOOKUP($A51,'Growth Scenarios'!$E$3:$I$80,MATCH('Scenario Picker'!$B$3,'Growth Scenarios'!$F$2:$I$2,0)+1)/1000000000*VLOOKUP($A51,'Growth Scenarios'!$A$3:$D$80,MATCH('Scenario Picker'!$B$2,'Growth Scenarios'!$B$2:$D$2,0)+1)</f>
        <v>116.48040327693005</v>
      </c>
      <c r="H51" s="21">
        <f ca="1">'Electrification Scenario'!H57*(1-'Electrification Scenario'!H$8*('Electrification Scenario'!H57-'Electrification Scenario'!H$4)/('Electrification Scenario'!H$5-'Electrification Scenario'!H$4))*VLOOKUP(H$3,'Static Parameters'!$A$3:$B$9,2)*VLOOKUP($A51,'Growth Scenarios'!$E$3:$I$80,MATCH('Scenario Picker'!$B$3,'Growth Scenarios'!$F$2:$I$2,0)+1)/1000000000*VLOOKUP($A51,'Growth Scenarios'!$A$3:$D$80,MATCH('Scenario Picker'!$B$2,'Growth Scenarios'!$B$2:$D$2,0)+1)</f>
        <v>74.741592102696757</v>
      </c>
      <c r="I51" s="28">
        <f t="shared" ca="1" si="0"/>
        <v>425.60645130687158</v>
      </c>
      <c r="J51" s="25">
        <f ca="1">(1-'Electrification Scenario'!B57)*VLOOKUP(B$3,'Static Parameters'!$A$3:$B$9,2)*VLOOKUP($A51,'Growth Scenarios'!$E$3:$I$80,MATCH('Scenario Picker'!$B$3,'Growth Scenarios'!$F$2:$I$2,0)+1)/1000000000*VLOOKUP($A51,'Growth Scenarios'!$A$3:$D$80,MATCH('Scenario Picker'!$B$2,'Growth Scenarios'!$B$2:$D$2,0)+1)</f>
        <v>6.2122881747696024</v>
      </c>
      <c r="K51" s="21">
        <f ca="1">(1-'Electrification Scenario'!C57)*VLOOKUP(C$3,'Static Parameters'!$A$3:$B$9,2)*VLOOKUP($A51,'Growth Scenarios'!$E$3:$I$80,MATCH('Scenario Picker'!$B$3,'Growth Scenarios'!$F$2:$I$2,0)+1)/1000000000*VLOOKUP($A51,'Growth Scenarios'!$A$3:$D$80,MATCH('Scenario Picker'!$B$2,'Growth Scenarios'!$B$2:$D$2,0)+1)</f>
        <v>0</v>
      </c>
      <c r="L51" s="21">
        <f ca="1">(1-'Electrification Scenario'!D57)*VLOOKUP(D$3,'Static Parameters'!$A$3:$B$9,2)*VLOOKUP($A51,'Growth Scenarios'!$E$3:$I$80,MATCH('Scenario Picker'!$B$3,'Growth Scenarios'!$F$2:$I$2,0)+1)/1000000000*VLOOKUP($A51,'Growth Scenarios'!$A$3:$D$80,MATCH('Scenario Picker'!$B$2,'Growth Scenarios'!$B$2:$D$2,0)+1)</f>
        <v>0.25884534061540004</v>
      </c>
      <c r="M51" s="21">
        <f ca="1">(1-'Electrification Scenario'!E57)*VLOOKUP(E$3,'Static Parameters'!$A$3:$B$9,2)*VLOOKUP($A51,'Growth Scenarios'!$E$3:$I$80,MATCH('Scenario Picker'!$B$3,'Growth Scenarios'!$F$2:$I$2,0)+1)/1000000000*VLOOKUP($A51,'Growth Scenarios'!$A$3:$D$80,MATCH('Scenario Picker'!$B$2,'Growth Scenarios'!$B$2:$D$2,0)+1)</f>
        <v>0</v>
      </c>
      <c r="N51" s="21">
        <f ca="1">(1-'Electrification Scenario'!F57)*VLOOKUP(F$3,'Static Parameters'!$A$3:$B$9,2)*VLOOKUP($A51,'Growth Scenarios'!$E$3:$I$80,MATCH('Scenario Picker'!$B$3,'Growth Scenarios'!$F$2:$I$2,0)+1)/1000000000*VLOOKUP($A51,'Growth Scenarios'!$A$3:$D$80,MATCH('Scenario Picker'!$B$2,'Growth Scenarios'!$B$2:$D$2,0)+1)</f>
        <v>2.7502317440386261</v>
      </c>
      <c r="O51" s="21">
        <f ca="1">(1-'Electrification Scenario'!G57)*VLOOKUP(G$3,'Static Parameters'!$A$3:$B$9,2)*VLOOKUP($A51,'Growth Scenarios'!$E$3:$I$80,MATCH('Scenario Picker'!$B$3,'Growth Scenarios'!$F$2:$I$2,0)+1)/1000000000*VLOOKUP($A51,'Growth Scenarios'!$A$3:$D$80,MATCH('Scenario Picker'!$B$2,'Growth Scenarios'!$B$2:$D$2,0)+1)</f>
        <v>0</v>
      </c>
      <c r="P51" s="21">
        <f ca="1">(1-'Electrification Scenario'!H57)*VLOOKUP(H$3,'Static Parameters'!$A$3:$B$9,2)*VLOOKUP($A51,'Growth Scenarios'!$E$3:$I$80,MATCH('Scenario Picker'!$B$3,'Growth Scenarios'!$F$2:$I$2,0)+1)/1000000000*VLOOKUP($A51,'Growth Scenarios'!$A$3:$D$80,MATCH('Scenario Picker'!$B$2,'Growth Scenarios'!$B$2:$D$2,0)+1)</f>
        <v>49.827728068464509</v>
      </c>
      <c r="Q51" s="28">
        <f t="shared" ca="1" si="1"/>
        <v>59.049093327888137</v>
      </c>
      <c r="R51" s="28">
        <f t="shared" ca="1" si="2"/>
        <v>484.65554463475974</v>
      </c>
    </row>
    <row r="52" spans="1:18" ht="15" x14ac:dyDescent="0.35">
      <c r="A52" s="31">
        <v>2070</v>
      </c>
      <c r="B52" s="25">
        <f ca="1">'Electrification Scenario'!B58*(1-'Electrification Scenario'!B$8*('Electrification Scenario'!B58-'Electrification Scenario'!B$4)/('Electrification Scenario'!B$5-'Electrification Scenario'!B$4))*VLOOKUP(B$3,'Static Parameters'!$A$3:$B$9,2)*VLOOKUP($A52,'Growth Scenarios'!$E$3:$I$80,MATCH('Scenario Picker'!$B$3,'Growth Scenarios'!$F$2:$I$2,0)+1)/1000000000*VLOOKUP($A52,'Growth Scenarios'!$A$3:$D$80,MATCH('Scenario Picker'!$B$2,'Growth Scenarios'!$B$2:$D$2,0)+1)</f>
        <v>7.5172901465308977</v>
      </c>
      <c r="C52" s="21">
        <f ca="1">'Electrification Scenario'!C58*(1-'Electrification Scenario'!C$8*('Electrification Scenario'!C58-'Electrification Scenario'!C$4)/('Electrification Scenario'!C$5-'Electrification Scenario'!C$4))*VLOOKUP(C$3,'Static Parameters'!$A$3:$B$9,2)*VLOOKUP($A52,'Growth Scenarios'!$E$3:$I$80,MATCH('Scenario Picker'!$B$3,'Growth Scenarios'!$F$2:$I$2,0)+1)/1000000000*VLOOKUP($A52,'Growth Scenarios'!$A$3:$D$80,MATCH('Scenario Picker'!$B$2,'Growth Scenarios'!$B$2:$D$2,0)+1)</f>
        <v>45.938995339911052</v>
      </c>
      <c r="D52" s="21">
        <f ca="1">'Electrification Scenario'!D58*(1-'Electrification Scenario'!D$8*('Electrification Scenario'!D58-'Electrification Scenario'!D$4)/('Electrification Scenario'!D$5-'Electrification Scenario'!D$4))*VLOOKUP(D$3,'Static Parameters'!$A$3:$B$9,2)*VLOOKUP($A52,'Growth Scenarios'!$E$3:$I$80,MATCH('Scenario Picker'!$B$3,'Growth Scenarios'!$F$2:$I$2,0)+1)/1000000000*VLOOKUP($A52,'Growth Scenarios'!$A$3:$D$80,MATCH('Scenario Picker'!$B$2,'Growth Scenarios'!$B$2:$D$2,0)+1)</f>
        <v>0.31322042277212075</v>
      </c>
      <c r="E52" s="21">
        <f ca="1">'Electrification Scenario'!E58*(1-'Electrification Scenario'!E$8*('Electrification Scenario'!E58-'Electrification Scenario'!E$4)/('Electrification Scenario'!E$5-'Electrification Scenario'!E$4))*VLOOKUP(E$3,'Static Parameters'!$A$3:$B$9,2)*VLOOKUP($A52,'Growth Scenarios'!$E$3:$I$80,MATCH('Scenario Picker'!$B$3,'Growth Scenarios'!$F$2:$I$2,0)+1)/1000000000*VLOOKUP($A52,'Growth Scenarios'!$A$3:$D$80,MATCH('Scenario Picker'!$B$2,'Growth Scenarios'!$B$2:$D$2,0)+1)</f>
        <v>175.92547079034117</v>
      </c>
      <c r="F52" s="21">
        <f ca="1">'Electrification Scenario'!F58*(1-'Electrification Scenario'!F$8*('Electrification Scenario'!F58-'Electrification Scenario'!F$4)/('Electrification Scenario'!F$5-'Electrification Scenario'!F$4))*VLOOKUP(F$3,'Static Parameters'!$A$3:$B$9,2)*VLOOKUP($A52,'Growth Scenarios'!$E$3:$I$80,MATCH('Scenario Picker'!$B$3,'Growth Scenarios'!$F$2:$I$2,0)+1)/1000000000*VLOOKUP($A52,'Growth Scenarios'!$A$3:$D$80,MATCH('Scenario Picker'!$B$2,'Growth Scenarios'!$B$2:$D$2,0)+1)</f>
        <v>6.6559339839075689</v>
      </c>
      <c r="G52" s="21">
        <f ca="1">'Electrification Scenario'!G58*(1-'Electrification Scenario'!G$8*('Electrification Scenario'!G58-'Electrification Scenario'!G$4)/('Electrification Scenario'!G$5-'Electrification Scenario'!G$4))*VLOOKUP(G$3,'Static Parameters'!$A$3:$B$9,2)*VLOOKUP($A52,'Growth Scenarios'!$E$3:$I$80,MATCH('Scenario Picker'!$B$3,'Growth Scenarios'!$F$2:$I$2,0)+1)/1000000000*VLOOKUP($A52,'Growth Scenarios'!$A$3:$D$80,MATCH('Scenario Picker'!$B$2,'Growth Scenarios'!$B$2:$D$2,0)+1)</f>
        <v>117.45765853954529</v>
      </c>
      <c r="H52" s="21">
        <f ca="1">'Electrification Scenario'!H58*(1-'Electrification Scenario'!H$8*('Electrification Scenario'!H58-'Electrification Scenario'!H$4)/('Electrification Scenario'!H$5-'Electrification Scenario'!H$4))*VLOOKUP(H$3,'Static Parameters'!$A$3:$B$9,2)*VLOOKUP($A52,'Growth Scenarios'!$E$3:$I$80,MATCH('Scenario Picker'!$B$3,'Growth Scenarios'!$F$2:$I$2,0)+1)/1000000000*VLOOKUP($A52,'Growth Scenarios'!$A$3:$D$80,MATCH('Scenario Picker'!$B$2,'Growth Scenarios'!$B$2:$D$2,0)+1)</f>
        <v>75.368664229541551</v>
      </c>
      <c r="I52" s="28">
        <f t="shared" ca="1" si="0"/>
        <v>429.17723345254967</v>
      </c>
      <c r="J52" s="25">
        <f ca="1">(1-'Electrification Scenario'!B58)*VLOOKUP(B$3,'Static Parameters'!$A$3:$B$9,2)*VLOOKUP($A52,'Growth Scenarios'!$E$3:$I$80,MATCH('Scenario Picker'!$B$3,'Growth Scenarios'!$F$2:$I$2,0)+1)/1000000000*VLOOKUP($A52,'Growth Scenarios'!$A$3:$D$80,MATCH('Scenario Picker'!$B$2,'Growth Scenarios'!$B$2:$D$2,0)+1)</f>
        <v>6.2644084554424158</v>
      </c>
      <c r="K52" s="21">
        <f ca="1">(1-'Electrification Scenario'!C58)*VLOOKUP(C$3,'Static Parameters'!$A$3:$B$9,2)*VLOOKUP($A52,'Growth Scenarios'!$E$3:$I$80,MATCH('Scenario Picker'!$B$3,'Growth Scenarios'!$F$2:$I$2,0)+1)/1000000000*VLOOKUP($A52,'Growth Scenarios'!$A$3:$D$80,MATCH('Scenario Picker'!$B$2,'Growth Scenarios'!$B$2:$D$2,0)+1)</f>
        <v>0</v>
      </c>
      <c r="L52" s="21">
        <f ca="1">(1-'Electrification Scenario'!D58)*VLOOKUP(D$3,'Static Parameters'!$A$3:$B$9,2)*VLOOKUP($A52,'Growth Scenarios'!$E$3:$I$80,MATCH('Scenario Picker'!$B$3,'Growth Scenarios'!$F$2:$I$2,0)+1)/1000000000*VLOOKUP($A52,'Growth Scenarios'!$A$3:$D$80,MATCH('Scenario Picker'!$B$2,'Growth Scenarios'!$B$2:$D$2,0)+1)</f>
        <v>0.26101701897676732</v>
      </c>
      <c r="M52" s="21">
        <f ca="1">(1-'Electrification Scenario'!E58)*VLOOKUP(E$3,'Static Parameters'!$A$3:$B$9,2)*VLOOKUP($A52,'Growth Scenarios'!$E$3:$I$80,MATCH('Scenario Picker'!$B$3,'Growth Scenarios'!$F$2:$I$2,0)+1)/1000000000*VLOOKUP($A52,'Growth Scenarios'!$A$3:$D$80,MATCH('Scenario Picker'!$B$2,'Growth Scenarios'!$B$2:$D$2,0)+1)</f>
        <v>0</v>
      </c>
      <c r="N52" s="21">
        <f ca="1">(1-'Electrification Scenario'!F58)*VLOOKUP(F$3,'Static Parameters'!$A$3:$B$9,2)*VLOOKUP($A52,'Growth Scenarios'!$E$3:$I$80,MATCH('Scenario Picker'!$B$3,'Growth Scenarios'!$F$2:$I$2,0)+1)/1000000000*VLOOKUP($A52,'Growth Scenarios'!$A$3:$D$80,MATCH('Scenario Picker'!$B$2,'Growth Scenarios'!$B$2:$D$2,0)+1)</f>
        <v>2.7733058266281527</v>
      </c>
      <c r="O52" s="21">
        <f ca="1">(1-'Electrification Scenario'!G58)*VLOOKUP(G$3,'Static Parameters'!$A$3:$B$9,2)*VLOOKUP($A52,'Growth Scenarios'!$E$3:$I$80,MATCH('Scenario Picker'!$B$3,'Growth Scenarios'!$F$2:$I$2,0)+1)/1000000000*VLOOKUP($A52,'Growth Scenarios'!$A$3:$D$80,MATCH('Scenario Picker'!$B$2,'Growth Scenarios'!$B$2:$D$2,0)+1)</f>
        <v>0</v>
      </c>
      <c r="P52" s="21">
        <f ca="1">(1-'Electrification Scenario'!H58)*VLOOKUP(H$3,'Static Parameters'!$A$3:$B$9,2)*VLOOKUP($A52,'Growth Scenarios'!$E$3:$I$80,MATCH('Scenario Picker'!$B$3,'Growth Scenarios'!$F$2:$I$2,0)+1)/1000000000*VLOOKUP($A52,'Growth Scenarios'!$A$3:$D$80,MATCH('Scenario Picker'!$B$2,'Growth Scenarios'!$B$2:$D$2,0)+1)</f>
        <v>50.245776153027712</v>
      </c>
      <c r="Q52" s="28">
        <f t="shared" ca="1" si="1"/>
        <v>59.544507454075045</v>
      </c>
      <c r="R52" s="28">
        <f t="shared" ca="1" si="2"/>
        <v>488.72174090662475</v>
      </c>
    </row>
    <row r="53" spans="1:18" ht="15" x14ac:dyDescent="0.35">
      <c r="A53" s="31">
        <v>2071</v>
      </c>
      <c r="B53" s="25">
        <f ca="1">'Electrification Scenario'!B59*(1-'Electrification Scenario'!B$8*('Electrification Scenario'!B59-'Electrification Scenario'!B$4)/('Electrification Scenario'!B$5-'Electrification Scenario'!B$4))*VLOOKUP(B$3,'Static Parameters'!$A$3:$B$9,2)*VLOOKUP($A53,'Growth Scenarios'!$E$3:$I$80,MATCH('Scenario Picker'!$B$3,'Growth Scenarios'!$F$2:$I$2,0)+1)/1000000000*VLOOKUP($A53,'Growth Scenarios'!$A$3:$D$80,MATCH('Scenario Picker'!$B$2,'Growth Scenarios'!$B$2:$D$2,0)+1)</f>
        <v>7.5779823594436184</v>
      </c>
      <c r="C53" s="21">
        <f ca="1">'Electrification Scenario'!C59*(1-'Electrification Scenario'!C$8*('Electrification Scenario'!C59-'Electrification Scenario'!C$4)/('Electrification Scenario'!C$5-'Electrification Scenario'!C$4))*VLOOKUP(C$3,'Static Parameters'!$A$3:$B$9,2)*VLOOKUP($A53,'Growth Scenarios'!$E$3:$I$80,MATCH('Scenario Picker'!$B$3,'Growth Scenarios'!$F$2:$I$2,0)+1)/1000000000*VLOOKUP($A53,'Growth Scenarios'!$A$3:$D$80,MATCH('Scenario Picker'!$B$2,'Growth Scenarios'!$B$2:$D$2,0)+1)</f>
        <v>46.309892196599904</v>
      </c>
      <c r="D53" s="21">
        <f ca="1">'Electrification Scenario'!D59*(1-'Electrification Scenario'!D$8*('Electrification Scenario'!D59-'Electrification Scenario'!D$4)/('Electrification Scenario'!D$5-'Electrification Scenario'!D$4))*VLOOKUP(D$3,'Static Parameters'!$A$3:$B$9,2)*VLOOKUP($A53,'Growth Scenarios'!$E$3:$I$80,MATCH('Scenario Picker'!$B$3,'Growth Scenarios'!$F$2:$I$2,0)+1)/1000000000*VLOOKUP($A53,'Growth Scenarios'!$A$3:$D$80,MATCH('Scenario Picker'!$B$2,'Growth Scenarios'!$B$2:$D$2,0)+1)</f>
        <v>0.31574926497681743</v>
      </c>
      <c r="E53" s="21">
        <f ca="1">'Electrification Scenario'!E59*(1-'Electrification Scenario'!E$8*('Electrification Scenario'!E59-'Electrification Scenario'!E$4)/('Electrification Scenario'!E$5-'Electrification Scenario'!E$4))*VLOOKUP(E$3,'Static Parameters'!$A$3:$B$9,2)*VLOOKUP($A53,'Growth Scenarios'!$E$3:$I$80,MATCH('Scenario Picker'!$B$3,'Growth Scenarios'!$F$2:$I$2,0)+1)/1000000000*VLOOKUP($A53,'Growth Scenarios'!$A$3:$D$80,MATCH('Scenario Picker'!$B$2,'Growth Scenarios'!$B$2:$D$2,0)+1)</f>
        <v>177.34583716197915</v>
      </c>
      <c r="F53" s="21">
        <f ca="1">'Electrification Scenario'!F59*(1-'Electrification Scenario'!F$8*('Electrification Scenario'!F59-'Electrification Scenario'!F$4)/('Electrification Scenario'!F$5-'Electrification Scenario'!F$4))*VLOOKUP(F$3,'Static Parameters'!$A$3:$B$9,2)*VLOOKUP($A53,'Growth Scenarios'!$E$3:$I$80,MATCH('Scenario Picker'!$B$3,'Growth Scenarios'!$F$2:$I$2,0)+1)/1000000000*VLOOKUP($A53,'Growth Scenarios'!$A$3:$D$80,MATCH('Scenario Picker'!$B$2,'Growth Scenarios'!$B$2:$D$2,0)+1)</f>
        <v>6.709671880757373</v>
      </c>
      <c r="G53" s="21">
        <f ca="1">'Electrification Scenario'!G59*(1-'Electrification Scenario'!G$8*('Electrification Scenario'!G59-'Electrification Scenario'!G$4)/('Electrification Scenario'!G$5-'Electrification Scenario'!G$4))*VLOOKUP(G$3,'Static Parameters'!$A$3:$B$9,2)*VLOOKUP($A53,'Growth Scenarios'!$E$3:$I$80,MATCH('Scenario Picker'!$B$3,'Growth Scenarios'!$F$2:$I$2,0)+1)/1000000000*VLOOKUP($A53,'Growth Scenarios'!$A$3:$D$80,MATCH('Scenario Picker'!$B$2,'Growth Scenarios'!$B$2:$D$2,0)+1)</f>
        <v>118.40597436630657</v>
      </c>
      <c r="H53" s="21">
        <f ca="1">'Electrification Scenario'!H59*(1-'Electrification Scenario'!H$8*('Electrification Scenario'!H59-'Electrification Scenario'!H$4)/('Electrification Scenario'!H$5-'Electrification Scenario'!H$4))*VLOOKUP(H$3,'Static Parameters'!$A$3:$B$9,2)*VLOOKUP($A53,'Growth Scenarios'!$E$3:$I$80,MATCH('Scenario Picker'!$B$3,'Growth Scenarios'!$F$2:$I$2,0)+1)/1000000000*VLOOKUP($A53,'Growth Scenarios'!$A$3:$D$80,MATCH('Scenario Picker'!$B$2,'Growth Scenarios'!$B$2:$D$2,0)+1)</f>
        <v>75.977166885046699</v>
      </c>
      <c r="I53" s="28">
        <f t="shared" ca="1" si="0"/>
        <v>432.64227411511013</v>
      </c>
      <c r="J53" s="25">
        <f ca="1">(1-'Electrification Scenario'!B59)*VLOOKUP(B$3,'Static Parameters'!$A$3:$B$9,2)*VLOOKUP($A53,'Growth Scenarios'!$E$3:$I$80,MATCH('Scenario Picker'!$B$3,'Growth Scenarios'!$F$2:$I$2,0)+1)/1000000000*VLOOKUP($A53,'Growth Scenarios'!$A$3:$D$80,MATCH('Scenario Picker'!$B$2,'Growth Scenarios'!$B$2:$D$2,0)+1)</f>
        <v>6.3149852995363496</v>
      </c>
      <c r="K53" s="21">
        <f ca="1">(1-'Electrification Scenario'!C59)*VLOOKUP(C$3,'Static Parameters'!$A$3:$B$9,2)*VLOOKUP($A53,'Growth Scenarios'!$E$3:$I$80,MATCH('Scenario Picker'!$B$3,'Growth Scenarios'!$F$2:$I$2,0)+1)/1000000000*VLOOKUP($A53,'Growth Scenarios'!$A$3:$D$80,MATCH('Scenario Picker'!$B$2,'Growth Scenarios'!$B$2:$D$2,0)+1)</f>
        <v>0</v>
      </c>
      <c r="L53" s="21">
        <f ca="1">(1-'Electrification Scenario'!D59)*VLOOKUP(D$3,'Static Parameters'!$A$3:$B$9,2)*VLOOKUP($A53,'Growth Scenarios'!$E$3:$I$80,MATCH('Scenario Picker'!$B$3,'Growth Scenarios'!$F$2:$I$2,0)+1)/1000000000*VLOOKUP($A53,'Growth Scenarios'!$A$3:$D$80,MATCH('Scenario Picker'!$B$2,'Growth Scenarios'!$B$2:$D$2,0)+1)</f>
        <v>0.26312438748068123</v>
      </c>
      <c r="M53" s="21">
        <f ca="1">(1-'Electrification Scenario'!E59)*VLOOKUP(E$3,'Static Parameters'!$A$3:$B$9,2)*VLOOKUP($A53,'Growth Scenarios'!$E$3:$I$80,MATCH('Scenario Picker'!$B$3,'Growth Scenarios'!$F$2:$I$2,0)+1)/1000000000*VLOOKUP($A53,'Growth Scenarios'!$A$3:$D$80,MATCH('Scenario Picker'!$B$2,'Growth Scenarios'!$B$2:$D$2,0)+1)</f>
        <v>0</v>
      </c>
      <c r="N53" s="21">
        <f ca="1">(1-'Electrification Scenario'!F59)*VLOOKUP(F$3,'Static Parameters'!$A$3:$B$9,2)*VLOOKUP($A53,'Growth Scenarios'!$E$3:$I$80,MATCH('Scenario Picker'!$B$3,'Growth Scenarios'!$F$2:$I$2,0)+1)/1000000000*VLOOKUP($A53,'Growth Scenarios'!$A$3:$D$80,MATCH('Scenario Picker'!$B$2,'Growth Scenarios'!$B$2:$D$2,0)+1)</f>
        <v>2.7956966169822381</v>
      </c>
      <c r="O53" s="21">
        <f ca="1">(1-'Electrification Scenario'!G59)*VLOOKUP(G$3,'Static Parameters'!$A$3:$B$9,2)*VLOOKUP($A53,'Growth Scenarios'!$E$3:$I$80,MATCH('Scenario Picker'!$B$3,'Growth Scenarios'!$F$2:$I$2,0)+1)/1000000000*VLOOKUP($A53,'Growth Scenarios'!$A$3:$D$80,MATCH('Scenario Picker'!$B$2,'Growth Scenarios'!$B$2:$D$2,0)+1)</f>
        <v>0</v>
      </c>
      <c r="P53" s="21">
        <f ca="1">(1-'Electrification Scenario'!H59)*VLOOKUP(H$3,'Static Parameters'!$A$3:$B$9,2)*VLOOKUP($A53,'Growth Scenarios'!$E$3:$I$80,MATCH('Scenario Picker'!$B$3,'Growth Scenarios'!$F$2:$I$2,0)+1)/1000000000*VLOOKUP($A53,'Growth Scenarios'!$A$3:$D$80,MATCH('Scenario Picker'!$B$2,'Growth Scenarios'!$B$2:$D$2,0)+1)</f>
        <v>50.651444590031133</v>
      </c>
      <c r="Q53" s="28">
        <f t="shared" ca="1" si="1"/>
        <v>60.025250894030407</v>
      </c>
      <c r="R53" s="28">
        <f t="shared" ca="1" si="2"/>
        <v>492.66752500914055</v>
      </c>
    </row>
    <row r="54" spans="1:18" ht="15" x14ac:dyDescent="0.35">
      <c r="A54" s="31">
        <v>2072</v>
      </c>
      <c r="B54" s="25">
        <f ca="1">'Electrification Scenario'!B60*(1-'Electrification Scenario'!B$8*('Electrification Scenario'!B60-'Electrification Scenario'!B$4)/('Electrification Scenario'!B$5-'Electrification Scenario'!B$4))*VLOOKUP(B$3,'Static Parameters'!$A$3:$B$9,2)*VLOOKUP($A54,'Growth Scenarios'!$E$3:$I$80,MATCH('Scenario Picker'!$B$3,'Growth Scenarios'!$F$2:$I$2,0)+1)/1000000000*VLOOKUP($A54,'Growth Scenarios'!$A$3:$D$80,MATCH('Scenario Picker'!$B$2,'Growth Scenarios'!$B$2:$D$2,0)+1)</f>
        <v>7.636705117916466</v>
      </c>
      <c r="C54" s="21">
        <f ca="1">'Electrification Scenario'!C60*(1-'Electrification Scenario'!C$8*('Electrification Scenario'!C60-'Electrification Scenario'!C$4)/('Electrification Scenario'!C$5-'Electrification Scenario'!C$4))*VLOOKUP(C$3,'Static Parameters'!$A$3:$B$9,2)*VLOOKUP($A54,'Growth Scenarios'!$E$3:$I$80,MATCH('Scenario Picker'!$B$3,'Growth Scenarios'!$F$2:$I$2,0)+1)/1000000000*VLOOKUP($A54,'Growth Scenarios'!$A$3:$D$80,MATCH('Scenario Picker'!$B$2,'Growth Scenarios'!$B$2:$D$2,0)+1)</f>
        <v>46.668753498378408</v>
      </c>
      <c r="D54" s="21">
        <f ca="1">'Electrification Scenario'!D60*(1-'Electrification Scenario'!D$8*('Electrification Scenario'!D60-'Electrification Scenario'!D$4)/('Electrification Scenario'!D$5-'Electrification Scenario'!D$4))*VLOOKUP(D$3,'Static Parameters'!$A$3:$B$9,2)*VLOOKUP($A54,'Growth Scenarios'!$E$3:$I$80,MATCH('Scenario Picker'!$B$3,'Growth Scenarios'!$F$2:$I$2,0)+1)/1000000000*VLOOKUP($A54,'Growth Scenarios'!$A$3:$D$80,MATCH('Scenario Picker'!$B$2,'Growth Scenarios'!$B$2:$D$2,0)+1)</f>
        <v>0.31819604657985279</v>
      </c>
      <c r="E54" s="21">
        <f ca="1">'Electrification Scenario'!E60*(1-'Electrification Scenario'!E$8*('Electrification Scenario'!E60-'Electrification Scenario'!E$4)/('Electrification Scenario'!E$5-'Electrification Scenario'!E$4))*VLOOKUP(E$3,'Static Parameters'!$A$3:$B$9,2)*VLOOKUP($A54,'Growth Scenarios'!$E$3:$I$80,MATCH('Scenario Picker'!$B$3,'Growth Scenarios'!$F$2:$I$2,0)+1)/1000000000*VLOOKUP($A54,'Growth Scenarios'!$A$3:$D$80,MATCH('Scenario Picker'!$B$2,'Growth Scenarios'!$B$2:$D$2,0)+1)</f>
        <v>178.72011282901732</v>
      </c>
      <c r="F54" s="21">
        <f ca="1">'Electrification Scenario'!F60*(1-'Electrification Scenario'!F$8*('Electrification Scenario'!F60-'Electrification Scenario'!F$4)/('Electrification Scenario'!F$5-'Electrification Scenario'!F$4))*VLOOKUP(F$3,'Static Parameters'!$A$3:$B$9,2)*VLOOKUP($A54,'Growth Scenarios'!$E$3:$I$80,MATCH('Scenario Picker'!$B$3,'Growth Scenarios'!$F$2:$I$2,0)+1)/1000000000*VLOOKUP($A54,'Growth Scenarios'!$A$3:$D$80,MATCH('Scenario Picker'!$B$2,'Growth Scenarios'!$B$2:$D$2,0)+1)</f>
        <v>6.7616659898218732</v>
      </c>
      <c r="G54" s="21">
        <f ca="1">'Electrification Scenario'!G60*(1-'Electrification Scenario'!G$8*('Electrification Scenario'!G60-'Electrification Scenario'!G$4)/('Electrification Scenario'!G$5-'Electrification Scenario'!G$4))*VLOOKUP(G$3,'Static Parameters'!$A$3:$B$9,2)*VLOOKUP($A54,'Growth Scenarios'!$E$3:$I$80,MATCH('Scenario Picker'!$B$3,'Growth Scenarios'!$F$2:$I$2,0)+1)/1000000000*VLOOKUP($A54,'Growth Scenarios'!$A$3:$D$80,MATCH('Scenario Picker'!$B$2,'Growth Scenarios'!$B$2:$D$2,0)+1)</f>
        <v>119.3235174674448</v>
      </c>
      <c r="H54" s="21">
        <f ca="1">'Electrification Scenario'!H60*(1-'Electrification Scenario'!H$8*('Electrification Scenario'!H60-'Electrification Scenario'!H$4)/('Electrification Scenario'!H$5-'Electrification Scenario'!H$4))*VLOOKUP(H$3,'Static Parameters'!$A$3:$B$9,2)*VLOOKUP($A54,'Growth Scenarios'!$E$3:$I$80,MATCH('Scenario Picker'!$B$3,'Growth Scenarios'!$F$2:$I$2,0)+1)/1000000000*VLOOKUP($A54,'Growth Scenarios'!$A$3:$D$80,MATCH('Scenario Picker'!$B$2,'Growth Scenarios'!$B$2:$D$2,0)+1)</f>
        <v>76.565923708277069</v>
      </c>
      <c r="I54" s="28">
        <f t="shared" ca="1" si="0"/>
        <v>435.99487465743579</v>
      </c>
      <c r="J54" s="25">
        <f ca="1">(1-'Electrification Scenario'!B60)*VLOOKUP(B$3,'Static Parameters'!$A$3:$B$9,2)*VLOOKUP($A54,'Growth Scenarios'!$E$3:$I$80,MATCH('Scenario Picker'!$B$3,'Growth Scenarios'!$F$2:$I$2,0)+1)/1000000000*VLOOKUP($A54,'Growth Scenarios'!$A$3:$D$80,MATCH('Scenario Picker'!$B$2,'Growth Scenarios'!$B$2:$D$2,0)+1)</f>
        <v>6.3639209315970557</v>
      </c>
      <c r="K54" s="21">
        <f ca="1">(1-'Electrification Scenario'!C60)*VLOOKUP(C$3,'Static Parameters'!$A$3:$B$9,2)*VLOOKUP($A54,'Growth Scenarios'!$E$3:$I$80,MATCH('Scenario Picker'!$B$3,'Growth Scenarios'!$F$2:$I$2,0)+1)/1000000000*VLOOKUP($A54,'Growth Scenarios'!$A$3:$D$80,MATCH('Scenario Picker'!$B$2,'Growth Scenarios'!$B$2:$D$2,0)+1)</f>
        <v>0</v>
      </c>
      <c r="L54" s="21">
        <f ca="1">(1-'Electrification Scenario'!D60)*VLOOKUP(D$3,'Static Parameters'!$A$3:$B$9,2)*VLOOKUP($A54,'Growth Scenarios'!$E$3:$I$80,MATCH('Scenario Picker'!$B$3,'Growth Scenarios'!$F$2:$I$2,0)+1)/1000000000*VLOOKUP($A54,'Growth Scenarios'!$A$3:$D$80,MATCH('Scenario Picker'!$B$2,'Growth Scenarios'!$B$2:$D$2,0)+1)</f>
        <v>0.26516337214987734</v>
      </c>
      <c r="M54" s="21">
        <f ca="1">(1-'Electrification Scenario'!E60)*VLOOKUP(E$3,'Static Parameters'!$A$3:$B$9,2)*VLOOKUP($A54,'Growth Scenarios'!$E$3:$I$80,MATCH('Scenario Picker'!$B$3,'Growth Scenarios'!$F$2:$I$2,0)+1)/1000000000*VLOOKUP($A54,'Growth Scenarios'!$A$3:$D$80,MATCH('Scenario Picker'!$B$2,'Growth Scenarios'!$B$2:$D$2,0)+1)</f>
        <v>0</v>
      </c>
      <c r="N54" s="21">
        <f ca="1">(1-'Electrification Scenario'!F60)*VLOOKUP(F$3,'Static Parameters'!$A$3:$B$9,2)*VLOOKUP($A54,'Growth Scenarios'!$E$3:$I$80,MATCH('Scenario Picker'!$B$3,'Growth Scenarios'!$F$2:$I$2,0)+1)/1000000000*VLOOKUP($A54,'Growth Scenarios'!$A$3:$D$80,MATCH('Scenario Picker'!$B$2,'Growth Scenarios'!$B$2:$D$2,0)+1)</f>
        <v>2.8173608290924466</v>
      </c>
      <c r="O54" s="21">
        <f ca="1">(1-'Electrification Scenario'!G60)*VLOOKUP(G$3,'Static Parameters'!$A$3:$B$9,2)*VLOOKUP($A54,'Growth Scenarios'!$E$3:$I$80,MATCH('Scenario Picker'!$B$3,'Growth Scenarios'!$F$2:$I$2,0)+1)/1000000000*VLOOKUP($A54,'Growth Scenarios'!$A$3:$D$80,MATCH('Scenario Picker'!$B$2,'Growth Scenarios'!$B$2:$D$2,0)+1)</f>
        <v>0</v>
      </c>
      <c r="P54" s="21">
        <f ca="1">(1-'Electrification Scenario'!H60)*VLOOKUP(H$3,'Static Parameters'!$A$3:$B$9,2)*VLOOKUP($A54,'Growth Scenarios'!$E$3:$I$80,MATCH('Scenario Picker'!$B$3,'Growth Scenarios'!$F$2:$I$2,0)+1)/1000000000*VLOOKUP($A54,'Growth Scenarios'!$A$3:$D$80,MATCH('Scenario Picker'!$B$2,'Growth Scenarios'!$B$2:$D$2,0)+1)</f>
        <v>51.043949138851382</v>
      </c>
      <c r="Q54" s="28">
        <f t="shared" ca="1" si="1"/>
        <v>60.490394271690761</v>
      </c>
      <c r="R54" s="28">
        <f t="shared" ca="1" si="2"/>
        <v>496.48526892912656</v>
      </c>
    </row>
    <row r="55" spans="1:18" ht="15" x14ac:dyDescent="0.35">
      <c r="A55" s="31">
        <v>2073</v>
      </c>
      <c r="B55" s="25">
        <f ca="1">'Electrification Scenario'!B61*(1-'Electrification Scenario'!B$8*('Electrification Scenario'!B61-'Electrification Scenario'!B$4)/('Electrification Scenario'!B$5-'Electrification Scenario'!B$4))*VLOOKUP(B$3,'Static Parameters'!$A$3:$B$9,2)*VLOOKUP($A55,'Growth Scenarios'!$E$3:$I$80,MATCH('Scenario Picker'!$B$3,'Growth Scenarios'!$F$2:$I$2,0)+1)/1000000000*VLOOKUP($A55,'Growth Scenarios'!$A$3:$D$80,MATCH('Scenario Picker'!$B$2,'Growth Scenarios'!$B$2:$D$2,0)+1)</f>
        <v>7.6932954201093242</v>
      </c>
      <c r="C55" s="21">
        <f ca="1">'Electrification Scenario'!C61*(1-'Electrification Scenario'!C$8*('Electrification Scenario'!C61-'Electrification Scenario'!C$4)/('Electrification Scenario'!C$5-'Electrification Scenario'!C$4))*VLOOKUP(C$3,'Static Parameters'!$A$3:$B$9,2)*VLOOKUP($A55,'Growth Scenarios'!$E$3:$I$80,MATCH('Scenario Picker'!$B$3,'Growth Scenarios'!$F$2:$I$2,0)+1)/1000000000*VLOOKUP($A55,'Growth Scenarios'!$A$3:$D$80,MATCH('Scenario Picker'!$B$2,'Growth Scenarios'!$B$2:$D$2,0)+1)</f>
        <v>47.014583122890315</v>
      </c>
      <c r="D55" s="21">
        <f ca="1">'Electrification Scenario'!D61*(1-'Electrification Scenario'!D$8*('Electrification Scenario'!D61-'Electrification Scenario'!D$4)/('Electrification Scenario'!D$5-'Electrification Scenario'!D$4))*VLOOKUP(D$3,'Static Parameters'!$A$3:$B$9,2)*VLOOKUP($A55,'Growth Scenarios'!$E$3:$I$80,MATCH('Scenario Picker'!$B$3,'Growth Scenarios'!$F$2:$I$2,0)+1)/1000000000*VLOOKUP($A55,'Growth Scenarios'!$A$3:$D$80,MATCH('Scenario Picker'!$B$2,'Growth Scenarios'!$B$2:$D$2,0)+1)</f>
        <v>0.32055397583788847</v>
      </c>
      <c r="E55" s="21">
        <f ca="1">'Electrification Scenario'!E61*(1-'Electrification Scenario'!E$8*('Electrification Scenario'!E61-'Electrification Scenario'!E$4)/('Electrification Scenario'!E$5-'Electrification Scenario'!E$4))*VLOOKUP(E$3,'Static Parameters'!$A$3:$B$9,2)*VLOOKUP($A55,'Growth Scenarios'!$E$3:$I$80,MATCH('Scenario Picker'!$B$3,'Growth Scenarios'!$F$2:$I$2,0)+1)/1000000000*VLOOKUP($A55,'Growth Scenarios'!$A$3:$D$80,MATCH('Scenario Picker'!$B$2,'Growth Scenarios'!$B$2:$D$2,0)+1)</f>
        <v>180.04448309561405</v>
      </c>
      <c r="F55" s="21">
        <f ca="1">'Electrification Scenario'!F61*(1-'Electrification Scenario'!F$8*('Electrification Scenario'!F61-'Electrification Scenario'!F$4)/('Electrification Scenario'!F$5-'Electrification Scenario'!F$4))*VLOOKUP(F$3,'Static Parameters'!$A$3:$B$9,2)*VLOOKUP($A55,'Growth Scenarios'!$E$3:$I$80,MATCH('Scenario Picker'!$B$3,'Growth Scenarios'!$F$2:$I$2,0)+1)/1000000000*VLOOKUP($A55,'Growth Scenarios'!$A$3:$D$80,MATCH('Scenario Picker'!$B$2,'Growth Scenarios'!$B$2:$D$2,0)+1)</f>
        <v>6.8117719865551321</v>
      </c>
      <c r="G55" s="21">
        <f ca="1">'Electrification Scenario'!G61*(1-'Electrification Scenario'!G$8*('Electrification Scenario'!G61-'Electrification Scenario'!G$4)/('Electrification Scenario'!G$5-'Electrification Scenario'!G$4))*VLOOKUP(G$3,'Static Parameters'!$A$3:$B$9,2)*VLOOKUP($A55,'Growth Scenarios'!$E$3:$I$80,MATCH('Scenario Picker'!$B$3,'Growth Scenarios'!$F$2:$I$2,0)+1)/1000000000*VLOOKUP($A55,'Growth Scenarios'!$A$3:$D$80,MATCH('Scenario Picker'!$B$2,'Growth Scenarios'!$B$2:$D$2,0)+1)</f>
        <v>120.20774093920819</v>
      </c>
      <c r="H55" s="21">
        <f ca="1">'Electrification Scenario'!H61*(1-'Electrification Scenario'!H$8*('Electrification Scenario'!H61-'Electrification Scenario'!H$4)/('Electrification Scenario'!H$5-'Electrification Scenario'!H$4))*VLOOKUP(H$3,'Static Parameters'!$A$3:$B$9,2)*VLOOKUP($A55,'Growth Scenarios'!$E$3:$I$80,MATCH('Scenario Picker'!$B$3,'Growth Scenarios'!$F$2:$I$2,0)+1)/1000000000*VLOOKUP($A55,'Growth Scenarios'!$A$3:$D$80,MATCH('Scenario Picker'!$B$2,'Growth Scenarios'!$B$2:$D$2,0)+1)</f>
        <v>77.133300435991913</v>
      </c>
      <c r="I55" s="28">
        <f t="shared" ca="1" si="0"/>
        <v>439.22572897620682</v>
      </c>
      <c r="J55" s="25">
        <f ca="1">(1-'Electrification Scenario'!B61)*VLOOKUP(B$3,'Static Parameters'!$A$3:$B$9,2)*VLOOKUP($A55,'Growth Scenarios'!$E$3:$I$80,MATCH('Scenario Picker'!$B$3,'Growth Scenarios'!$F$2:$I$2,0)+1)/1000000000*VLOOKUP($A55,'Growth Scenarios'!$A$3:$D$80,MATCH('Scenario Picker'!$B$2,'Growth Scenarios'!$B$2:$D$2,0)+1)</f>
        <v>6.4110795167577708</v>
      </c>
      <c r="K55" s="21">
        <f ca="1">(1-'Electrification Scenario'!C61)*VLOOKUP(C$3,'Static Parameters'!$A$3:$B$9,2)*VLOOKUP($A55,'Growth Scenarios'!$E$3:$I$80,MATCH('Scenario Picker'!$B$3,'Growth Scenarios'!$F$2:$I$2,0)+1)/1000000000*VLOOKUP($A55,'Growth Scenarios'!$A$3:$D$80,MATCH('Scenario Picker'!$B$2,'Growth Scenarios'!$B$2:$D$2,0)+1)</f>
        <v>0</v>
      </c>
      <c r="L55" s="21">
        <f ca="1">(1-'Electrification Scenario'!D61)*VLOOKUP(D$3,'Static Parameters'!$A$3:$B$9,2)*VLOOKUP($A55,'Growth Scenarios'!$E$3:$I$80,MATCH('Scenario Picker'!$B$3,'Growth Scenarios'!$F$2:$I$2,0)+1)/1000000000*VLOOKUP($A55,'Growth Scenarios'!$A$3:$D$80,MATCH('Scenario Picker'!$B$2,'Growth Scenarios'!$B$2:$D$2,0)+1)</f>
        <v>0.26712831319824043</v>
      </c>
      <c r="M55" s="21">
        <f ca="1">(1-'Electrification Scenario'!E61)*VLOOKUP(E$3,'Static Parameters'!$A$3:$B$9,2)*VLOOKUP($A55,'Growth Scenarios'!$E$3:$I$80,MATCH('Scenario Picker'!$B$3,'Growth Scenarios'!$F$2:$I$2,0)+1)/1000000000*VLOOKUP($A55,'Growth Scenarios'!$A$3:$D$80,MATCH('Scenario Picker'!$B$2,'Growth Scenarios'!$B$2:$D$2,0)+1)</f>
        <v>0</v>
      </c>
      <c r="N55" s="21">
        <f ca="1">(1-'Electrification Scenario'!F61)*VLOOKUP(F$3,'Static Parameters'!$A$3:$B$9,2)*VLOOKUP($A55,'Growth Scenarios'!$E$3:$I$80,MATCH('Scenario Picker'!$B$3,'Growth Scenarios'!$F$2:$I$2,0)+1)/1000000000*VLOOKUP($A55,'Growth Scenarios'!$A$3:$D$80,MATCH('Scenario Picker'!$B$2,'Growth Scenarios'!$B$2:$D$2,0)+1)</f>
        <v>2.8382383277313044</v>
      </c>
      <c r="O55" s="21">
        <f ca="1">(1-'Electrification Scenario'!G61)*VLOOKUP(G$3,'Static Parameters'!$A$3:$B$9,2)*VLOOKUP($A55,'Growth Scenarios'!$E$3:$I$80,MATCH('Scenario Picker'!$B$3,'Growth Scenarios'!$F$2:$I$2,0)+1)/1000000000*VLOOKUP($A55,'Growth Scenarios'!$A$3:$D$80,MATCH('Scenario Picker'!$B$2,'Growth Scenarios'!$B$2:$D$2,0)+1)</f>
        <v>0</v>
      </c>
      <c r="P55" s="21">
        <f ca="1">(1-'Electrification Scenario'!H61)*VLOOKUP(H$3,'Static Parameters'!$A$3:$B$9,2)*VLOOKUP($A55,'Growth Scenarios'!$E$3:$I$80,MATCH('Scenario Picker'!$B$3,'Growth Scenarios'!$F$2:$I$2,0)+1)/1000000000*VLOOKUP($A55,'Growth Scenarios'!$A$3:$D$80,MATCH('Scenario Picker'!$B$2,'Growth Scenarios'!$B$2:$D$2,0)+1)</f>
        <v>51.42220029066128</v>
      </c>
      <c r="Q55" s="28">
        <f t="shared" ca="1" si="1"/>
        <v>60.938646448348592</v>
      </c>
      <c r="R55" s="28">
        <f t="shared" ca="1" si="2"/>
        <v>500.16437542455543</v>
      </c>
    </row>
    <row r="56" spans="1:18" ht="15" x14ac:dyDescent="0.35">
      <c r="A56" s="31">
        <v>2074</v>
      </c>
      <c r="B56" s="25">
        <f ca="1">'Electrification Scenario'!B62*(1-'Electrification Scenario'!B$8*('Electrification Scenario'!B62-'Electrification Scenario'!B$4)/('Electrification Scenario'!B$5-'Electrification Scenario'!B$4))*VLOOKUP(B$3,'Static Parameters'!$A$3:$B$9,2)*VLOOKUP($A56,'Growth Scenarios'!$E$3:$I$80,MATCH('Scenario Picker'!$B$3,'Growth Scenarios'!$F$2:$I$2,0)+1)/1000000000*VLOOKUP($A56,'Growth Scenarios'!$A$3:$D$80,MATCH('Scenario Picker'!$B$2,'Growth Scenarios'!$B$2:$D$2,0)+1)</f>
        <v>7.7476703301971082</v>
      </c>
      <c r="C56" s="21">
        <f ca="1">'Electrification Scenario'!C62*(1-'Electrification Scenario'!C$8*('Electrification Scenario'!C62-'Electrification Scenario'!C$4)/('Electrification Scenario'!C$5-'Electrification Scenario'!C$4))*VLOOKUP(C$3,'Static Parameters'!$A$3:$B$9,2)*VLOOKUP($A56,'Growth Scenarios'!$E$3:$I$80,MATCH('Scenario Picker'!$B$3,'Growth Scenarios'!$F$2:$I$2,0)+1)/1000000000*VLOOKUP($A56,'Growth Scenarios'!$A$3:$D$80,MATCH('Scenario Picker'!$B$2,'Growth Scenarios'!$B$2:$D$2,0)+1)</f>
        <v>47.346874240093456</v>
      </c>
      <c r="D56" s="21">
        <f ca="1">'Electrification Scenario'!D62*(1-'Electrification Scenario'!D$8*('Electrification Scenario'!D62-'Electrification Scenario'!D$4)/('Electrification Scenario'!D$5-'Electrification Scenario'!D$4))*VLOOKUP(D$3,'Static Parameters'!$A$3:$B$9,2)*VLOOKUP($A56,'Growth Scenarios'!$E$3:$I$80,MATCH('Scenario Picker'!$B$3,'Growth Scenarios'!$F$2:$I$2,0)+1)/1000000000*VLOOKUP($A56,'Growth Scenarios'!$A$3:$D$80,MATCH('Scenario Picker'!$B$2,'Growth Scenarios'!$B$2:$D$2,0)+1)</f>
        <v>0.32281959709154623</v>
      </c>
      <c r="E56" s="21">
        <f ca="1">'Electrification Scenario'!E62*(1-'Electrification Scenario'!E$8*('Electrification Scenario'!E62-'Electrification Scenario'!E$4)/('Electrification Scenario'!E$5-'Electrification Scenario'!E$4))*VLOOKUP(E$3,'Static Parameters'!$A$3:$B$9,2)*VLOOKUP($A56,'Growth Scenarios'!$E$3:$I$80,MATCH('Scenario Picker'!$B$3,'Growth Scenarios'!$F$2:$I$2,0)+1)/1000000000*VLOOKUP($A56,'Growth Scenarios'!$A$3:$D$80,MATCH('Scenario Picker'!$B$2,'Growth Scenarios'!$B$2:$D$2,0)+1)</f>
        <v>181.31700703308513</v>
      </c>
      <c r="F56" s="21">
        <f ca="1">'Electrification Scenario'!F62*(1-'Electrification Scenario'!F$8*('Electrification Scenario'!F62-'Electrification Scenario'!F$4)/('Electrification Scenario'!F$5-'Electrification Scenario'!F$4))*VLOOKUP(F$3,'Static Parameters'!$A$3:$B$9,2)*VLOOKUP($A56,'Growth Scenarios'!$E$3:$I$80,MATCH('Scenario Picker'!$B$3,'Growth Scenarios'!$F$2:$I$2,0)+1)/1000000000*VLOOKUP($A56,'Growth Scenarios'!$A$3:$D$80,MATCH('Scenario Picker'!$B$2,'Growth Scenarios'!$B$2:$D$2,0)+1)</f>
        <v>6.8599164381953583</v>
      </c>
      <c r="G56" s="21">
        <f ca="1">'Electrification Scenario'!G62*(1-'Electrification Scenario'!G$8*('Electrification Scenario'!G62-'Electrification Scenario'!G$4)/('Electrification Scenario'!G$5-'Electrification Scenario'!G$4))*VLOOKUP(G$3,'Static Parameters'!$A$3:$B$9,2)*VLOOKUP($A56,'Growth Scenarios'!$E$3:$I$80,MATCH('Scenario Picker'!$B$3,'Growth Scenarios'!$F$2:$I$2,0)+1)/1000000000*VLOOKUP($A56,'Growth Scenarios'!$A$3:$D$80,MATCH('Scenario Picker'!$B$2,'Growth Scenarios'!$B$2:$D$2,0)+1)</f>
        <v>121.05734890932986</v>
      </c>
      <c r="H56" s="21">
        <f ca="1">'Electrification Scenario'!H62*(1-'Electrification Scenario'!H$8*('Electrification Scenario'!H62-'Electrification Scenario'!H$4)/('Electrification Scenario'!H$5-'Electrification Scenario'!H$4))*VLOOKUP(H$3,'Static Parameters'!$A$3:$B$9,2)*VLOOKUP($A56,'Growth Scenarios'!$E$3:$I$80,MATCH('Scenario Picker'!$B$3,'Growth Scenarios'!$F$2:$I$2,0)+1)/1000000000*VLOOKUP($A56,'Growth Scenarios'!$A$3:$D$80,MATCH('Scenario Picker'!$B$2,'Growth Scenarios'!$B$2:$D$2,0)+1)</f>
        <v>77.678465550153305</v>
      </c>
      <c r="I56" s="28">
        <f t="shared" ca="1" si="0"/>
        <v>442.3301020981458</v>
      </c>
      <c r="J56" s="25">
        <f ca="1">(1-'Electrification Scenario'!B62)*VLOOKUP(B$3,'Static Parameters'!$A$3:$B$9,2)*VLOOKUP($A56,'Growth Scenarios'!$E$3:$I$80,MATCH('Scenario Picker'!$B$3,'Growth Scenarios'!$F$2:$I$2,0)+1)/1000000000*VLOOKUP($A56,'Growth Scenarios'!$A$3:$D$80,MATCH('Scenario Picker'!$B$2,'Growth Scenarios'!$B$2:$D$2,0)+1)</f>
        <v>6.4563919418309261</v>
      </c>
      <c r="K56" s="21">
        <f ca="1">(1-'Electrification Scenario'!C62)*VLOOKUP(C$3,'Static Parameters'!$A$3:$B$9,2)*VLOOKUP($A56,'Growth Scenarios'!$E$3:$I$80,MATCH('Scenario Picker'!$B$3,'Growth Scenarios'!$F$2:$I$2,0)+1)/1000000000*VLOOKUP($A56,'Growth Scenarios'!$A$3:$D$80,MATCH('Scenario Picker'!$B$2,'Growth Scenarios'!$B$2:$D$2,0)+1)</f>
        <v>0</v>
      </c>
      <c r="L56" s="21">
        <f ca="1">(1-'Electrification Scenario'!D62)*VLOOKUP(D$3,'Static Parameters'!$A$3:$B$9,2)*VLOOKUP($A56,'Growth Scenarios'!$E$3:$I$80,MATCH('Scenario Picker'!$B$3,'Growth Scenarios'!$F$2:$I$2,0)+1)/1000000000*VLOOKUP($A56,'Growth Scenarios'!$A$3:$D$80,MATCH('Scenario Picker'!$B$2,'Growth Scenarios'!$B$2:$D$2,0)+1)</f>
        <v>0.26901633090962185</v>
      </c>
      <c r="M56" s="21">
        <f ca="1">(1-'Electrification Scenario'!E62)*VLOOKUP(E$3,'Static Parameters'!$A$3:$B$9,2)*VLOOKUP($A56,'Growth Scenarios'!$E$3:$I$80,MATCH('Scenario Picker'!$B$3,'Growth Scenarios'!$F$2:$I$2,0)+1)/1000000000*VLOOKUP($A56,'Growth Scenarios'!$A$3:$D$80,MATCH('Scenario Picker'!$B$2,'Growth Scenarios'!$B$2:$D$2,0)+1)</f>
        <v>0</v>
      </c>
      <c r="N56" s="21">
        <f ca="1">(1-'Electrification Scenario'!F62)*VLOOKUP(F$3,'Static Parameters'!$A$3:$B$9,2)*VLOOKUP($A56,'Growth Scenarios'!$E$3:$I$80,MATCH('Scenario Picker'!$B$3,'Growth Scenarios'!$F$2:$I$2,0)+1)/1000000000*VLOOKUP($A56,'Growth Scenarios'!$A$3:$D$80,MATCH('Scenario Picker'!$B$2,'Growth Scenarios'!$B$2:$D$2,0)+1)</f>
        <v>2.8582985159147327</v>
      </c>
      <c r="O56" s="21">
        <f ca="1">(1-'Electrification Scenario'!G62)*VLOOKUP(G$3,'Static Parameters'!$A$3:$B$9,2)*VLOOKUP($A56,'Growth Scenarios'!$E$3:$I$80,MATCH('Scenario Picker'!$B$3,'Growth Scenarios'!$F$2:$I$2,0)+1)/1000000000*VLOOKUP($A56,'Growth Scenarios'!$A$3:$D$80,MATCH('Scenario Picker'!$B$2,'Growth Scenarios'!$B$2:$D$2,0)+1)</f>
        <v>0</v>
      </c>
      <c r="P56" s="21">
        <f ca="1">(1-'Electrification Scenario'!H62)*VLOOKUP(H$3,'Static Parameters'!$A$3:$B$9,2)*VLOOKUP($A56,'Growth Scenarios'!$E$3:$I$80,MATCH('Scenario Picker'!$B$3,'Growth Scenarios'!$F$2:$I$2,0)+1)/1000000000*VLOOKUP($A56,'Growth Scenarios'!$A$3:$D$80,MATCH('Scenario Picker'!$B$2,'Growth Scenarios'!$B$2:$D$2,0)+1)</f>
        <v>51.785643700102206</v>
      </c>
      <c r="Q56" s="28">
        <f t="shared" ca="1" si="1"/>
        <v>61.36935048875749</v>
      </c>
      <c r="R56" s="28">
        <f t="shared" ca="1" si="2"/>
        <v>503.69945258690331</v>
      </c>
    </row>
    <row r="57" spans="1:18" ht="15" x14ac:dyDescent="0.35">
      <c r="A57" s="31">
        <v>2075</v>
      </c>
      <c r="B57" s="25">
        <f ca="1">'Electrification Scenario'!B63*(1-'Electrification Scenario'!B$8*('Electrification Scenario'!B63-'Electrification Scenario'!B$4)/('Electrification Scenario'!B$5-'Electrification Scenario'!B$4))*VLOOKUP(B$3,'Static Parameters'!$A$3:$B$9,2)*VLOOKUP($A57,'Growth Scenarios'!$E$3:$I$80,MATCH('Scenario Picker'!$B$3,'Growth Scenarios'!$F$2:$I$2,0)+1)/1000000000*VLOOKUP($A57,'Growth Scenarios'!$A$3:$D$80,MATCH('Scenario Picker'!$B$2,'Growth Scenarios'!$B$2:$D$2,0)+1)</f>
        <v>7.7997165417604668</v>
      </c>
      <c r="C57" s="21">
        <f ca="1">'Electrification Scenario'!C63*(1-'Electrification Scenario'!C$8*('Electrification Scenario'!C63-'Electrification Scenario'!C$4)/('Electrification Scenario'!C$5-'Electrification Scenario'!C$4))*VLOOKUP(C$3,'Static Parameters'!$A$3:$B$9,2)*VLOOKUP($A57,'Growth Scenarios'!$E$3:$I$80,MATCH('Scenario Picker'!$B$3,'Growth Scenarios'!$F$2:$I$2,0)+1)/1000000000*VLOOKUP($A57,'Growth Scenarios'!$A$3:$D$80,MATCH('Scenario Picker'!$B$2,'Growth Scenarios'!$B$2:$D$2,0)+1)</f>
        <v>47.664934421869532</v>
      </c>
      <c r="D57" s="21">
        <f ca="1">'Electrification Scenario'!D63*(1-'Electrification Scenario'!D$8*('Electrification Scenario'!D63-'Electrification Scenario'!D$4)/('Electrification Scenario'!D$5-'Electrification Scenario'!D$4))*VLOOKUP(D$3,'Static Parameters'!$A$3:$B$9,2)*VLOOKUP($A57,'Growth Scenarios'!$E$3:$I$80,MATCH('Scenario Picker'!$B$3,'Growth Scenarios'!$F$2:$I$2,0)+1)/1000000000*VLOOKUP($A57,'Growth Scenarios'!$A$3:$D$80,MATCH('Scenario Picker'!$B$2,'Growth Scenarios'!$B$2:$D$2,0)+1)</f>
        <v>0.32498818924001943</v>
      </c>
      <c r="E57" s="21">
        <f ca="1">'Electrification Scenario'!E63*(1-'Electrification Scenario'!E$8*('Electrification Scenario'!E63-'Electrification Scenario'!E$4)/('Electrification Scenario'!E$5-'Electrification Scenario'!E$4))*VLOOKUP(E$3,'Static Parameters'!$A$3:$B$9,2)*VLOOKUP($A57,'Growth Scenarios'!$E$3:$I$80,MATCH('Scenario Picker'!$B$3,'Growth Scenarios'!$F$2:$I$2,0)+1)/1000000000*VLOOKUP($A57,'Growth Scenarios'!$A$3:$D$80,MATCH('Scenario Picker'!$B$2,'Growth Scenarios'!$B$2:$D$2,0)+1)</f>
        <v>182.53503295647758</v>
      </c>
      <c r="F57" s="21">
        <f ca="1">'Electrification Scenario'!F63*(1-'Electrification Scenario'!F$8*('Electrification Scenario'!F63-'Electrification Scenario'!F$4)/('Electrification Scenario'!F$5-'Electrification Scenario'!F$4))*VLOOKUP(F$3,'Static Parameters'!$A$3:$B$9,2)*VLOOKUP($A57,'Growth Scenarios'!$E$3:$I$80,MATCH('Scenario Picker'!$B$3,'Growth Scenarios'!$F$2:$I$2,0)+1)/1000000000*VLOOKUP($A57,'Growth Scenarios'!$A$3:$D$80,MATCH('Scenario Picker'!$B$2,'Growth Scenarios'!$B$2:$D$2,0)+1)</f>
        <v>6.9059990213504152</v>
      </c>
      <c r="G57" s="21">
        <f ca="1">'Electrification Scenario'!G63*(1-'Electrification Scenario'!G$8*('Electrification Scenario'!G63-'Electrification Scenario'!G$4)/('Electrification Scenario'!G$5-'Electrification Scenario'!G$4))*VLOOKUP(G$3,'Static Parameters'!$A$3:$B$9,2)*VLOOKUP($A57,'Growth Scenarios'!$E$3:$I$80,MATCH('Scenario Picker'!$B$3,'Growth Scenarios'!$F$2:$I$2,0)+1)/1000000000*VLOOKUP($A57,'Growth Scenarios'!$A$3:$D$80,MATCH('Scenario Picker'!$B$2,'Growth Scenarios'!$B$2:$D$2,0)+1)</f>
        <v>121.87057096500732</v>
      </c>
      <c r="H57" s="21">
        <f ca="1">'Electrification Scenario'!H63*(1-'Electrification Scenario'!H$8*('Electrification Scenario'!H63-'Electrification Scenario'!H$4)/('Electrification Scenario'!H$5-'Electrification Scenario'!H$4))*VLOOKUP(H$3,'Static Parameters'!$A$3:$B$9,2)*VLOOKUP($A57,'Growth Scenarios'!$E$3:$I$80,MATCH('Scenario Picker'!$B$3,'Growth Scenarios'!$F$2:$I$2,0)+1)/1000000000*VLOOKUP($A57,'Growth Scenarios'!$A$3:$D$80,MATCH('Scenario Picker'!$B$2,'Growth Scenarios'!$B$2:$D$2,0)+1)</f>
        <v>78.200283035879693</v>
      </c>
      <c r="I57" s="28">
        <f t="shared" ca="1" si="0"/>
        <v>445.30152513158504</v>
      </c>
      <c r="J57" s="25">
        <f ca="1">(1-'Electrification Scenario'!B63)*VLOOKUP(B$3,'Static Parameters'!$A$3:$B$9,2)*VLOOKUP($A57,'Growth Scenarios'!$E$3:$I$80,MATCH('Scenario Picker'!$B$3,'Growth Scenarios'!$F$2:$I$2,0)+1)/1000000000*VLOOKUP($A57,'Growth Scenarios'!$A$3:$D$80,MATCH('Scenario Picker'!$B$2,'Growth Scenarios'!$B$2:$D$2,0)+1)</f>
        <v>6.4997637848003897</v>
      </c>
      <c r="K57" s="21">
        <f ca="1">(1-'Electrification Scenario'!C63)*VLOOKUP(C$3,'Static Parameters'!$A$3:$B$9,2)*VLOOKUP($A57,'Growth Scenarios'!$E$3:$I$80,MATCH('Scenario Picker'!$B$3,'Growth Scenarios'!$F$2:$I$2,0)+1)/1000000000*VLOOKUP($A57,'Growth Scenarios'!$A$3:$D$80,MATCH('Scenario Picker'!$B$2,'Growth Scenarios'!$B$2:$D$2,0)+1)</f>
        <v>0</v>
      </c>
      <c r="L57" s="21">
        <f ca="1">(1-'Electrification Scenario'!D63)*VLOOKUP(D$3,'Static Parameters'!$A$3:$B$9,2)*VLOOKUP($A57,'Growth Scenarios'!$E$3:$I$80,MATCH('Scenario Picker'!$B$3,'Growth Scenarios'!$F$2:$I$2,0)+1)/1000000000*VLOOKUP($A57,'Growth Scenarios'!$A$3:$D$80,MATCH('Scenario Picker'!$B$2,'Growth Scenarios'!$B$2:$D$2,0)+1)</f>
        <v>0.27082349103334957</v>
      </c>
      <c r="M57" s="21">
        <f ca="1">(1-'Electrification Scenario'!E63)*VLOOKUP(E$3,'Static Parameters'!$A$3:$B$9,2)*VLOOKUP($A57,'Growth Scenarios'!$E$3:$I$80,MATCH('Scenario Picker'!$B$3,'Growth Scenarios'!$F$2:$I$2,0)+1)/1000000000*VLOOKUP($A57,'Growth Scenarios'!$A$3:$D$80,MATCH('Scenario Picker'!$B$2,'Growth Scenarios'!$B$2:$D$2,0)+1)</f>
        <v>0</v>
      </c>
      <c r="N57" s="21">
        <f ca="1">(1-'Electrification Scenario'!F63)*VLOOKUP(F$3,'Static Parameters'!$A$3:$B$9,2)*VLOOKUP($A57,'Growth Scenarios'!$E$3:$I$80,MATCH('Scenario Picker'!$B$3,'Growth Scenarios'!$F$2:$I$2,0)+1)/1000000000*VLOOKUP($A57,'Growth Scenarios'!$A$3:$D$80,MATCH('Scenario Picker'!$B$2,'Growth Scenarios'!$B$2:$D$2,0)+1)</f>
        <v>2.8774995922293392</v>
      </c>
      <c r="O57" s="21">
        <f ca="1">(1-'Electrification Scenario'!G63)*VLOOKUP(G$3,'Static Parameters'!$A$3:$B$9,2)*VLOOKUP($A57,'Growth Scenarios'!$E$3:$I$80,MATCH('Scenario Picker'!$B$3,'Growth Scenarios'!$F$2:$I$2,0)+1)/1000000000*VLOOKUP($A57,'Growth Scenarios'!$A$3:$D$80,MATCH('Scenario Picker'!$B$2,'Growth Scenarios'!$B$2:$D$2,0)+1)</f>
        <v>0</v>
      </c>
      <c r="P57" s="21">
        <f ca="1">(1-'Electrification Scenario'!H63)*VLOOKUP(H$3,'Static Parameters'!$A$3:$B$9,2)*VLOOKUP($A57,'Growth Scenarios'!$E$3:$I$80,MATCH('Scenario Picker'!$B$3,'Growth Scenarios'!$F$2:$I$2,0)+1)/1000000000*VLOOKUP($A57,'Growth Scenarios'!$A$3:$D$80,MATCH('Scenario Picker'!$B$2,'Growth Scenarios'!$B$2:$D$2,0)+1)</f>
        <v>52.133522023919795</v>
      </c>
      <c r="Q57" s="28">
        <f t="shared" ca="1" si="1"/>
        <v>61.78160889198287</v>
      </c>
      <c r="R57" s="28">
        <f t="shared" ca="1" si="2"/>
        <v>507.08313402356794</v>
      </c>
    </row>
    <row r="58" spans="1:18" ht="15" x14ac:dyDescent="0.35">
      <c r="A58" s="31">
        <v>2076</v>
      </c>
      <c r="B58" s="25">
        <f ca="1">'Electrification Scenario'!B64*(1-'Electrification Scenario'!B$8*('Electrification Scenario'!B64-'Electrification Scenario'!B$4)/('Electrification Scenario'!B$5-'Electrification Scenario'!B$4))*VLOOKUP(B$3,'Static Parameters'!$A$3:$B$9,2)*VLOOKUP($A58,'Growth Scenarios'!$E$3:$I$80,MATCH('Scenario Picker'!$B$3,'Growth Scenarios'!$F$2:$I$2,0)+1)/1000000000*VLOOKUP($A58,'Growth Scenarios'!$A$3:$D$80,MATCH('Scenario Picker'!$B$2,'Growth Scenarios'!$B$2:$D$2,0)+1)</f>
        <v>7.8493473437877936</v>
      </c>
      <c r="C58" s="21">
        <f ca="1">'Electrification Scenario'!C64*(1-'Electrification Scenario'!C$8*('Electrification Scenario'!C64-'Electrification Scenario'!C$4)/('Electrification Scenario'!C$5-'Electrification Scenario'!C$4))*VLOOKUP(C$3,'Static Parameters'!$A$3:$B$9,2)*VLOOKUP($A58,'Growth Scenarios'!$E$3:$I$80,MATCH('Scenario Picker'!$B$3,'Growth Scenarios'!$F$2:$I$2,0)+1)/1000000000*VLOOKUP($A58,'Growth Scenarios'!$A$3:$D$80,MATCH('Scenario Picker'!$B$2,'Growth Scenarios'!$B$2:$D$2,0)+1)</f>
        <v>47.968233767592075</v>
      </c>
      <c r="D58" s="21">
        <f ca="1">'Electrification Scenario'!D64*(1-'Electrification Scenario'!D$8*('Electrification Scenario'!D64-'Electrification Scenario'!D$4)/('Electrification Scenario'!D$5-'Electrification Scenario'!D$4))*VLOOKUP(D$3,'Static Parameters'!$A$3:$B$9,2)*VLOOKUP($A58,'Growth Scenarios'!$E$3:$I$80,MATCH('Scenario Picker'!$B$3,'Growth Scenarios'!$F$2:$I$2,0)+1)/1000000000*VLOOKUP($A58,'Growth Scenarios'!$A$3:$D$80,MATCH('Scenario Picker'!$B$2,'Growth Scenarios'!$B$2:$D$2,0)+1)</f>
        <v>0.3270561393244914</v>
      </c>
      <c r="E58" s="21">
        <f ca="1">'Electrification Scenario'!E64*(1-'Electrification Scenario'!E$8*('Electrification Scenario'!E64-'Electrification Scenario'!E$4)/('Electrification Scenario'!E$5-'Electrification Scenario'!E$4))*VLOOKUP(E$3,'Static Parameters'!$A$3:$B$9,2)*VLOOKUP($A58,'Growth Scenarios'!$E$3:$I$80,MATCH('Scenario Picker'!$B$3,'Growth Scenarios'!$F$2:$I$2,0)+1)/1000000000*VLOOKUP($A58,'Growth Scenarios'!$A$3:$D$80,MATCH('Scenario Picker'!$B$2,'Growth Scenarios'!$B$2:$D$2,0)+1)</f>
        <v>183.69653158725603</v>
      </c>
      <c r="F58" s="21">
        <f ca="1">'Electrification Scenario'!F64*(1-'Electrification Scenario'!F$8*('Electrification Scenario'!F64-'Electrification Scenario'!F$4)/('Electrification Scenario'!F$5-'Electrification Scenario'!F$4))*VLOOKUP(F$3,'Static Parameters'!$A$3:$B$9,2)*VLOOKUP($A58,'Growth Scenarios'!$E$3:$I$80,MATCH('Scenario Picker'!$B$3,'Growth Scenarios'!$F$2:$I$2,0)+1)/1000000000*VLOOKUP($A58,'Growth Scenarios'!$A$3:$D$80,MATCH('Scenario Picker'!$B$2,'Growth Scenarios'!$B$2:$D$2,0)+1)</f>
        <v>6.9499429606454441</v>
      </c>
      <c r="G58" s="21">
        <f ca="1">'Electrification Scenario'!G64*(1-'Electrification Scenario'!G$8*('Electrification Scenario'!G64-'Electrification Scenario'!G$4)/('Electrification Scenario'!G$5-'Electrification Scenario'!G$4))*VLOOKUP(G$3,'Static Parameters'!$A$3:$B$9,2)*VLOOKUP($A58,'Growth Scenarios'!$E$3:$I$80,MATCH('Scenario Picker'!$B$3,'Growth Scenarios'!$F$2:$I$2,0)+1)/1000000000*VLOOKUP($A58,'Growth Scenarios'!$A$3:$D$80,MATCH('Scenario Picker'!$B$2,'Growth Scenarios'!$B$2:$D$2,0)+1)</f>
        <v>122.64605224668431</v>
      </c>
      <c r="H58" s="21">
        <f ca="1">'Electrification Scenario'!H64*(1-'Electrification Scenario'!H$8*('Electrification Scenario'!H64-'Electrification Scenario'!H$4)/('Electrification Scenario'!H$5-'Electrification Scenario'!H$4))*VLOOKUP(H$3,'Static Parameters'!$A$3:$B$9,2)*VLOOKUP($A58,'Growth Scenarios'!$E$3:$I$80,MATCH('Scenario Picker'!$B$3,'Growth Scenarios'!$F$2:$I$2,0)+1)/1000000000*VLOOKUP($A58,'Growth Scenarios'!$A$3:$D$80,MATCH('Scenario Picker'!$B$2,'Growth Scenarios'!$B$2:$D$2,0)+1)</f>
        <v>78.697883524955756</v>
      </c>
      <c r="I58" s="28">
        <f t="shared" ca="1" si="0"/>
        <v>448.13504757024589</v>
      </c>
      <c r="J58" s="25">
        <f ca="1">(1-'Electrification Scenario'!B64)*VLOOKUP(B$3,'Static Parameters'!$A$3:$B$9,2)*VLOOKUP($A58,'Growth Scenarios'!$E$3:$I$80,MATCH('Scenario Picker'!$B$3,'Growth Scenarios'!$F$2:$I$2,0)+1)/1000000000*VLOOKUP($A58,'Growth Scenarios'!$A$3:$D$80,MATCH('Scenario Picker'!$B$2,'Growth Scenarios'!$B$2:$D$2,0)+1)</f>
        <v>6.5411227864898294</v>
      </c>
      <c r="K58" s="21">
        <f ca="1">(1-'Electrification Scenario'!C64)*VLOOKUP(C$3,'Static Parameters'!$A$3:$B$9,2)*VLOOKUP($A58,'Growth Scenarios'!$E$3:$I$80,MATCH('Scenario Picker'!$B$3,'Growth Scenarios'!$F$2:$I$2,0)+1)/1000000000*VLOOKUP($A58,'Growth Scenarios'!$A$3:$D$80,MATCH('Scenario Picker'!$B$2,'Growth Scenarios'!$B$2:$D$2,0)+1)</f>
        <v>0</v>
      </c>
      <c r="L58" s="21">
        <f ca="1">(1-'Electrification Scenario'!D64)*VLOOKUP(D$3,'Static Parameters'!$A$3:$B$9,2)*VLOOKUP($A58,'Growth Scenarios'!$E$3:$I$80,MATCH('Scenario Picker'!$B$3,'Growth Scenarios'!$F$2:$I$2,0)+1)/1000000000*VLOOKUP($A58,'Growth Scenarios'!$A$3:$D$80,MATCH('Scenario Picker'!$B$2,'Growth Scenarios'!$B$2:$D$2,0)+1)</f>
        <v>0.27254678277040956</v>
      </c>
      <c r="M58" s="21">
        <f ca="1">(1-'Electrification Scenario'!E64)*VLOOKUP(E$3,'Static Parameters'!$A$3:$B$9,2)*VLOOKUP($A58,'Growth Scenarios'!$E$3:$I$80,MATCH('Scenario Picker'!$B$3,'Growth Scenarios'!$F$2:$I$2,0)+1)/1000000000*VLOOKUP($A58,'Growth Scenarios'!$A$3:$D$80,MATCH('Scenario Picker'!$B$2,'Growth Scenarios'!$B$2:$D$2,0)+1)</f>
        <v>0</v>
      </c>
      <c r="N58" s="21">
        <f ca="1">(1-'Electrification Scenario'!F64)*VLOOKUP(F$3,'Static Parameters'!$A$3:$B$9,2)*VLOOKUP($A58,'Growth Scenarios'!$E$3:$I$80,MATCH('Scenario Picker'!$B$3,'Growth Scenarios'!$F$2:$I$2,0)+1)/1000000000*VLOOKUP($A58,'Growth Scenarios'!$A$3:$D$80,MATCH('Scenario Picker'!$B$2,'Growth Scenarios'!$B$2:$D$2,0)+1)</f>
        <v>2.895809566935601</v>
      </c>
      <c r="O58" s="21">
        <f ca="1">(1-'Electrification Scenario'!G64)*VLOOKUP(G$3,'Static Parameters'!$A$3:$B$9,2)*VLOOKUP($A58,'Growth Scenarios'!$E$3:$I$80,MATCH('Scenario Picker'!$B$3,'Growth Scenarios'!$F$2:$I$2,0)+1)/1000000000*VLOOKUP($A58,'Growth Scenarios'!$A$3:$D$80,MATCH('Scenario Picker'!$B$2,'Growth Scenarios'!$B$2:$D$2,0)+1)</f>
        <v>0</v>
      </c>
      <c r="P58" s="21">
        <f ca="1">(1-'Electrification Scenario'!H64)*VLOOKUP(H$3,'Static Parameters'!$A$3:$B$9,2)*VLOOKUP($A58,'Growth Scenarios'!$E$3:$I$80,MATCH('Scenario Picker'!$B$3,'Growth Scenarios'!$F$2:$I$2,0)+1)/1000000000*VLOOKUP($A58,'Growth Scenarios'!$A$3:$D$80,MATCH('Scenario Picker'!$B$2,'Growth Scenarios'!$B$2:$D$2,0)+1)</f>
        <v>52.46525568330383</v>
      </c>
      <c r="Q58" s="28">
        <f t="shared" ca="1" si="1"/>
        <v>62.174734819499669</v>
      </c>
      <c r="R58" s="28">
        <f t="shared" ca="1" si="2"/>
        <v>510.30978238974558</v>
      </c>
    </row>
    <row r="59" spans="1:18" ht="15" x14ac:dyDescent="0.35">
      <c r="A59" s="31">
        <v>2077</v>
      </c>
      <c r="B59" s="25">
        <f ca="1">'Electrification Scenario'!B65*(1-'Electrification Scenario'!B$8*('Electrification Scenario'!B65-'Electrification Scenario'!B$4)/('Electrification Scenario'!B$5-'Electrification Scenario'!B$4))*VLOOKUP(B$3,'Static Parameters'!$A$3:$B$9,2)*VLOOKUP($A59,'Growth Scenarios'!$E$3:$I$80,MATCH('Scenario Picker'!$B$3,'Growth Scenarios'!$F$2:$I$2,0)+1)/1000000000*VLOOKUP($A59,'Growth Scenarios'!$A$3:$D$80,MATCH('Scenario Picker'!$B$2,'Growth Scenarios'!$B$2:$D$2,0)+1)</f>
        <v>7.8965003117511889</v>
      </c>
      <c r="C59" s="21">
        <f ca="1">'Electrification Scenario'!C65*(1-'Electrification Scenario'!C$8*('Electrification Scenario'!C65-'Electrification Scenario'!C$4)/('Electrification Scenario'!C$5-'Electrification Scenario'!C$4))*VLOOKUP(C$3,'Static Parameters'!$A$3:$B$9,2)*VLOOKUP($A59,'Growth Scenarios'!$E$3:$I$80,MATCH('Scenario Picker'!$B$3,'Growth Scenarios'!$F$2:$I$2,0)+1)/1000000000*VLOOKUP($A59,'Growth Scenarios'!$A$3:$D$80,MATCH('Scenario Picker'!$B$2,'Growth Scenarios'!$B$2:$D$2,0)+1)</f>
        <v>48.256390794035049</v>
      </c>
      <c r="D59" s="21">
        <f ca="1">'Electrification Scenario'!D65*(1-'Electrification Scenario'!D$8*('Electrification Scenario'!D65-'Electrification Scenario'!D$4)/('Electrification Scenario'!D$5-'Electrification Scenario'!D$4))*VLOOKUP(D$3,'Static Parameters'!$A$3:$B$9,2)*VLOOKUP($A59,'Growth Scenarios'!$E$3:$I$80,MATCH('Scenario Picker'!$B$3,'Growth Scenarios'!$F$2:$I$2,0)+1)/1000000000*VLOOKUP($A59,'Growth Scenarios'!$A$3:$D$80,MATCH('Scenario Picker'!$B$2,'Growth Scenarios'!$B$2:$D$2,0)+1)</f>
        <v>0.32902084632296624</v>
      </c>
      <c r="E59" s="21">
        <f ca="1">'Electrification Scenario'!E65*(1-'Electrification Scenario'!E$8*('Electrification Scenario'!E65-'Electrification Scenario'!E$4)/('Electrification Scenario'!E$5-'Electrification Scenario'!E$4))*VLOOKUP(E$3,'Static Parameters'!$A$3:$B$9,2)*VLOOKUP($A59,'Growth Scenarios'!$E$3:$I$80,MATCH('Scenario Picker'!$B$3,'Growth Scenarios'!$F$2:$I$2,0)+1)/1000000000*VLOOKUP($A59,'Growth Scenarios'!$A$3:$D$80,MATCH('Scenario Picker'!$B$2,'Growth Scenarios'!$B$2:$D$2,0)+1)</f>
        <v>184.80004201806608</v>
      </c>
      <c r="F59" s="21">
        <f ca="1">'Electrification Scenario'!F65*(1-'Electrification Scenario'!F$8*('Electrification Scenario'!F65-'Electrification Scenario'!F$4)/('Electrification Scenario'!F$5-'Electrification Scenario'!F$4))*VLOOKUP(F$3,'Static Parameters'!$A$3:$B$9,2)*VLOOKUP($A59,'Growth Scenarios'!$E$3:$I$80,MATCH('Scenario Picker'!$B$3,'Growth Scenarios'!$F$2:$I$2,0)+1)/1000000000*VLOOKUP($A59,'Growth Scenarios'!$A$3:$D$80,MATCH('Scenario Picker'!$B$2,'Growth Scenarios'!$B$2:$D$2,0)+1)</f>
        <v>6.9916929843630342</v>
      </c>
      <c r="G59" s="21">
        <f ca="1">'Electrification Scenario'!G65*(1-'Electrification Scenario'!G$8*('Electrification Scenario'!G65-'Electrification Scenario'!G$4)/('Electrification Scenario'!G$5-'Electrification Scenario'!G$4))*VLOOKUP(G$3,'Static Parameters'!$A$3:$B$9,2)*VLOOKUP($A59,'Growth Scenarios'!$E$3:$I$80,MATCH('Scenario Picker'!$B$3,'Growth Scenarios'!$F$2:$I$2,0)+1)/1000000000*VLOOKUP($A59,'Growth Scenarios'!$A$3:$D$80,MATCH('Scenario Picker'!$B$2,'Growth Scenarios'!$B$2:$D$2,0)+1)</f>
        <v>123.38281737111235</v>
      </c>
      <c r="H59" s="21">
        <f ca="1">'Electrification Scenario'!H65*(1-'Electrification Scenario'!H$8*('Electrification Scenario'!H65-'Electrification Scenario'!H$4)/('Electrification Scenario'!H$5-'Electrification Scenario'!H$4))*VLOOKUP(H$3,'Static Parameters'!$A$3:$B$9,2)*VLOOKUP($A59,'Growth Scenarios'!$E$3:$I$80,MATCH('Scenario Picker'!$B$3,'Growth Scenarios'!$F$2:$I$2,0)+1)/1000000000*VLOOKUP($A59,'Growth Scenarios'!$A$3:$D$80,MATCH('Scenario Picker'!$B$2,'Growth Scenarios'!$B$2:$D$2,0)+1)</f>
        <v>79.170641146463751</v>
      </c>
      <c r="I59" s="28">
        <f t="shared" ca="1" si="0"/>
        <v>450.82710547211445</v>
      </c>
      <c r="J59" s="25">
        <f ca="1">(1-'Electrification Scenario'!B65)*VLOOKUP(B$3,'Static Parameters'!$A$3:$B$9,2)*VLOOKUP($A59,'Growth Scenarios'!$E$3:$I$80,MATCH('Scenario Picker'!$B$3,'Growth Scenarios'!$F$2:$I$2,0)+1)/1000000000*VLOOKUP($A59,'Growth Scenarios'!$A$3:$D$80,MATCH('Scenario Picker'!$B$2,'Growth Scenarios'!$B$2:$D$2,0)+1)</f>
        <v>6.5804169264593257</v>
      </c>
      <c r="K59" s="21">
        <f ca="1">(1-'Electrification Scenario'!C65)*VLOOKUP(C$3,'Static Parameters'!$A$3:$B$9,2)*VLOOKUP($A59,'Growth Scenarios'!$E$3:$I$80,MATCH('Scenario Picker'!$B$3,'Growth Scenarios'!$F$2:$I$2,0)+1)/1000000000*VLOOKUP($A59,'Growth Scenarios'!$A$3:$D$80,MATCH('Scenario Picker'!$B$2,'Growth Scenarios'!$B$2:$D$2,0)+1)</f>
        <v>0</v>
      </c>
      <c r="L59" s="21">
        <f ca="1">(1-'Electrification Scenario'!D65)*VLOOKUP(D$3,'Static Parameters'!$A$3:$B$9,2)*VLOOKUP($A59,'Growth Scenarios'!$E$3:$I$80,MATCH('Scenario Picker'!$B$3,'Growth Scenarios'!$F$2:$I$2,0)+1)/1000000000*VLOOKUP($A59,'Growth Scenarios'!$A$3:$D$80,MATCH('Scenario Picker'!$B$2,'Growth Scenarios'!$B$2:$D$2,0)+1)</f>
        <v>0.27418403860247187</v>
      </c>
      <c r="M59" s="21">
        <f ca="1">(1-'Electrification Scenario'!E65)*VLOOKUP(E$3,'Static Parameters'!$A$3:$B$9,2)*VLOOKUP($A59,'Growth Scenarios'!$E$3:$I$80,MATCH('Scenario Picker'!$B$3,'Growth Scenarios'!$F$2:$I$2,0)+1)/1000000000*VLOOKUP($A59,'Growth Scenarios'!$A$3:$D$80,MATCH('Scenario Picker'!$B$2,'Growth Scenarios'!$B$2:$D$2,0)+1)</f>
        <v>0</v>
      </c>
      <c r="N59" s="21">
        <f ca="1">(1-'Electrification Scenario'!F65)*VLOOKUP(F$3,'Static Parameters'!$A$3:$B$9,2)*VLOOKUP($A59,'Growth Scenarios'!$E$3:$I$80,MATCH('Scenario Picker'!$B$3,'Growth Scenarios'!$F$2:$I$2,0)+1)/1000000000*VLOOKUP($A59,'Growth Scenarios'!$A$3:$D$80,MATCH('Scenario Picker'!$B$2,'Growth Scenarios'!$B$2:$D$2,0)+1)</f>
        <v>2.9132054101512641</v>
      </c>
      <c r="O59" s="21">
        <f ca="1">(1-'Electrification Scenario'!G65)*VLOOKUP(G$3,'Static Parameters'!$A$3:$B$9,2)*VLOOKUP($A59,'Growth Scenarios'!$E$3:$I$80,MATCH('Scenario Picker'!$B$3,'Growth Scenarios'!$F$2:$I$2,0)+1)/1000000000*VLOOKUP($A59,'Growth Scenarios'!$A$3:$D$80,MATCH('Scenario Picker'!$B$2,'Growth Scenarios'!$B$2:$D$2,0)+1)</f>
        <v>0</v>
      </c>
      <c r="P59" s="21">
        <f ca="1">(1-'Electrification Scenario'!H65)*VLOOKUP(H$3,'Static Parameters'!$A$3:$B$9,2)*VLOOKUP($A59,'Growth Scenarios'!$E$3:$I$80,MATCH('Scenario Picker'!$B$3,'Growth Scenarios'!$F$2:$I$2,0)+1)/1000000000*VLOOKUP($A59,'Growth Scenarios'!$A$3:$D$80,MATCH('Scenario Picker'!$B$2,'Growth Scenarios'!$B$2:$D$2,0)+1)</f>
        <v>52.780427430975834</v>
      </c>
      <c r="Q59" s="28">
        <f t="shared" ca="1" si="1"/>
        <v>62.548233806188897</v>
      </c>
      <c r="R59" s="28">
        <f t="shared" ca="1" si="2"/>
        <v>513.37533927830339</v>
      </c>
    </row>
    <row r="60" spans="1:18" ht="15" x14ac:dyDescent="0.35">
      <c r="A60" s="31">
        <v>2078</v>
      </c>
      <c r="B60" s="25">
        <f ca="1">'Electrification Scenario'!B66*(1-'Electrification Scenario'!B$8*('Electrification Scenario'!B66-'Electrification Scenario'!B$4)/('Electrification Scenario'!B$5-'Electrification Scenario'!B$4))*VLOOKUP(B$3,'Static Parameters'!$A$3:$B$9,2)*VLOOKUP($A60,'Growth Scenarios'!$E$3:$I$80,MATCH('Scenario Picker'!$B$3,'Growth Scenarios'!$F$2:$I$2,0)+1)/1000000000*VLOOKUP($A60,'Growth Scenarios'!$A$3:$D$80,MATCH('Scenario Picker'!$B$2,'Growth Scenarios'!$B$2:$D$2,0)+1)</f>
        <v>7.9411183687798648</v>
      </c>
      <c r="C60" s="21">
        <f ca="1">'Electrification Scenario'!C66*(1-'Electrification Scenario'!C$8*('Electrification Scenario'!C66-'Electrification Scenario'!C$4)/('Electrification Scenario'!C$5-'Electrification Scenario'!C$4))*VLOOKUP(C$3,'Static Parameters'!$A$3:$B$9,2)*VLOOKUP($A60,'Growth Scenarios'!$E$3:$I$80,MATCH('Scenario Picker'!$B$3,'Growth Scenarios'!$F$2:$I$2,0)+1)/1000000000*VLOOKUP($A60,'Growth Scenarios'!$A$3:$D$80,MATCH('Scenario Picker'!$B$2,'Growth Scenarios'!$B$2:$D$2,0)+1)</f>
        <v>48.529056698099183</v>
      </c>
      <c r="D60" s="21">
        <f ca="1">'Electrification Scenario'!D66*(1-'Electrification Scenario'!D$8*('Electrification Scenario'!D66-'Electrification Scenario'!D$4)/('Electrification Scenario'!D$5-'Electrification Scenario'!D$4))*VLOOKUP(D$3,'Static Parameters'!$A$3:$B$9,2)*VLOOKUP($A60,'Growth Scenarios'!$E$3:$I$80,MATCH('Scenario Picker'!$B$3,'Growth Scenarios'!$F$2:$I$2,0)+1)/1000000000*VLOOKUP($A60,'Growth Scenarios'!$A$3:$D$80,MATCH('Scenario Picker'!$B$2,'Growth Scenarios'!$B$2:$D$2,0)+1)</f>
        <v>0.33087993203249444</v>
      </c>
      <c r="E60" s="21">
        <f ca="1">'Electrification Scenario'!E66*(1-'Electrification Scenario'!E$8*('Electrification Scenario'!E66-'Electrification Scenario'!E$4)/('Electrification Scenario'!E$5-'Electrification Scenario'!E$4))*VLOOKUP(E$3,'Static Parameters'!$A$3:$B$9,2)*VLOOKUP($A60,'Growth Scenarios'!$E$3:$I$80,MATCH('Scenario Picker'!$B$3,'Growth Scenarios'!$F$2:$I$2,0)+1)/1000000000*VLOOKUP($A60,'Growth Scenarios'!$A$3:$D$80,MATCH('Scenario Picker'!$B$2,'Growth Scenarios'!$B$2:$D$2,0)+1)</f>
        <v>185.84422849158437</v>
      </c>
      <c r="F60" s="21">
        <f ca="1">'Electrification Scenario'!F66*(1-'Electrification Scenario'!F$8*('Electrification Scenario'!F66-'Electrification Scenario'!F$4)/('Electrification Scenario'!F$5-'Electrification Scenario'!F$4))*VLOOKUP(F$3,'Static Parameters'!$A$3:$B$9,2)*VLOOKUP($A60,'Growth Scenarios'!$E$3:$I$80,MATCH('Scenario Picker'!$B$3,'Growth Scenarios'!$F$2:$I$2,0)+1)/1000000000*VLOOKUP($A60,'Growth Scenarios'!$A$3:$D$80,MATCH('Scenario Picker'!$B$2,'Growth Scenarios'!$B$2:$D$2,0)+1)</f>
        <v>7.0311985556905086</v>
      </c>
      <c r="G60" s="21">
        <f ca="1">'Electrification Scenario'!G66*(1-'Electrification Scenario'!G$8*('Electrification Scenario'!G66-'Electrification Scenario'!G$4)/('Electrification Scenario'!G$5-'Electrification Scenario'!G$4))*VLOOKUP(G$3,'Static Parameters'!$A$3:$B$9,2)*VLOOKUP($A60,'Growth Scenarios'!$E$3:$I$80,MATCH('Scenario Picker'!$B$3,'Growth Scenarios'!$F$2:$I$2,0)+1)/1000000000*VLOOKUP($A60,'Growth Scenarios'!$A$3:$D$80,MATCH('Scenario Picker'!$B$2,'Growth Scenarios'!$B$2:$D$2,0)+1)</f>
        <v>124.0799745121854</v>
      </c>
      <c r="H60" s="21">
        <f ca="1">'Electrification Scenario'!H66*(1-'Electrification Scenario'!H$8*('Electrification Scenario'!H66-'Electrification Scenario'!H$4)/('Electrification Scenario'!H$5-'Electrification Scenario'!H$4))*VLOOKUP(H$3,'Static Parameters'!$A$3:$B$9,2)*VLOOKUP($A60,'Growth Scenarios'!$E$3:$I$80,MATCH('Scenario Picker'!$B$3,'Growth Scenarios'!$F$2:$I$2,0)+1)/1000000000*VLOOKUP($A60,'Growth Scenarios'!$A$3:$D$80,MATCH('Scenario Picker'!$B$2,'Growth Scenarios'!$B$2:$D$2,0)+1)</f>
        <v>79.617983645318958</v>
      </c>
      <c r="I60" s="28">
        <f t="shared" ca="1" si="0"/>
        <v>453.37444020369082</v>
      </c>
      <c r="J60" s="25">
        <f ca="1">(1-'Electrification Scenario'!B66)*VLOOKUP(B$3,'Static Parameters'!$A$3:$B$9,2)*VLOOKUP($A60,'Growth Scenarios'!$E$3:$I$80,MATCH('Scenario Picker'!$B$3,'Growth Scenarios'!$F$2:$I$2,0)+1)/1000000000*VLOOKUP($A60,'Growth Scenarios'!$A$3:$D$80,MATCH('Scenario Picker'!$B$2,'Growth Scenarios'!$B$2:$D$2,0)+1)</f>
        <v>6.6175986406498888</v>
      </c>
      <c r="K60" s="21">
        <f ca="1">(1-'Electrification Scenario'!C66)*VLOOKUP(C$3,'Static Parameters'!$A$3:$B$9,2)*VLOOKUP($A60,'Growth Scenarios'!$E$3:$I$80,MATCH('Scenario Picker'!$B$3,'Growth Scenarios'!$F$2:$I$2,0)+1)/1000000000*VLOOKUP($A60,'Growth Scenarios'!$A$3:$D$80,MATCH('Scenario Picker'!$B$2,'Growth Scenarios'!$B$2:$D$2,0)+1)</f>
        <v>0</v>
      </c>
      <c r="L60" s="21">
        <f ca="1">(1-'Electrification Scenario'!D66)*VLOOKUP(D$3,'Static Parameters'!$A$3:$B$9,2)*VLOOKUP($A60,'Growth Scenarios'!$E$3:$I$80,MATCH('Scenario Picker'!$B$3,'Growth Scenarios'!$F$2:$I$2,0)+1)/1000000000*VLOOKUP($A60,'Growth Scenarios'!$A$3:$D$80,MATCH('Scenario Picker'!$B$2,'Growth Scenarios'!$B$2:$D$2,0)+1)</f>
        <v>0.27573327669374531</v>
      </c>
      <c r="M60" s="21">
        <f ca="1">(1-'Electrification Scenario'!E66)*VLOOKUP(E$3,'Static Parameters'!$A$3:$B$9,2)*VLOOKUP($A60,'Growth Scenarios'!$E$3:$I$80,MATCH('Scenario Picker'!$B$3,'Growth Scenarios'!$F$2:$I$2,0)+1)/1000000000*VLOOKUP($A60,'Growth Scenarios'!$A$3:$D$80,MATCH('Scenario Picker'!$B$2,'Growth Scenarios'!$B$2:$D$2,0)+1)</f>
        <v>0</v>
      </c>
      <c r="N60" s="21">
        <f ca="1">(1-'Electrification Scenario'!F66)*VLOOKUP(F$3,'Static Parameters'!$A$3:$B$9,2)*VLOOKUP($A60,'Growth Scenarios'!$E$3:$I$80,MATCH('Scenario Picker'!$B$3,'Growth Scenarios'!$F$2:$I$2,0)+1)/1000000000*VLOOKUP($A60,'Growth Scenarios'!$A$3:$D$80,MATCH('Scenario Picker'!$B$2,'Growth Scenarios'!$B$2:$D$2,0)+1)</f>
        <v>2.9296660648710442</v>
      </c>
      <c r="O60" s="21">
        <f ca="1">(1-'Electrification Scenario'!G66)*VLOOKUP(G$3,'Static Parameters'!$A$3:$B$9,2)*VLOOKUP($A60,'Growth Scenarios'!$E$3:$I$80,MATCH('Scenario Picker'!$B$3,'Growth Scenarios'!$F$2:$I$2,0)+1)/1000000000*VLOOKUP($A60,'Growth Scenarios'!$A$3:$D$80,MATCH('Scenario Picker'!$B$2,'Growth Scenarios'!$B$2:$D$2,0)+1)</f>
        <v>0</v>
      </c>
      <c r="P60" s="21">
        <f ca="1">(1-'Electrification Scenario'!H66)*VLOOKUP(H$3,'Static Parameters'!$A$3:$B$9,2)*VLOOKUP($A60,'Growth Scenarios'!$E$3:$I$80,MATCH('Scenario Picker'!$B$3,'Growth Scenarios'!$F$2:$I$2,0)+1)/1000000000*VLOOKUP($A60,'Growth Scenarios'!$A$3:$D$80,MATCH('Scenario Picker'!$B$2,'Growth Scenarios'!$B$2:$D$2,0)+1)</f>
        <v>53.078655763545974</v>
      </c>
      <c r="Q60" s="28">
        <f t="shared" ca="1" si="1"/>
        <v>62.901653745760655</v>
      </c>
      <c r="R60" s="28">
        <f t="shared" ca="1" si="2"/>
        <v>516.27609394945148</v>
      </c>
    </row>
    <row r="61" spans="1:18" ht="15" x14ac:dyDescent="0.35">
      <c r="A61" s="31">
        <v>2079</v>
      </c>
      <c r="B61" s="25">
        <f ca="1">'Electrification Scenario'!B67*(1-'Electrification Scenario'!B$8*('Electrification Scenario'!B67-'Electrification Scenario'!B$4)/('Electrification Scenario'!B$5-'Electrification Scenario'!B$4))*VLOOKUP(B$3,'Static Parameters'!$A$3:$B$9,2)*VLOOKUP($A61,'Growth Scenarios'!$E$3:$I$80,MATCH('Scenario Picker'!$B$3,'Growth Scenarios'!$F$2:$I$2,0)+1)/1000000000*VLOOKUP($A61,'Growth Scenarios'!$A$3:$D$80,MATCH('Scenario Picker'!$B$2,'Growth Scenarios'!$B$2:$D$2,0)+1)</f>
        <v>7.983135871250659</v>
      </c>
      <c r="C61" s="21">
        <f ca="1">'Electrification Scenario'!C67*(1-'Electrification Scenario'!C$8*('Electrification Scenario'!C67-'Electrification Scenario'!C$4)/('Electrification Scenario'!C$5-'Electrification Scenario'!C$4))*VLOOKUP(C$3,'Static Parameters'!$A$3:$B$9,2)*VLOOKUP($A61,'Growth Scenarios'!$E$3:$I$80,MATCH('Scenario Picker'!$B$3,'Growth Scenarios'!$F$2:$I$2,0)+1)/1000000000*VLOOKUP($A61,'Growth Scenarios'!$A$3:$D$80,MATCH('Scenario Picker'!$B$2,'Growth Scenarios'!$B$2:$D$2,0)+1)</f>
        <v>48.785830324309586</v>
      </c>
      <c r="D61" s="21">
        <f ca="1">'Electrification Scenario'!D67*(1-'Electrification Scenario'!D$8*('Electrification Scenario'!D67-'Electrification Scenario'!D$4)/('Electrification Scenario'!D$5-'Electrification Scenario'!D$4))*VLOOKUP(D$3,'Static Parameters'!$A$3:$B$9,2)*VLOOKUP($A61,'Growth Scenarios'!$E$3:$I$80,MATCH('Scenario Picker'!$B$3,'Growth Scenarios'!$F$2:$I$2,0)+1)/1000000000*VLOOKUP($A61,'Growth Scenarios'!$A$3:$D$80,MATCH('Scenario Picker'!$B$2,'Growth Scenarios'!$B$2:$D$2,0)+1)</f>
        <v>0.33263066130211083</v>
      </c>
      <c r="E61" s="21">
        <f ca="1">'Electrification Scenario'!E67*(1-'Electrification Scenario'!E$8*('Electrification Scenario'!E67-'Electrification Scenario'!E$4)/('Electrification Scenario'!E$5-'Electrification Scenario'!E$4))*VLOOKUP(E$3,'Static Parameters'!$A$3:$B$9,2)*VLOOKUP($A61,'Growth Scenarios'!$E$3:$I$80,MATCH('Scenario Picker'!$B$3,'Growth Scenarios'!$F$2:$I$2,0)+1)/1000000000*VLOOKUP($A61,'Growth Scenarios'!$A$3:$D$80,MATCH('Scenario Picker'!$B$2,'Growth Scenarios'!$B$2:$D$2,0)+1)</f>
        <v>186.82755476468557</v>
      </c>
      <c r="F61" s="21">
        <f ca="1">'Electrification Scenario'!F67*(1-'Electrification Scenario'!F$8*('Electrification Scenario'!F67-'Electrification Scenario'!F$4)/('Electrification Scenario'!F$5-'Electrification Scenario'!F$4))*VLOOKUP(F$3,'Static Parameters'!$A$3:$B$9,2)*VLOOKUP($A61,'Growth Scenarios'!$E$3:$I$80,MATCH('Scenario Picker'!$B$3,'Growth Scenarios'!$F$2:$I$2,0)+1)/1000000000*VLOOKUP($A61,'Growth Scenarios'!$A$3:$D$80,MATCH('Scenario Picker'!$B$2,'Growth Scenarios'!$B$2:$D$2,0)+1)</f>
        <v>7.0684015526698563</v>
      </c>
      <c r="G61" s="21">
        <f ca="1">'Electrification Scenario'!G67*(1-'Electrification Scenario'!G$8*('Electrification Scenario'!G67-'Electrification Scenario'!G$4)/('Electrification Scenario'!G$5-'Electrification Scenario'!G$4))*VLOOKUP(G$3,'Static Parameters'!$A$3:$B$9,2)*VLOOKUP($A61,'Growth Scenarios'!$E$3:$I$80,MATCH('Scenario Picker'!$B$3,'Growth Scenarios'!$F$2:$I$2,0)+1)/1000000000*VLOOKUP($A61,'Growth Scenarios'!$A$3:$D$80,MATCH('Scenario Picker'!$B$2,'Growth Scenarios'!$B$2:$D$2,0)+1)</f>
        <v>124.73649798829156</v>
      </c>
      <c r="H61" s="21">
        <f ca="1">'Electrification Scenario'!H67*(1-'Electrification Scenario'!H$8*('Electrification Scenario'!H67-'Electrification Scenario'!H$4)/('Electrification Scenario'!H$5-'Electrification Scenario'!H$4))*VLOOKUP(H$3,'Static Parameters'!$A$3:$B$9,2)*VLOOKUP($A61,'Growth Scenarios'!$E$3:$I$80,MATCH('Scenario Picker'!$B$3,'Growth Scenarios'!$F$2:$I$2,0)+1)/1000000000*VLOOKUP($A61,'Growth Scenarios'!$A$3:$D$80,MATCH('Scenario Picker'!$B$2,'Growth Scenarios'!$B$2:$D$2,0)+1)</f>
        <v>80.039252875820409</v>
      </c>
      <c r="I61" s="28">
        <f t="shared" ca="1" si="0"/>
        <v>455.77330403832974</v>
      </c>
      <c r="J61" s="25">
        <f ca="1">(1-'Electrification Scenario'!B67)*VLOOKUP(B$3,'Static Parameters'!$A$3:$B$9,2)*VLOOKUP($A61,'Growth Scenarios'!$E$3:$I$80,MATCH('Scenario Picker'!$B$3,'Growth Scenarios'!$F$2:$I$2,0)+1)/1000000000*VLOOKUP($A61,'Growth Scenarios'!$A$3:$D$80,MATCH('Scenario Picker'!$B$2,'Growth Scenarios'!$B$2:$D$2,0)+1)</f>
        <v>6.6526132260422166</v>
      </c>
      <c r="K61" s="21">
        <f ca="1">(1-'Electrification Scenario'!C67)*VLOOKUP(C$3,'Static Parameters'!$A$3:$B$9,2)*VLOOKUP($A61,'Growth Scenarios'!$E$3:$I$80,MATCH('Scenario Picker'!$B$3,'Growth Scenarios'!$F$2:$I$2,0)+1)/1000000000*VLOOKUP($A61,'Growth Scenarios'!$A$3:$D$80,MATCH('Scenario Picker'!$B$2,'Growth Scenarios'!$B$2:$D$2,0)+1)</f>
        <v>0</v>
      </c>
      <c r="L61" s="21">
        <f ca="1">(1-'Electrification Scenario'!D67)*VLOOKUP(D$3,'Static Parameters'!$A$3:$B$9,2)*VLOOKUP($A61,'Growth Scenarios'!$E$3:$I$80,MATCH('Scenario Picker'!$B$3,'Growth Scenarios'!$F$2:$I$2,0)+1)/1000000000*VLOOKUP($A61,'Growth Scenarios'!$A$3:$D$80,MATCH('Scenario Picker'!$B$2,'Growth Scenarios'!$B$2:$D$2,0)+1)</f>
        <v>0.27719221775175901</v>
      </c>
      <c r="M61" s="21">
        <f ca="1">(1-'Electrification Scenario'!E67)*VLOOKUP(E$3,'Static Parameters'!$A$3:$B$9,2)*VLOOKUP($A61,'Growth Scenarios'!$E$3:$I$80,MATCH('Scenario Picker'!$B$3,'Growth Scenarios'!$F$2:$I$2,0)+1)/1000000000*VLOOKUP($A61,'Growth Scenarios'!$A$3:$D$80,MATCH('Scenario Picker'!$B$2,'Growth Scenarios'!$B$2:$D$2,0)+1)</f>
        <v>0</v>
      </c>
      <c r="N61" s="21">
        <f ca="1">(1-'Electrification Scenario'!F67)*VLOOKUP(F$3,'Static Parameters'!$A$3:$B$9,2)*VLOOKUP($A61,'Growth Scenarios'!$E$3:$I$80,MATCH('Scenario Picker'!$B$3,'Growth Scenarios'!$F$2:$I$2,0)+1)/1000000000*VLOOKUP($A61,'Growth Scenarios'!$A$3:$D$80,MATCH('Scenario Picker'!$B$2,'Growth Scenarios'!$B$2:$D$2,0)+1)</f>
        <v>2.9451673136124401</v>
      </c>
      <c r="O61" s="21">
        <f ca="1">(1-'Electrification Scenario'!G67)*VLOOKUP(G$3,'Static Parameters'!$A$3:$B$9,2)*VLOOKUP($A61,'Growth Scenarios'!$E$3:$I$80,MATCH('Scenario Picker'!$B$3,'Growth Scenarios'!$F$2:$I$2,0)+1)/1000000000*VLOOKUP($A61,'Growth Scenarios'!$A$3:$D$80,MATCH('Scenario Picker'!$B$2,'Growth Scenarios'!$B$2:$D$2,0)+1)</f>
        <v>0</v>
      </c>
      <c r="P61" s="21">
        <f ca="1">(1-'Electrification Scenario'!H67)*VLOOKUP(H$3,'Static Parameters'!$A$3:$B$9,2)*VLOOKUP($A61,'Growth Scenarios'!$E$3:$I$80,MATCH('Scenario Picker'!$B$3,'Growth Scenarios'!$F$2:$I$2,0)+1)/1000000000*VLOOKUP($A61,'Growth Scenarios'!$A$3:$D$80,MATCH('Scenario Picker'!$B$2,'Growth Scenarios'!$B$2:$D$2,0)+1)</f>
        <v>53.359501917213613</v>
      </c>
      <c r="Q61" s="28">
        <f t="shared" ca="1" si="1"/>
        <v>63.234474674620031</v>
      </c>
      <c r="R61" s="28">
        <f t="shared" ca="1" si="2"/>
        <v>519.00777871294974</v>
      </c>
    </row>
    <row r="62" spans="1:18" ht="15" x14ac:dyDescent="0.35">
      <c r="A62" s="31">
        <v>2080</v>
      </c>
      <c r="B62" s="25">
        <f ca="1">'Electrification Scenario'!B68*(1-'Electrification Scenario'!B$8*('Electrification Scenario'!B68-'Electrification Scenario'!B$4)/('Electrification Scenario'!B$5-'Electrification Scenario'!B$4))*VLOOKUP(B$3,'Static Parameters'!$A$3:$B$9,2)*VLOOKUP($A62,'Growth Scenarios'!$E$3:$I$80,MATCH('Scenario Picker'!$B$3,'Growth Scenarios'!$F$2:$I$2,0)+1)/1000000000*VLOOKUP($A62,'Growth Scenarios'!$A$3:$D$80,MATCH('Scenario Picker'!$B$2,'Growth Scenarios'!$B$2:$D$2,0)+1)</f>
        <v>8.0225524351899491</v>
      </c>
      <c r="C62" s="21">
        <f ca="1">'Electrification Scenario'!C68*(1-'Electrification Scenario'!C$8*('Electrification Scenario'!C68-'Electrification Scenario'!C$4)/('Electrification Scenario'!C$5-'Electrification Scenario'!C$4))*VLOOKUP(C$3,'Static Parameters'!$A$3:$B$9,2)*VLOOKUP($A62,'Growth Scenarios'!$E$3:$I$80,MATCH('Scenario Picker'!$B$3,'Growth Scenarios'!$F$2:$I$2,0)+1)/1000000000*VLOOKUP($A62,'Growth Scenarios'!$A$3:$D$80,MATCH('Scenario Picker'!$B$2,'Growth Scenarios'!$B$2:$D$2,0)+1)</f>
        <v>49.026709326160805</v>
      </c>
      <c r="D62" s="21">
        <f ca="1">'Electrification Scenario'!D68*(1-'Electrification Scenario'!D$8*('Electrification Scenario'!D68-'Electrification Scenario'!D$4)/('Electrification Scenario'!D$5-'Electrification Scenario'!D$4))*VLOOKUP(D$3,'Static Parameters'!$A$3:$B$9,2)*VLOOKUP($A62,'Growth Scenarios'!$E$3:$I$80,MATCH('Scenario Picker'!$B$3,'Growth Scenarios'!$F$2:$I$2,0)+1)/1000000000*VLOOKUP($A62,'Growth Scenarios'!$A$3:$D$80,MATCH('Scenario Picker'!$B$2,'Growth Scenarios'!$B$2:$D$2,0)+1)</f>
        <v>0.3342730181329146</v>
      </c>
      <c r="E62" s="21">
        <f ca="1">'Electrification Scenario'!E68*(1-'Electrification Scenario'!E$8*('Electrification Scenario'!E68-'Electrification Scenario'!E$4)/('Electrification Scenario'!E$5-'Electrification Scenario'!E$4))*VLOOKUP(E$3,'Static Parameters'!$A$3:$B$9,2)*VLOOKUP($A62,'Growth Scenarios'!$E$3:$I$80,MATCH('Scenario Picker'!$B$3,'Growth Scenarios'!$F$2:$I$2,0)+1)/1000000000*VLOOKUP($A62,'Growth Scenarios'!$A$3:$D$80,MATCH('Scenario Picker'!$B$2,'Growth Scenarios'!$B$2:$D$2,0)+1)</f>
        <v>187.75001185132038</v>
      </c>
      <c r="F62" s="21">
        <f ca="1">'Electrification Scenario'!F68*(1-'Electrification Scenario'!F$8*('Electrification Scenario'!F68-'Electrification Scenario'!F$4)/('Electrification Scenario'!F$5-'Electrification Scenario'!F$4))*VLOOKUP(F$3,'Static Parameters'!$A$3:$B$9,2)*VLOOKUP($A62,'Growth Scenarios'!$E$3:$I$80,MATCH('Scenario Picker'!$B$3,'Growth Scenarios'!$F$2:$I$2,0)+1)/1000000000*VLOOKUP($A62,'Growth Scenarios'!$A$3:$D$80,MATCH('Scenario Picker'!$B$2,'Growth Scenarios'!$B$2:$D$2,0)+1)</f>
        <v>7.1033016353244376</v>
      </c>
      <c r="G62" s="21">
        <f ca="1">'Electrification Scenario'!G68*(1-'Electrification Scenario'!G$8*('Electrification Scenario'!G68-'Electrification Scenario'!G$4)/('Electrification Scenario'!G$5-'Electrification Scenario'!G$4))*VLOOKUP(G$3,'Static Parameters'!$A$3:$B$9,2)*VLOOKUP($A62,'Growth Scenarios'!$E$3:$I$80,MATCH('Scenario Picker'!$B$3,'Growth Scenarios'!$F$2:$I$2,0)+1)/1000000000*VLOOKUP($A62,'Growth Scenarios'!$A$3:$D$80,MATCH('Scenario Picker'!$B$2,'Growth Scenarios'!$B$2:$D$2,0)+1)</f>
        <v>125.35238179984299</v>
      </c>
      <c r="H62" s="21">
        <f ca="1">'Electrification Scenario'!H68*(1-'Electrification Scenario'!H$8*('Electrification Scenario'!H68-'Electrification Scenario'!H$4)/('Electrification Scenario'!H$5-'Electrification Scenario'!H$4))*VLOOKUP(H$3,'Static Parameters'!$A$3:$B$9,2)*VLOOKUP($A62,'Growth Scenarios'!$E$3:$I$80,MATCH('Scenario Picker'!$B$3,'Growth Scenarios'!$F$2:$I$2,0)+1)/1000000000*VLOOKUP($A62,'Growth Scenarios'!$A$3:$D$80,MATCH('Scenario Picker'!$B$2,'Growth Scenarios'!$B$2:$D$2,0)+1)</f>
        <v>80.43444498823257</v>
      </c>
      <c r="I62" s="28">
        <f t="shared" ca="1" si="0"/>
        <v>458.02367505420409</v>
      </c>
      <c r="J62" s="25">
        <f ca="1">(1-'Electrification Scenario'!B68)*VLOOKUP(B$3,'Static Parameters'!$A$3:$B$9,2)*VLOOKUP($A62,'Growth Scenarios'!$E$3:$I$80,MATCH('Scenario Picker'!$B$3,'Growth Scenarios'!$F$2:$I$2,0)+1)/1000000000*VLOOKUP($A62,'Growth Scenarios'!$A$3:$D$80,MATCH('Scenario Picker'!$B$2,'Growth Scenarios'!$B$2:$D$2,0)+1)</f>
        <v>6.6854603626582927</v>
      </c>
      <c r="K62" s="21">
        <f ca="1">(1-'Electrification Scenario'!C68)*VLOOKUP(C$3,'Static Parameters'!$A$3:$B$9,2)*VLOOKUP($A62,'Growth Scenarios'!$E$3:$I$80,MATCH('Scenario Picker'!$B$3,'Growth Scenarios'!$F$2:$I$2,0)+1)/1000000000*VLOOKUP($A62,'Growth Scenarios'!$A$3:$D$80,MATCH('Scenario Picker'!$B$2,'Growth Scenarios'!$B$2:$D$2,0)+1)</f>
        <v>0</v>
      </c>
      <c r="L62" s="21">
        <f ca="1">(1-'Electrification Scenario'!D68)*VLOOKUP(D$3,'Static Parameters'!$A$3:$B$9,2)*VLOOKUP($A62,'Growth Scenarios'!$E$3:$I$80,MATCH('Scenario Picker'!$B$3,'Growth Scenarios'!$F$2:$I$2,0)+1)/1000000000*VLOOKUP($A62,'Growth Scenarios'!$A$3:$D$80,MATCH('Scenario Picker'!$B$2,'Growth Scenarios'!$B$2:$D$2,0)+1)</f>
        <v>0.27856084844409557</v>
      </c>
      <c r="M62" s="21">
        <f ca="1">(1-'Electrification Scenario'!E68)*VLOOKUP(E$3,'Static Parameters'!$A$3:$B$9,2)*VLOOKUP($A62,'Growth Scenarios'!$E$3:$I$80,MATCH('Scenario Picker'!$B$3,'Growth Scenarios'!$F$2:$I$2,0)+1)/1000000000*VLOOKUP($A62,'Growth Scenarios'!$A$3:$D$80,MATCH('Scenario Picker'!$B$2,'Growth Scenarios'!$B$2:$D$2,0)+1)</f>
        <v>0</v>
      </c>
      <c r="N62" s="21">
        <f ca="1">(1-'Electrification Scenario'!F68)*VLOOKUP(F$3,'Static Parameters'!$A$3:$B$9,2)*VLOOKUP($A62,'Growth Scenarios'!$E$3:$I$80,MATCH('Scenario Picker'!$B$3,'Growth Scenarios'!$F$2:$I$2,0)+1)/1000000000*VLOOKUP($A62,'Growth Scenarios'!$A$3:$D$80,MATCH('Scenario Picker'!$B$2,'Growth Scenarios'!$B$2:$D$2,0)+1)</f>
        <v>2.9597090147185154</v>
      </c>
      <c r="O62" s="21">
        <f ca="1">(1-'Electrification Scenario'!G68)*VLOOKUP(G$3,'Static Parameters'!$A$3:$B$9,2)*VLOOKUP($A62,'Growth Scenarios'!$E$3:$I$80,MATCH('Scenario Picker'!$B$3,'Growth Scenarios'!$F$2:$I$2,0)+1)/1000000000*VLOOKUP($A62,'Growth Scenarios'!$A$3:$D$80,MATCH('Scenario Picker'!$B$2,'Growth Scenarios'!$B$2:$D$2,0)+1)</f>
        <v>0</v>
      </c>
      <c r="P62" s="21">
        <f ca="1">(1-'Electrification Scenario'!H68)*VLOOKUP(H$3,'Static Parameters'!$A$3:$B$9,2)*VLOOKUP($A62,'Growth Scenarios'!$E$3:$I$80,MATCH('Scenario Picker'!$B$3,'Growth Scenarios'!$F$2:$I$2,0)+1)/1000000000*VLOOKUP($A62,'Growth Scenarios'!$A$3:$D$80,MATCH('Scenario Picker'!$B$2,'Growth Scenarios'!$B$2:$D$2,0)+1)</f>
        <v>53.622963325488385</v>
      </c>
      <c r="Q62" s="28">
        <f t="shared" ca="1" si="1"/>
        <v>63.546693551309289</v>
      </c>
      <c r="R62" s="28">
        <f t="shared" ca="1" si="2"/>
        <v>521.57036860551341</v>
      </c>
    </row>
    <row r="63" spans="1:18" ht="15" x14ac:dyDescent="0.35">
      <c r="A63" s="31">
        <v>2081</v>
      </c>
      <c r="B63" s="25">
        <f ca="1">'Electrification Scenario'!B69*(1-'Electrification Scenario'!B$8*('Electrification Scenario'!B69-'Electrification Scenario'!B$4)/('Electrification Scenario'!B$5-'Electrification Scenario'!B$4))*VLOOKUP(B$3,'Static Parameters'!$A$3:$B$9,2)*VLOOKUP($A63,'Growth Scenarios'!$E$3:$I$80,MATCH('Scenario Picker'!$B$3,'Growth Scenarios'!$F$2:$I$2,0)+1)/1000000000*VLOOKUP($A63,'Growth Scenarios'!$A$3:$D$80,MATCH('Scenario Picker'!$B$2,'Growth Scenarios'!$B$2:$D$2,0)+1)</f>
        <v>8.0593816908405351</v>
      </c>
      <c r="C63" s="21">
        <f ca="1">'Electrification Scenario'!C69*(1-'Electrification Scenario'!C$8*('Electrification Scenario'!C69-'Electrification Scenario'!C$4)/('Electrification Scenario'!C$5-'Electrification Scenario'!C$4))*VLOOKUP(C$3,'Static Parameters'!$A$3:$B$9,2)*VLOOKUP($A63,'Growth Scenarios'!$E$3:$I$80,MATCH('Scenario Picker'!$B$3,'Growth Scenarios'!$F$2:$I$2,0)+1)/1000000000*VLOOKUP($A63,'Growth Scenarios'!$A$3:$D$80,MATCH('Scenario Picker'!$B$2,'Growth Scenarios'!$B$2:$D$2,0)+1)</f>
        <v>49.251776999581054</v>
      </c>
      <c r="D63" s="21">
        <f ca="1">'Electrification Scenario'!D69*(1-'Electrification Scenario'!D$8*('Electrification Scenario'!D69-'Electrification Scenario'!D$4)/('Electrification Scenario'!D$5-'Electrification Scenario'!D$4))*VLOOKUP(D$3,'Static Parameters'!$A$3:$B$9,2)*VLOOKUP($A63,'Growth Scenarios'!$E$3:$I$80,MATCH('Scenario Picker'!$B$3,'Growth Scenarios'!$F$2:$I$2,0)+1)/1000000000*VLOOKUP($A63,'Growth Scenarios'!$A$3:$D$80,MATCH('Scenario Picker'!$B$2,'Growth Scenarios'!$B$2:$D$2,0)+1)</f>
        <v>0.33580757045168902</v>
      </c>
      <c r="E63" s="21">
        <f ca="1">'Electrification Scenario'!E69*(1-'Electrification Scenario'!E$8*('Electrification Scenario'!E69-'Electrification Scenario'!E$4)/('Electrification Scenario'!E$5-'Electrification Scenario'!E$4))*VLOOKUP(E$3,'Static Parameters'!$A$3:$B$9,2)*VLOOKUP($A63,'Growth Scenarios'!$E$3:$I$80,MATCH('Scenario Picker'!$B$3,'Growth Scenarios'!$F$2:$I$2,0)+1)/1000000000*VLOOKUP($A63,'Growth Scenarios'!$A$3:$D$80,MATCH('Scenario Picker'!$B$2,'Growth Scenarios'!$B$2:$D$2,0)+1)</f>
        <v>188.61191873703197</v>
      </c>
      <c r="F63" s="21">
        <f ca="1">'Electrification Scenario'!F69*(1-'Electrification Scenario'!F$8*('Electrification Scenario'!F69-'Electrification Scenario'!F$4)/('Electrification Scenario'!F$5-'Electrification Scenario'!F$4))*VLOOKUP(F$3,'Static Parameters'!$A$3:$B$9,2)*VLOOKUP($A63,'Growth Scenarios'!$E$3:$I$80,MATCH('Scenario Picker'!$B$3,'Growth Scenarios'!$F$2:$I$2,0)+1)/1000000000*VLOOKUP($A63,'Growth Scenarios'!$A$3:$D$80,MATCH('Scenario Picker'!$B$2,'Growth Scenarios'!$B$2:$D$2,0)+1)</f>
        <v>7.1359108720983935</v>
      </c>
      <c r="G63" s="21">
        <f ca="1">'Electrification Scenario'!G69*(1-'Electrification Scenario'!G$8*('Electrification Scenario'!G69-'Electrification Scenario'!G$4)/('Electrification Scenario'!G$5-'Electrification Scenario'!G$4))*VLOOKUP(G$3,'Static Parameters'!$A$3:$B$9,2)*VLOOKUP($A63,'Growth Scenarios'!$E$3:$I$80,MATCH('Scenario Picker'!$B$3,'Growth Scenarios'!$F$2:$I$2,0)+1)/1000000000*VLOOKUP($A63,'Growth Scenarios'!$A$3:$D$80,MATCH('Scenario Picker'!$B$2,'Growth Scenarios'!$B$2:$D$2,0)+1)</f>
        <v>125.92783891938338</v>
      </c>
      <c r="H63" s="21">
        <f ca="1">'Electrification Scenario'!H69*(1-'Electrification Scenario'!H$8*('Electrification Scenario'!H69-'Electrification Scenario'!H$4)/('Electrification Scenario'!H$5-'Electrification Scenario'!H$4))*VLOOKUP(H$3,'Static Parameters'!$A$3:$B$9,2)*VLOOKUP($A63,'Growth Scenarios'!$E$3:$I$80,MATCH('Scenario Picker'!$B$3,'Growth Scenarios'!$F$2:$I$2,0)+1)/1000000000*VLOOKUP($A63,'Growth Scenarios'!$A$3:$D$80,MATCH('Scenario Picker'!$B$2,'Growth Scenarios'!$B$2:$D$2,0)+1)</f>
        <v>80.803696639937655</v>
      </c>
      <c r="I63" s="28">
        <f t="shared" ca="1" si="0"/>
        <v>460.12633142932469</v>
      </c>
      <c r="J63" s="25">
        <f ca="1">(1-'Electrification Scenario'!B69)*VLOOKUP(B$3,'Static Parameters'!$A$3:$B$9,2)*VLOOKUP($A63,'Growth Scenarios'!$E$3:$I$80,MATCH('Scenario Picker'!$B$3,'Growth Scenarios'!$F$2:$I$2,0)+1)/1000000000*VLOOKUP($A63,'Growth Scenarios'!$A$3:$D$80,MATCH('Scenario Picker'!$B$2,'Growth Scenarios'!$B$2:$D$2,0)+1)</f>
        <v>6.7161514090337793</v>
      </c>
      <c r="K63" s="21">
        <f ca="1">(1-'Electrification Scenario'!C69)*VLOOKUP(C$3,'Static Parameters'!$A$3:$B$9,2)*VLOOKUP($A63,'Growth Scenarios'!$E$3:$I$80,MATCH('Scenario Picker'!$B$3,'Growth Scenarios'!$F$2:$I$2,0)+1)/1000000000*VLOOKUP($A63,'Growth Scenarios'!$A$3:$D$80,MATCH('Scenario Picker'!$B$2,'Growth Scenarios'!$B$2:$D$2,0)+1)</f>
        <v>0</v>
      </c>
      <c r="L63" s="21">
        <f ca="1">(1-'Electrification Scenario'!D69)*VLOOKUP(D$3,'Static Parameters'!$A$3:$B$9,2)*VLOOKUP($A63,'Growth Scenarios'!$E$3:$I$80,MATCH('Scenario Picker'!$B$3,'Growth Scenarios'!$F$2:$I$2,0)+1)/1000000000*VLOOKUP($A63,'Growth Scenarios'!$A$3:$D$80,MATCH('Scenario Picker'!$B$2,'Growth Scenarios'!$B$2:$D$2,0)+1)</f>
        <v>0.27983964204307415</v>
      </c>
      <c r="M63" s="21">
        <f ca="1">(1-'Electrification Scenario'!E69)*VLOOKUP(E$3,'Static Parameters'!$A$3:$B$9,2)*VLOOKUP($A63,'Growth Scenarios'!$E$3:$I$80,MATCH('Scenario Picker'!$B$3,'Growth Scenarios'!$F$2:$I$2,0)+1)/1000000000*VLOOKUP($A63,'Growth Scenarios'!$A$3:$D$80,MATCH('Scenario Picker'!$B$2,'Growth Scenarios'!$B$2:$D$2,0)+1)</f>
        <v>0</v>
      </c>
      <c r="N63" s="21">
        <f ca="1">(1-'Electrification Scenario'!F69)*VLOOKUP(F$3,'Static Parameters'!$A$3:$B$9,2)*VLOOKUP($A63,'Growth Scenarios'!$E$3:$I$80,MATCH('Scenario Picker'!$B$3,'Growth Scenarios'!$F$2:$I$2,0)+1)/1000000000*VLOOKUP($A63,'Growth Scenarios'!$A$3:$D$80,MATCH('Scenario Picker'!$B$2,'Growth Scenarios'!$B$2:$D$2,0)+1)</f>
        <v>2.973296196707663</v>
      </c>
      <c r="O63" s="21">
        <f ca="1">(1-'Electrification Scenario'!G69)*VLOOKUP(G$3,'Static Parameters'!$A$3:$B$9,2)*VLOOKUP($A63,'Growth Scenarios'!$E$3:$I$80,MATCH('Scenario Picker'!$B$3,'Growth Scenarios'!$F$2:$I$2,0)+1)/1000000000*VLOOKUP($A63,'Growth Scenarios'!$A$3:$D$80,MATCH('Scenario Picker'!$B$2,'Growth Scenarios'!$B$2:$D$2,0)+1)</f>
        <v>0</v>
      </c>
      <c r="P63" s="21">
        <f ca="1">(1-'Electrification Scenario'!H69)*VLOOKUP(H$3,'Static Parameters'!$A$3:$B$9,2)*VLOOKUP($A63,'Growth Scenarios'!$E$3:$I$80,MATCH('Scenario Picker'!$B$3,'Growth Scenarios'!$F$2:$I$2,0)+1)/1000000000*VLOOKUP($A63,'Growth Scenarios'!$A$3:$D$80,MATCH('Scenario Picker'!$B$2,'Growth Scenarios'!$B$2:$D$2,0)+1)</f>
        <v>53.869131093291763</v>
      </c>
      <c r="Q63" s="28">
        <f t="shared" ca="1" si="1"/>
        <v>63.838418341076277</v>
      </c>
      <c r="R63" s="28">
        <f t="shared" ca="1" si="2"/>
        <v>523.964749770401</v>
      </c>
    </row>
    <row r="64" spans="1:18" ht="15" x14ac:dyDescent="0.35">
      <c r="A64" s="31">
        <v>2082</v>
      </c>
      <c r="B64" s="25">
        <f ca="1">'Electrification Scenario'!B70*(1-'Electrification Scenario'!B$8*('Electrification Scenario'!B70-'Electrification Scenario'!B$4)/('Electrification Scenario'!B$5-'Electrification Scenario'!B$4))*VLOOKUP(B$3,'Static Parameters'!$A$3:$B$9,2)*VLOOKUP($A64,'Growth Scenarios'!$E$3:$I$80,MATCH('Scenario Picker'!$B$3,'Growth Scenarios'!$F$2:$I$2,0)+1)/1000000000*VLOOKUP($A64,'Growth Scenarios'!$A$3:$D$80,MATCH('Scenario Picker'!$B$2,'Growth Scenarios'!$B$2:$D$2,0)+1)</f>
        <v>8.0936352948417056</v>
      </c>
      <c r="C64" s="21">
        <f ca="1">'Electrification Scenario'!C70*(1-'Electrification Scenario'!C$8*('Electrification Scenario'!C70-'Electrification Scenario'!C$4)/('Electrification Scenario'!C$5-'Electrification Scenario'!C$4))*VLOOKUP(C$3,'Static Parameters'!$A$3:$B$9,2)*VLOOKUP($A64,'Growth Scenarios'!$E$3:$I$80,MATCH('Scenario Picker'!$B$3,'Growth Scenarios'!$F$2:$I$2,0)+1)/1000000000*VLOOKUP($A64,'Growth Scenarios'!$A$3:$D$80,MATCH('Scenario Picker'!$B$2,'Growth Scenarios'!$B$2:$D$2,0)+1)</f>
        <v>49.461104579588209</v>
      </c>
      <c r="D64" s="21">
        <f ca="1">'Electrification Scenario'!D70*(1-'Electrification Scenario'!D$8*('Electrification Scenario'!D70-'Electrification Scenario'!D$4)/('Electrification Scenario'!D$5-'Electrification Scenario'!D$4))*VLOOKUP(D$3,'Static Parameters'!$A$3:$B$9,2)*VLOOKUP($A64,'Growth Scenarios'!$E$3:$I$80,MATCH('Scenario Picker'!$B$3,'Growth Scenarios'!$F$2:$I$2,0)+1)/1000000000*VLOOKUP($A64,'Growth Scenarios'!$A$3:$D$80,MATCH('Scenario Picker'!$B$2,'Growth Scenarios'!$B$2:$D$2,0)+1)</f>
        <v>0.33723480395173777</v>
      </c>
      <c r="E64" s="21">
        <f ca="1">'Electrification Scenario'!E70*(1-'Electrification Scenario'!E$8*('Electrification Scenario'!E70-'Electrification Scenario'!E$4)/('Electrification Scenario'!E$5-'Electrification Scenario'!E$4))*VLOOKUP(E$3,'Static Parameters'!$A$3:$B$9,2)*VLOOKUP($A64,'Growth Scenarios'!$E$3:$I$80,MATCH('Scenario Picker'!$B$3,'Growth Scenarios'!$F$2:$I$2,0)+1)/1000000000*VLOOKUP($A64,'Growth Scenarios'!$A$3:$D$80,MATCH('Scenario Picker'!$B$2,'Growth Scenarios'!$B$2:$D$2,0)+1)</f>
        <v>189.41354821955937</v>
      </c>
      <c r="F64" s="21">
        <f ca="1">'Electrification Scenario'!F70*(1-'Electrification Scenario'!F$8*('Electrification Scenario'!F70-'Electrification Scenario'!F$4)/('Electrification Scenario'!F$5-'Electrification Scenario'!F$4))*VLOOKUP(F$3,'Static Parameters'!$A$3:$B$9,2)*VLOOKUP($A64,'Growth Scenarios'!$E$3:$I$80,MATCH('Scenario Picker'!$B$3,'Growth Scenarios'!$F$2:$I$2,0)+1)/1000000000*VLOOKUP($A64,'Growth Scenarios'!$A$3:$D$80,MATCH('Scenario Picker'!$B$2,'Growth Scenarios'!$B$2:$D$2,0)+1)</f>
        <v>7.1662395839744288</v>
      </c>
      <c r="G64" s="21">
        <f ca="1">'Electrification Scenario'!G70*(1-'Electrification Scenario'!G$8*('Electrification Scenario'!G70-'Electrification Scenario'!G$4)/('Electrification Scenario'!G$5-'Electrification Scenario'!G$4))*VLOOKUP(G$3,'Static Parameters'!$A$3:$B$9,2)*VLOOKUP($A64,'Growth Scenarios'!$E$3:$I$80,MATCH('Scenario Picker'!$B$3,'Growth Scenarios'!$F$2:$I$2,0)+1)/1000000000*VLOOKUP($A64,'Growth Scenarios'!$A$3:$D$80,MATCH('Scenario Picker'!$B$2,'Growth Scenarios'!$B$2:$D$2,0)+1)</f>
        <v>126.46305148190167</v>
      </c>
      <c r="H64" s="21">
        <f ca="1">'Electrification Scenario'!H70*(1-'Electrification Scenario'!H$8*('Electrification Scenario'!H70-'Electrification Scenario'!H$4)/('Electrification Scenario'!H$5-'Electrification Scenario'!H$4))*VLOOKUP(H$3,'Static Parameters'!$A$3:$B$9,2)*VLOOKUP($A64,'Growth Scenarios'!$E$3:$I$80,MATCH('Scenario Picker'!$B$3,'Growth Scenarios'!$F$2:$I$2,0)+1)/1000000000*VLOOKUP($A64,'Growth Scenarios'!$A$3:$D$80,MATCH('Scenario Picker'!$B$2,'Growth Scenarios'!$B$2:$D$2,0)+1)</f>
        <v>81.147124700886906</v>
      </c>
      <c r="I64" s="28">
        <f t="shared" ca="1" si="0"/>
        <v>462.08193866470401</v>
      </c>
      <c r="J64" s="25">
        <f ca="1">(1-'Electrification Scenario'!B70)*VLOOKUP(B$3,'Static Parameters'!$A$3:$B$9,2)*VLOOKUP($A64,'Growth Scenarios'!$E$3:$I$80,MATCH('Scenario Picker'!$B$3,'Growth Scenarios'!$F$2:$I$2,0)+1)/1000000000*VLOOKUP($A64,'Growth Scenarios'!$A$3:$D$80,MATCH('Scenario Picker'!$B$2,'Growth Scenarios'!$B$2:$D$2,0)+1)</f>
        <v>6.7446960790347559</v>
      </c>
      <c r="K64" s="21">
        <f ca="1">(1-'Electrification Scenario'!C70)*VLOOKUP(C$3,'Static Parameters'!$A$3:$B$9,2)*VLOOKUP($A64,'Growth Scenarios'!$E$3:$I$80,MATCH('Scenario Picker'!$B$3,'Growth Scenarios'!$F$2:$I$2,0)+1)/1000000000*VLOOKUP($A64,'Growth Scenarios'!$A$3:$D$80,MATCH('Scenario Picker'!$B$2,'Growth Scenarios'!$B$2:$D$2,0)+1)</f>
        <v>0</v>
      </c>
      <c r="L64" s="21">
        <f ca="1">(1-'Electrification Scenario'!D70)*VLOOKUP(D$3,'Static Parameters'!$A$3:$B$9,2)*VLOOKUP($A64,'Growth Scenarios'!$E$3:$I$80,MATCH('Scenario Picker'!$B$3,'Growth Scenarios'!$F$2:$I$2,0)+1)/1000000000*VLOOKUP($A64,'Growth Scenarios'!$A$3:$D$80,MATCH('Scenario Picker'!$B$2,'Growth Scenarios'!$B$2:$D$2,0)+1)</f>
        <v>0.28102900329311481</v>
      </c>
      <c r="M64" s="21">
        <f ca="1">(1-'Electrification Scenario'!E70)*VLOOKUP(E$3,'Static Parameters'!$A$3:$B$9,2)*VLOOKUP($A64,'Growth Scenarios'!$E$3:$I$80,MATCH('Scenario Picker'!$B$3,'Growth Scenarios'!$F$2:$I$2,0)+1)/1000000000*VLOOKUP($A64,'Growth Scenarios'!$A$3:$D$80,MATCH('Scenario Picker'!$B$2,'Growth Scenarios'!$B$2:$D$2,0)+1)</f>
        <v>0</v>
      </c>
      <c r="N64" s="21">
        <f ca="1">(1-'Electrification Scenario'!F70)*VLOOKUP(F$3,'Static Parameters'!$A$3:$B$9,2)*VLOOKUP($A64,'Growth Scenarios'!$E$3:$I$80,MATCH('Scenario Picker'!$B$3,'Growth Scenarios'!$F$2:$I$2,0)+1)/1000000000*VLOOKUP($A64,'Growth Scenarios'!$A$3:$D$80,MATCH('Scenario Picker'!$B$2,'Growth Scenarios'!$B$2:$D$2,0)+1)</f>
        <v>2.9859331599893451</v>
      </c>
      <c r="O64" s="21">
        <f ca="1">(1-'Electrification Scenario'!G70)*VLOOKUP(G$3,'Static Parameters'!$A$3:$B$9,2)*VLOOKUP($A64,'Growth Scenarios'!$E$3:$I$80,MATCH('Scenario Picker'!$B$3,'Growth Scenarios'!$F$2:$I$2,0)+1)/1000000000*VLOOKUP($A64,'Growth Scenarios'!$A$3:$D$80,MATCH('Scenario Picker'!$B$2,'Growth Scenarios'!$B$2:$D$2,0)+1)</f>
        <v>0</v>
      </c>
      <c r="P64" s="21">
        <f ca="1">(1-'Electrification Scenario'!H70)*VLOOKUP(H$3,'Static Parameters'!$A$3:$B$9,2)*VLOOKUP($A64,'Growth Scenarios'!$E$3:$I$80,MATCH('Scenario Picker'!$B$3,'Growth Scenarios'!$F$2:$I$2,0)+1)/1000000000*VLOOKUP($A64,'Growth Scenarios'!$A$3:$D$80,MATCH('Scenario Picker'!$B$2,'Growth Scenarios'!$B$2:$D$2,0)+1)</f>
        <v>54.098083133924604</v>
      </c>
      <c r="Q64" s="28">
        <f t="shared" ca="1" si="1"/>
        <v>64.109741376241814</v>
      </c>
      <c r="R64" s="28">
        <f t="shared" ca="1" si="2"/>
        <v>526.19168004094581</v>
      </c>
    </row>
    <row r="65" spans="1:18" ht="15" x14ac:dyDescent="0.35">
      <c r="A65" s="31">
        <v>2083</v>
      </c>
      <c r="B65" s="25">
        <f ca="1">'Electrification Scenario'!B71*(1-'Electrification Scenario'!B$8*('Electrification Scenario'!B71-'Electrification Scenario'!B$4)/('Electrification Scenario'!B$5-'Electrification Scenario'!B$4))*VLOOKUP(B$3,'Static Parameters'!$A$3:$B$9,2)*VLOOKUP($A65,'Growth Scenarios'!$E$3:$I$80,MATCH('Scenario Picker'!$B$3,'Growth Scenarios'!$F$2:$I$2,0)+1)/1000000000*VLOOKUP($A65,'Growth Scenarios'!$A$3:$D$80,MATCH('Scenario Picker'!$B$2,'Growth Scenarios'!$B$2:$D$2,0)+1)</f>
        <v>8.1253986850170801</v>
      </c>
      <c r="C65" s="21">
        <f ca="1">'Electrification Scenario'!C71*(1-'Electrification Scenario'!C$8*('Electrification Scenario'!C71-'Electrification Scenario'!C$4)/('Electrification Scenario'!C$5-'Electrification Scenario'!C$4))*VLOOKUP(C$3,'Static Parameters'!$A$3:$B$9,2)*VLOOKUP($A65,'Growth Scenarios'!$E$3:$I$80,MATCH('Scenario Picker'!$B$3,'Growth Scenarios'!$F$2:$I$2,0)+1)/1000000000*VLOOKUP($A65,'Growth Scenarios'!$A$3:$D$80,MATCH('Scenario Picker'!$B$2,'Growth Scenarios'!$B$2:$D$2,0)+1)</f>
        <v>49.655214186215503</v>
      </c>
      <c r="D65" s="21">
        <f ca="1">'Electrification Scenario'!D71*(1-'Electrification Scenario'!D$8*('Electrification Scenario'!D71-'Electrification Scenario'!D$4)/('Electrification Scenario'!D$5-'Electrification Scenario'!D$4))*VLOOKUP(D$3,'Static Parameters'!$A$3:$B$9,2)*VLOOKUP($A65,'Growth Scenarios'!$E$3:$I$80,MATCH('Scenario Picker'!$B$3,'Growth Scenarios'!$F$2:$I$2,0)+1)/1000000000*VLOOKUP($A65,'Growth Scenarios'!$A$3:$D$80,MATCH('Scenario Picker'!$B$2,'Growth Scenarios'!$B$2:$D$2,0)+1)</f>
        <v>0.33855827854237835</v>
      </c>
      <c r="E65" s="21">
        <f ca="1">'Electrification Scenario'!E71*(1-'Electrification Scenario'!E$8*('Electrification Scenario'!E71-'Electrification Scenario'!E$4)/('Electrification Scenario'!E$5-'Electrification Scenario'!E$4))*VLOOKUP(E$3,'Static Parameters'!$A$3:$B$9,2)*VLOOKUP($A65,'Growth Scenarios'!$E$3:$I$80,MATCH('Scenario Picker'!$B$3,'Growth Scenarios'!$F$2:$I$2,0)+1)/1000000000*VLOOKUP($A65,'Growth Scenarios'!$A$3:$D$80,MATCH('Scenario Picker'!$B$2,'Growth Scenarios'!$B$2:$D$2,0)+1)</f>
        <v>190.15689978130254</v>
      </c>
      <c r="F65" s="21">
        <f ca="1">'Electrification Scenario'!F71*(1-'Electrification Scenario'!F$8*('Electrification Scenario'!F71-'Electrification Scenario'!F$4)/('Electrification Scenario'!F$5-'Electrification Scenario'!F$4))*VLOOKUP(F$3,'Static Parameters'!$A$3:$B$9,2)*VLOOKUP($A65,'Growth Scenarios'!$E$3:$I$80,MATCH('Scenario Picker'!$B$3,'Growth Scenarios'!$F$2:$I$2,0)+1)/1000000000*VLOOKUP($A65,'Growth Scenarios'!$A$3:$D$80,MATCH('Scenario Picker'!$B$2,'Growth Scenarios'!$B$2:$D$2,0)+1)</f>
        <v>7.1943634190255414</v>
      </c>
      <c r="G65" s="21">
        <f ca="1">'Electrification Scenario'!G71*(1-'Electrification Scenario'!G$8*('Electrification Scenario'!G71-'Electrification Scenario'!G$4)/('Electrification Scenario'!G$5-'Electrification Scenario'!G$4))*VLOOKUP(G$3,'Static Parameters'!$A$3:$B$9,2)*VLOOKUP($A65,'Growth Scenarios'!$E$3:$I$80,MATCH('Scenario Picker'!$B$3,'Growth Scenarios'!$F$2:$I$2,0)+1)/1000000000*VLOOKUP($A65,'Growth Scenarios'!$A$3:$D$80,MATCH('Scenario Picker'!$B$2,'Growth Scenarios'!$B$2:$D$2,0)+1)</f>
        <v>126.95935445339191</v>
      </c>
      <c r="H65" s="21">
        <f ca="1">'Electrification Scenario'!H71*(1-'Electrification Scenario'!H$8*('Electrification Scenario'!H71-'Electrification Scenario'!H$4)/('Electrification Scenario'!H$5-'Electrification Scenario'!H$4))*VLOOKUP(H$3,'Static Parameters'!$A$3:$B$9,2)*VLOOKUP($A65,'Growth Scenarios'!$E$3:$I$80,MATCH('Scenario Picker'!$B$3,'Growth Scenarios'!$F$2:$I$2,0)+1)/1000000000*VLOOKUP($A65,'Growth Scenarios'!$A$3:$D$80,MATCH('Scenario Picker'!$B$2,'Growth Scenarios'!$B$2:$D$2,0)+1)</f>
        <v>81.465585774259807</v>
      </c>
      <c r="I65" s="28">
        <f t="shared" ca="1" si="0"/>
        <v>463.89537457775475</v>
      </c>
      <c r="J65" s="25">
        <f ca="1">(1-'Electrification Scenario'!B71)*VLOOKUP(B$3,'Static Parameters'!$A$3:$B$9,2)*VLOOKUP($A65,'Growth Scenarios'!$E$3:$I$80,MATCH('Scenario Picker'!$B$3,'Growth Scenarios'!$F$2:$I$2,0)+1)/1000000000*VLOOKUP($A65,'Growth Scenarios'!$A$3:$D$80,MATCH('Scenario Picker'!$B$2,'Growth Scenarios'!$B$2:$D$2,0)+1)</f>
        <v>6.7711655708475682</v>
      </c>
      <c r="K65" s="21">
        <f ca="1">(1-'Electrification Scenario'!C71)*VLOOKUP(C$3,'Static Parameters'!$A$3:$B$9,2)*VLOOKUP($A65,'Growth Scenarios'!$E$3:$I$80,MATCH('Scenario Picker'!$B$3,'Growth Scenarios'!$F$2:$I$2,0)+1)/1000000000*VLOOKUP($A65,'Growth Scenarios'!$A$3:$D$80,MATCH('Scenario Picker'!$B$2,'Growth Scenarios'!$B$2:$D$2,0)+1)</f>
        <v>0</v>
      </c>
      <c r="L65" s="21">
        <f ca="1">(1-'Electrification Scenario'!D71)*VLOOKUP(D$3,'Static Parameters'!$A$3:$B$9,2)*VLOOKUP($A65,'Growth Scenarios'!$E$3:$I$80,MATCH('Scenario Picker'!$B$3,'Growth Scenarios'!$F$2:$I$2,0)+1)/1000000000*VLOOKUP($A65,'Growth Scenarios'!$A$3:$D$80,MATCH('Scenario Picker'!$B$2,'Growth Scenarios'!$B$2:$D$2,0)+1)</f>
        <v>0.2821318987853153</v>
      </c>
      <c r="M65" s="21">
        <f ca="1">(1-'Electrification Scenario'!E71)*VLOOKUP(E$3,'Static Parameters'!$A$3:$B$9,2)*VLOOKUP($A65,'Growth Scenarios'!$E$3:$I$80,MATCH('Scenario Picker'!$B$3,'Growth Scenarios'!$F$2:$I$2,0)+1)/1000000000*VLOOKUP($A65,'Growth Scenarios'!$A$3:$D$80,MATCH('Scenario Picker'!$B$2,'Growth Scenarios'!$B$2:$D$2,0)+1)</f>
        <v>0</v>
      </c>
      <c r="N65" s="21">
        <f ca="1">(1-'Electrification Scenario'!F71)*VLOOKUP(F$3,'Static Parameters'!$A$3:$B$9,2)*VLOOKUP($A65,'Growth Scenarios'!$E$3:$I$80,MATCH('Scenario Picker'!$B$3,'Growth Scenarios'!$F$2:$I$2,0)+1)/1000000000*VLOOKUP($A65,'Growth Scenarios'!$A$3:$D$80,MATCH('Scenario Picker'!$B$2,'Growth Scenarios'!$B$2:$D$2,0)+1)</f>
        <v>2.9976514245939754</v>
      </c>
      <c r="O65" s="21">
        <f ca="1">(1-'Electrification Scenario'!G71)*VLOOKUP(G$3,'Static Parameters'!$A$3:$B$9,2)*VLOOKUP($A65,'Growth Scenarios'!$E$3:$I$80,MATCH('Scenario Picker'!$B$3,'Growth Scenarios'!$F$2:$I$2,0)+1)/1000000000*VLOOKUP($A65,'Growth Scenarios'!$A$3:$D$80,MATCH('Scenario Picker'!$B$2,'Growth Scenarios'!$B$2:$D$2,0)+1)</f>
        <v>0</v>
      </c>
      <c r="P65" s="21">
        <f ca="1">(1-'Electrification Scenario'!H71)*VLOOKUP(H$3,'Static Parameters'!$A$3:$B$9,2)*VLOOKUP($A65,'Growth Scenarios'!$E$3:$I$80,MATCH('Scenario Picker'!$B$3,'Growth Scenarios'!$F$2:$I$2,0)+1)/1000000000*VLOOKUP($A65,'Growth Scenarios'!$A$3:$D$80,MATCH('Scenario Picker'!$B$2,'Growth Scenarios'!$B$2:$D$2,0)+1)</f>
        <v>54.310390516173207</v>
      </c>
      <c r="Q65" s="28">
        <f t="shared" ca="1" si="1"/>
        <v>64.361339410400063</v>
      </c>
      <c r="R65" s="28">
        <f t="shared" ca="1" si="2"/>
        <v>528.25671398815484</v>
      </c>
    </row>
    <row r="66" spans="1:18" ht="15" x14ac:dyDescent="0.35">
      <c r="A66" s="31">
        <v>2084</v>
      </c>
      <c r="B66" s="25">
        <f ca="1">'Electrification Scenario'!B72*(1-'Electrification Scenario'!B$8*('Electrification Scenario'!B72-'Electrification Scenario'!B$4)/('Electrification Scenario'!B$5-'Electrification Scenario'!B$4))*VLOOKUP(B$3,'Static Parameters'!$A$3:$B$9,2)*VLOOKUP($A66,'Growth Scenarios'!$E$3:$I$80,MATCH('Scenario Picker'!$B$3,'Growth Scenarios'!$F$2:$I$2,0)+1)/1000000000*VLOOKUP($A66,'Growth Scenarios'!$A$3:$D$80,MATCH('Scenario Picker'!$B$2,'Growth Scenarios'!$B$2:$D$2,0)+1)</f>
        <v>8.1546600484215439</v>
      </c>
      <c r="C66" s="21">
        <f ca="1">'Electrification Scenario'!C72*(1-'Electrification Scenario'!C$8*('Electrification Scenario'!C72-'Electrification Scenario'!C$4)/('Electrification Scenario'!C$5-'Electrification Scenario'!C$4))*VLOOKUP(C$3,'Static Parameters'!$A$3:$B$9,2)*VLOOKUP($A66,'Growth Scenarios'!$E$3:$I$80,MATCH('Scenario Picker'!$B$3,'Growth Scenarios'!$F$2:$I$2,0)+1)/1000000000*VLOOKUP($A66,'Growth Scenarios'!$A$3:$D$80,MATCH('Scenario Picker'!$B$2,'Growth Scenarios'!$B$2:$D$2,0)+1)</f>
        <v>49.834033629242782</v>
      </c>
      <c r="D66" s="21">
        <f ca="1">'Electrification Scenario'!D72*(1-'Electrification Scenario'!D$8*('Electrification Scenario'!D72-'Electrification Scenario'!D$4)/('Electrification Scenario'!D$5-'Electrification Scenario'!D$4))*VLOOKUP(D$3,'Static Parameters'!$A$3:$B$9,2)*VLOOKUP($A66,'Growth Scenarios'!$E$3:$I$80,MATCH('Scenario Picker'!$B$3,'Growth Scenarios'!$F$2:$I$2,0)+1)/1000000000*VLOOKUP($A66,'Growth Scenarios'!$A$3:$D$80,MATCH('Scenario Picker'!$B$2,'Growth Scenarios'!$B$2:$D$2,0)+1)</f>
        <v>0.3397775020175644</v>
      </c>
      <c r="E66" s="21">
        <f ca="1">'Electrification Scenario'!E72*(1-'Electrification Scenario'!E$8*('Electrification Scenario'!E72-'Electrification Scenario'!E$4)/('Electrification Scenario'!E$5-'Electrification Scenario'!E$4))*VLOOKUP(E$3,'Static Parameters'!$A$3:$B$9,2)*VLOOKUP($A66,'Growth Scenarios'!$E$3:$I$80,MATCH('Scenario Picker'!$B$3,'Growth Scenarios'!$F$2:$I$2,0)+1)/1000000000*VLOOKUP($A66,'Growth Scenarios'!$A$3:$D$80,MATCH('Scenario Picker'!$B$2,'Growth Scenarios'!$B$2:$D$2,0)+1)</f>
        <v>190.841696966532</v>
      </c>
      <c r="F66" s="21">
        <f ca="1">'Electrification Scenario'!F72*(1-'Electrification Scenario'!F$8*('Electrification Scenario'!F72-'Electrification Scenario'!F$4)/('Electrification Scenario'!F$5-'Electrification Scenario'!F$4))*VLOOKUP(F$3,'Static Parameters'!$A$3:$B$9,2)*VLOOKUP($A66,'Growth Scenarios'!$E$3:$I$80,MATCH('Scenario Picker'!$B$3,'Growth Scenarios'!$F$2:$I$2,0)+1)/1000000000*VLOOKUP($A66,'Growth Scenarios'!$A$3:$D$80,MATCH('Scenario Picker'!$B$2,'Growth Scenarios'!$B$2:$D$2,0)+1)</f>
        <v>7.2202719178732453</v>
      </c>
      <c r="G66" s="21">
        <f ca="1">'Electrification Scenario'!G72*(1-'Electrification Scenario'!G$8*('Electrification Scenario'!G72-'Electrification Scenario'!G$4)/('Electrification Scenario'!G$5-'Electrification Scenario'!G$4))*VLOOKUP(G$3,'Static Parameters'!$A$3:$B$9,2)*VLOOKUP($A66,'Growth Scenarios'!$E$3:$I$80,MATCH('Scenario Picker'!$B$3,'Growth Scenarios'!$F$2:$I$2,0)+1)/1000000000*VLOOKUP($A66,'Growth Scenarios'!$A$3:$D$80,MATCH('Scenario Picker'!$B$2,'Growth Scenarios'!$B$2:$D$2,0)+1)</f>
        <v>127.41656325658667</v>
      </c>
      <c r="H66" s="21">
        <f ca="1">'Electrification Scenario'!H72*(1-'Electrification Scenario'!H$8*('Electrification Scenario'!H72-'Electrification Scenario'!H$4)/('Electrification Scenario'!H$5-'Electrification Scenario'!H$4))*VLOOKUP(H$3,'Static Parameters'!$A$3:$B$9,2)*VLOOKUP($A66,'Growth Scenarios'!$E$3:$I$80,MATCH('Scenario Picker'!$B$3,'Growth Scenarios'!$F$2:$I$2,0)+1)/1000000000*VLOOKUP($A66,'Growth Scenarios'!$A$3:$D$80,MATCH('Scenario Picker'!$B$2,'Growth Scenarios'!$B$2:$D$2,0)+1)</f>
        <v>81.758961422976427</v>
      </c>
      <c r="I66" s="28">
        <f t="shared" ca="1" si="0"/>
        <v>465.56596474365017</v>
      </c>
      <c r="J66" s="25">
        <f ca="1">(1-'Electrification Scenario'!B72)*VLOOKUP(B$3,'Static Parameters'!$A$3:$B$9,2)*VLOOKUP($A66,'Growth Scenarios'!$E$3:$I$80,MATCH('Scenario Picker'!$B$3,'Growth Scenarios'!$F$2:$I$2,0)+1)/1000000000*VLOOKUP($A66,'Growth Scenarios'!$A$3:$D$80,MATCH('Scenario Picker'!$B$2,'Growth Scenarios'!$B$2:$D$2,0)+1)</f>
        <v>6.795550040351289</v>
      </c>
      <c r="K66" s="21">
        <f ca="1">(1-'Electrification Scenario'!C72)*VLOOKUP(C$3,'Static Parameters'!$A$3:$B$9,2)*VLOOKUP($A66,'Growth Scenarios'!$E$3:$I$80,MATCH('Scenario Picker'!$B$3,'Growth Scenarios'!$F$2:$I$2,0)+1)/1000000000*VLOOKUP($A66,'Growth Scenarios'!$A$3:$D$80,MATCH('Scenario Picker'!$B$2,'Growth Scenarios'!$B$2:$D$2,0)+1)</f>
        <v>0</v>
      </c>
      <c r="L66" s="21">
        <f ca="1">(1-'Electrification Scenario'!D72)*VLOOKUP(D$3,'Static Parameters'!$A$3:$B$9,2)*VLOOKUP($A66,'Growth Scenarios'!$E$3:$I$80,MATCH('Scenario Picker'!$B$3,'Growth Scenarios'!$F$2:$I$2,0)+1)/1000000000*VLOOKUP($A66,'Growth Scenarios'!$A$3:$D$80,MATCH('Scenario Picker'!$B$2,'Growth Scenarios'!$B$2:$D$2,0)+1)</f>
        <v>0.28314791834797032</v>
      </c>
      <c r="M66" s="21">
        <f ca="1">(1-'Electrification Scenario'!E72)*VLOOKUP(E$3,'Static Parameters'!$A$3:$B$9,2)*VLOOKUP($A66,'Growth Scenarios'!$E$3:$I$80,MATCH('Scenario Picker'!$B$3,'Growth Scenarios'!$F$2:$I$2,0)+1)/1000000000*VLOOKUP($A66,'Growth Scenarios'!$A$3:$D$80,MATCH('Scenario Picker'!$B$2,'Growth Scenarios'!$B$2:$D$2,0)+1)</f>
        <v>0</v>
      </c>
      <c r="N66" s="21">
        <f ca="1">(1-'Electrification Scenario'!F72)*VLOOKUP(F$3,'Static Parameters'!$A$3:$B$9,2)*VLOOKUP($A66,'Growth Scenarios'!$E$3:$I$80,MATCH('Scenario Picker'!$B$3,'Growth Scenarios'!$F$2:$I$2,0)+1)/1000000000*VLOOKUP($A66,'Growth Scenarios'!$A$3:$D$80,MATCH('Scenario Picker'!$B$2,'Growth Scenarios'!$B$2:$D$2,0)+1)</f>
        <v>3.008446632447185</v>
      </c>
      <c r="O66" s="21">
        <f ca="1">(1-'Electrification Scenario'!G72)*VLOOKUP(G$3,'Static Parameters'!$A$3:$B$9,2)*VLOOKUP($A66,'Growth Scenarios'!$E$3:$I$80,MATCH('Scenario Picker'!$B$3,'Growth Scenarios'!$F$2:$I$2,0)+1)/1000000000*VLOOKUP($A66,'Growth Scenarios'!$A$3:$D$80,MATCH('Scenario Picker'!$B$2,'Growth Scenarios'!$B$2:$D$2,0)+1)</f>
        <v>0</v>
      </c>
      <c r="P66" s="21">
        <f ca="1">(1-'Electrification Scenario'!H72)*VLOOKUP(H$3,'Static Parameters'!$A$3:$B$9,2)*VLOOKUP($A66,'Growth Scenarios'!$E$3:$I$80,MATCH('Scenario Picker'!$B$3,'Growth Scenarios'!$F$2:$I$2,0)+1)/1000000000*VLOOKUP($A66,'Growth Scenarios'!$A$3:$D$80,MATCH('Scenario Picker'!$B$2,'Growth Scenarios'!$B$2:$D$2,0)+1)</f>
        <v>54.505974281984287</v>
      </c>
      <c r="Q66" s="28">
        <f t="shared" ca="1" si="1"/>
        <v>64.593118873130734</v>
      </c>
      <c r="R66" s="28">
        <f t="shared" ca="1" si="2"/>
        <v>530.15908361678089</v>
      </c>
    </row>
    <row r="67" spans="1:18" ht="15" x14ac:dyDescent="0.35">
      <c r="A67" s="31">
        <v>2085</v>
      </c>
      <c r="B67" s="25">
        <f ca="1">'Electrification Scenario'!B73*(1-'Electrification Scenario'!B$8*('Electrification Scenario'!B73-'Electrification Scenario'!B$4)/('Electrification Scenario'!B$5-'Electrification Scenario'!B$4))*VLOOKUP(B$3,'Static Parameters'!$A$3:$B$9,2)*VLOOKUP($A67,'Growth Scenarios'!$E$3:$I$80,MATCH('Scenario Picker'!$B$3,'Growth Scenarios'!$F$2:$I$2,0)+1)/1000000000*VLOOKUP($A67,'Growth Scenarios'!$A$3:$D$80,MATCH('Scenario Picker'!$B$2,'Growth Scenarios'!$B$2:$D$2,0)+1)</f>
        <v>8.1815029208707877</v>
      </c>
      <c r="C67" s="21">
        <f ca="1">'Electrification Scenario'!C73*(1-'Electrification Scenario'!C$8*('Electrification Scenario'!C73-'Electrification Scenario'!C$4)/('Electrification Scenario'!C$5-'Electrification Scenario'!C$4))*VLOOKUP(C$3,'Static Parameters'!$A$3:$B$9,2)*VLOOKUP($A67,'Growth Scenarios'!$E$3:$I$80,MATCH('Scenario Picker'!$B$3,'Growth Scenarios'!$F$2:$I$2,0)+1)/1000000000*VLOOKUP($A67,'Growth Scenarios'!$A$3:$D$80,MATCH('Scenario Picker'!$B$2,'Growth Scenarios'!$B$2:$D$2,0)+1)</f>
        <v>49.998073405321499</v>
      </c>
      <c r="D67" s="21">
        <f ca="1">'Electrification Scenario'!D73*(1-'Electrification Scenario'!D$8*('Electrification Scenario'!D73-'Electrification Scenario'!D$4)/('Electrification Scenario'!D$5-'Electrification Scenario'!D$4))*VLOOKUP(D$3,'Static Parameters'!$A$3:$B$9,2)*VLOOKUP($A67,'Growth Scenarios'!$E$3:$I$80,MATCH('Scenario Picker'!$B$3,'Growth Scenarios'!$F$2:$I$2,0)+1)/1000000000*VLOOKUP($A67,'Growth Scenarios'!$A$3:$D$80,MATCH('Scenario Picker'!$B$2,'Growth Scenarios'!$B$2:$D$2,0)+1)</f>
        <v>0.34089595503628289</v>
      </c>
      <c r="E67" s="21">
        <f ca="1">'Electrification Scenario'!E73*(1-'Electrification Scenario'!E$8*('Electrification Scenario'!E73-'Electrification Scenario'!E$4)/('Electrification Scenario'!E$5-'Electrification Scenario'!E$4))*VLOOKUP(E$3,'Static Parameters'!$A$3:$B$9,2)*VLOOKUP($A67,'Growth Scenarios'!$E$3:$I$80,MATCH('Scenario Picker'!$B$3,'Growth Scenarios'!$F$2:$I$2,0)+1)/1000000000*VLOOKUP($A67,'Growth Scenarios'!$A$3:$D$80,MATCH('Scenario Picker'!$B$2,'Growth Scenarios'!$B$2:$D$2,0)+1)</f>
        <v>191.46989474537889</v>
      </c>
      <c r="F67" s="21">
        <f ca="1">'Electrification Scenario'!F73*(1-'Electrification Scenario'!F$8*('Electrification Scenario'!F73-'Electrification Scenario'!F$4)/('Electrification Scenario'!F$5-'Electrification Scenario'!F$4))*VLOOKUP(F$3,'Static Parameters'!$A$3:$B$9,2)*VLOOKUP($A67,'Growth Scenarios'!$E$3:$I$80,MATCH('Scenario Picker'!$B$3,'Growth Scenarios'!$F$2:$I$2,0)+1)/1000000000*VLOOKUP($A67,'Growth Scenarios'!$A$3:$D$80,MATCH('Scenario Picker'!$B$2,'Growth Scenarios'!$B$2:$D$2,0)+1)</f>
        <v>7.2440390445210134</v>
      </c>
      <c r="G67" s="21">
        <f ca="1">'Electrification Scenario'!G73*(1-'Electrification Scenario'!G$8*('Electrification Scenario'!G73-'Electrification Scenario'!G$4)/('Electrification Scenario'!G$5-'Electrification Scenario'!G$4))*VLOOKUP(G$3,'Static Parameters'!$A$3:$B$9,2)*VLOOKUP($A67,'Growth Scenarios'!$E$3:$I$80,MATCH('Scenario Picker'!$B$3,'Growth Scenarios'!$F$2:$I$2,0)+1)/1000000000*VLOOKUP($A67,'Growth Scenarios'!$A$3:$D$80,MATCH('Scenario Picker'!$B$2,'Growth Scenarios'!$B$2:$D$2,0)+1)</f>
        <v>127.8359831386061</v>
      </c>
      <c r="H67" s="21">
        <f ca="1">'Electrification Scenario'!H73*(1-'Electrification Scenario'!H$8*('Electrification Scenario'!H73-'Electrification Scenario'!H$4)/('Electrification Scenario'!H$5-'Electrification Scenario'!H$4))*VLOOKUP(H$3,'Static Parameters'!$A$3:$B$9,2)*VLOOKUP($A67,'Growth Scenarios'!$E$3:$I$80,MATCH('Scenario Picker'!$B$3,'Growth Scenarios'!$F$2:$I$2,0)+1)/1000000000*VLOOKUP($A67,'Growth Scenarios'!$A$3:$D$80,MATCH('Scenario Picker'!$B$2,'Growth Scenarios'!$B$2:$D$2,0)+1)</f>
        <v>82.028089180605562</v>
      </c>
      <c r="I67" s="28">
        <f t="shared" ca="1" si="0"/>
        <v>467.09847839034012</v>
      </c>
      <c r="J67" s="25">
        <f ca="1">(1-'Electrification Scenario'!B73)*VLOOKUP(B$3,'Static Parameters'!$A$3:$B$9,2)*VLOOKUP($A67,'Growth Scenarios'!$E$3:$I$80,MATCH('Scenario Picker'!$B$3,'Growth Scenarios'!$F$2:$I$2,0)+1)/1000000000*VLOOKUP($A67,'Growth Scenarios'!$A$3:$D$80,MATCH('Scenario Picker'!$B$2,'Growth Scenarios'!$B$2:$D$2,0)+1)</f>
        <v>6.8179191007256579</v>
      </c>
      <c r="K67" s="21">
        <f ca="1">(1-'Electrification Scenario'!C73)*VLOOKUP(C$3,'Static Parameters'!$A$3:$B$9,2)*VLOOKUP($A67,'Growth Scenarios'!$E$3:$I$80,MATCH('Scenario Picker'!$B$3,'Growth Scenarios'!$F$2:$I$2,0)+1)/1000000000*VLOOKUP($A67,'Growth Scenarios'!$A$3:$D$80,MATCH('Scenario Picker'!$B$2,'Growth Scenarios'!$B$2:$D$2,0)+1)</f>
        <v>0</v>
      </c>
      <c r="L67" s="21">
        <f ca="1">(1-'Electrification Scenario'!D73)*VLOOKUP(D$3,'Static Parameters'!$A$3:$B$9,2)*VLOOKUP($A67,'Growth Scenarios'!$E$3:$I$80,MATCH('Scenario Picker'!$B$3,'Growth Scenarios'!$F$2:$I$2,0)+1)/1000000000*VLOOKUP($A67,'Growth Scenarios'!$A$3:$D$80,MATCH('Scenario Picker'!$B$2,'Growth Scenarios'!$B$2:$D$2,0)+1)</f>
        <v>0.28407996253023576</v>
      </c>
      <c r="M67" s="21">
        <f ca="1">(1-'Electrification Scenario'!E73)*VLOOKUP(E$3,'Static Parameters'!$A$3:$B$9,2)*VLOOKUP($A67,'Growth Scenarios'!$E$3:$I$80,MATCH('Scenario Picker'!$B$3,'Growth Scenarios'!$F$2:$I$2,0)+1)/1000000000*VLOOKUP($A67,'Growth Scenarios'!$A$3:$D$80,MATCH('Scenario Picker'!$B$2,'Growth Scenarios'!$B$2:$D$2,0)+1)</f>
        <v>0</v>
      </c>
      <c r="N67" s="21">
        <f ca="1">(1-'Electrification Scenario'!F73)*VLOOKUP(F$3,'Static Parameters'!$A$3:$B$9,2)*VLOOKUP($A67,'Growth Scenarios'!$E$3:$I$80,MATCH('Scenario Picker'!$B$3,'Growth Scenarios'!$F$2:$I$2,0)+1)/1000000000*VLOOKUP($A67,'Growth Scenarios'!$A$3:$D$80,MATCH('Scenario Picker'!$B$2,'Growth Scenarios'!$B$2:$D$2,0)+1)</f>
        <v>3.0183496018837546</v>
      </c>
      <c r="O67" s="21">
        <f ca="1">(1-'Electrification Scenario'!G73)*VLOOKUP(G$3,'Static Parameters'!$A$3:$B$9,2)*VLOOKUP($A67,'Growth Scenarios'!$E$3:$I$80,MATCH('Scenario Picker'!$B$3,'Growth Scenarios'!$F$2:$I$2,0)+1)/1000000000*VLOOKUP($A67,'Growth Scenarios'!$A$3:$D$80,MATCH('Scenario Picker'!$B$2,'Growth Scenarios'!$B$2:$D$2,0)+1)</f>
        <v>0</v>
      </c>
      <c r="P67" s="21">
        <f ca="1">(1-'Electrification Scenario'!H73)*VLOOKUP(H$3,'Static Parameters'!$A$3:$B$9,2)*VLOOKUP($A67,'Growth Scenarios'!$E$3:$I$80,MATCH('Scenario Picker'!$B$3,'Growth Scenarios'!$F$2:$I$2,0)+1)/1000000000*VLOOKUP($A67,'Growth Scenarios'!$A$3:$D$80,MATCH('Scenario Picker'!$B$2,'Growth Scenarios'!$B$2:$D$2,0)+1)</f>
        <v>54.68539278707037</v>
      </c>
      <c r="Q67" s="28">
        <f t="shared" ca="1" si="1"/>
        <v>64.805741452210015</v>
      </c>
      <c r="R67" s="28">
        <f t="shared" ca="1" si="2"/>
        <v>531.90421984255011</v>
      </c>
    </row>
    <row r="68" spans="1:18" ht="15" x14ac:dyDescent="0.35">
      <c r="A68" s="31">
        <v>2086</v>
      </c>
      <c r="B68" s="25">
        <f ca="1">'Electrification Scenario'!B74*(1-'Electrification Scenario'!B$8*('Electrification Scenario'!B74-'Electrification Scenario'!B$4)/('Electrification Scenario'!B$5-'Electrification Scenario'!B$4))*VLOOKUP(B$3,'Static Parameters'!$A$3:$B$9,2)*VLOOKUP($A68,'Growth Scenarios'!$E$3:$I$80,MATCH('Scenario Picker'!$B$3,'Growth Scenarios'!$F$2:$I$2,0)+1)/1000000000*VLOOKUP($A68,'Growth Scenarios'!$A$3:$D$80,MATCH('Scenario Picker'!$B$2,'Growth Scenarios'!$B$2:$D$2,0)+1)</f>
        <v>8.2059650686095544</v>
      </c>
      <c r="C68" s="21">
        <f ca="1">'Electrification Scenario'!C74*(1-'Electrification Scenario'!C$8*('Electrification Scenario'!C74-'Electrification Scenario'!C$4)/('Electrification Scenario'!C$5-'Electrification Scenario'!C$4))*VLOOKUP(C$3,'Static Parameters'!$A$3:$B$9,2)*VLOOKUP($A68,'Growth Scenarios'!$E$3:$I$80,MATCH('Scenario Picker'!$B$3,'Growth Scenarios'!$F$2:$I$2,0)+1)/1000000000*VLOOKUP($A68,'Growth Scenarios'!$A$3:$D$80,MATCH('Scenario Picker'!$B$2,'Growth Scenarios'!$B$2:$D$2,0)+1)</f>
        <v>50.147564308169507</v>
      </c>
      <c r="D68" s="21">
        <f ca="1">'Electrification Scenario'!D74*(1-'Electrification Scenario'!D$8*('Electrification Scenario'!D74-'Electrification Scenario'!D$4)/('Electrification Scenario'!D$5-'Electrification Scenario'!D$4))*VLOOKUP(D$3,'Static Parameters'!$A$3:$B$9,2)*VLOOKUP($A68,'Growth Scenarios'!$E$3:$I$80,MATCH('Scenario Picker'!$B$3,'Growth Scenarios'!$F$2:$I$2,0)+1)/1000000000*VLOOKUP($A68,'Growth Scenarios'!$A$3:$D$80,MATCH('Scenario Picker'!$B$2,'Growth Scenarios'!$B$2:$D$2,0)+1)</f>
        <v>0.34191521119206481</v>
      </c>
      <c r="E68" s="21">
        <f ca="1">'Electrification Scenario'!E74*(1-'Electrification Scenario'!E$8*('Electrification Scenario'!E74-'Electrification Scenario'!E$4)/('Electrification Scenario'!E$5-'Electrification Scenario'!E$4))*VLOOKUP(E$3,'Static Parameters'!$A$3:$B$9,2)*VLOOKUP($A68,'Growth Scenarios'!$E$3:$I$80,MATCH('Scenario Picker'!$B$3,'Growth Scenarios'!$F$2:$I$2,0)+1)/1000000000*VLOOKUP($A68,'Growth Scenarios'!$A$3:$D$80,MATCH('Scenario Picker'!$B$2,'Growth Scenarios'!$B$2:$D$2,0)+1)</f>
        <v>192.04237695287637</v>
      </c>
      <c r="F68" s="21">
        <f ca="1">'Electrification Scenario'!F74*(1-'Electrification Scenario'!F$8*('Electrification Scenario'!F74-'Electrification Scenario'!F$4)/('Electrification Scenario'!F$5-'Electrification Scenario'!F$4))*VLOOKUP(F$3,'Static Parameters'!$A$3:$B$9,2)*VLOOKUP($A68,'Growth Scenarios'!$E$3:$I$80,MATCH('Scenario Picker'!$B$3,'Growth Scenarios'!$F$2:$I$2,0)+1)/1000000000*VLOOKUP($A68,'Growth Scenarios'!$A$3:$D$80,MATCH('Scenario Picker'!$B$2,'Growth Scenarios'!$B$2:$D$2,0)+1)</f>
        <v>7.265698237831379</v>
      </c>
      <c r="G68" s="21">
        <f ca="1">'Electrification Scenario'!G74*(1-'Electrification Scenario'!G$8*('Electrification Scenario'!G74-'Electrification Scenario'!G$4)/('Electrification Scenario'!G$5-'Electrification Scenario'!G$4))*VLOOKUP(G$3,'Static Parameters'!$A$3:$B$9,2)*VLOOKUP($A68,'Growth Scenarios'!$E$3:$I$80,MATCH('Scenario Picker'!$B$3,'Growth Scenarios'!$F$2:$I$2,0)+1)/1000000000*VLOOKUP($A68,'Growth Scenarios'!$A$3:$D$80,MATCH('Scenario Picker'!$B$2,'Growth Scenarios'!$B$2:$D$2,0)+1)</f>
        <v>128.21820419702431</v>
      </c>
      <c r="H68" s="21">
        <f ca="1">'Electrification Scenario'!H74*(1-'Electrification Scenario'!H$8*('Electrification Scenario'!H74-'Electrification Scenario'!H$4)/('Electrification Scenario'!H$5-'Electrification Scenario'!H$4))*VLOOKUP(H$3,'Static Parameters'!$A$3:$B$9,2)*VLOOKUP($A68,'Growth Scenarios'!$E$3:$I$80,MATCH('Scenario Picker'!$B$3,'Growth Scenarios'!$F$2:$I$2,0)+1)/1000000000*VLOOKUP($A68,'Growth Scenarios'!$A$3:$D$80,MATCH('Scenario Picker'!$B$2,'Growth Scenarios'!$B$2:$D$2,0)+1)</f>
        <v>82.273347693090571</v>
      </c>
      <c r="I68" s="28">
        <f t="shared" ca="1" si="0"/>
        <v>468.49507166879374</v>
      </c>
      <c r="J68" s="25">
        <f ca="1">(1-'Electrification Scenario'!B74)*VLOOKUP(B$3,'Static Parameters'!$A$3:$B$9,2)*VLOOKUP($A68,'Growth Scenarios'!$E$3:$I$80,MATCH('Scenario Picker'!$B$3,'Growth Scenarios'!$F$2:$I$2,0)+1)/1000000000*VLOOKUP($A68,'Growth Scenarios'!$A$3:$D$80,MATCH('Scenario Picker'!$B$2,'Growth Scenarios'!$B$2:$D$2,0)+1)</f>
        <v>6.8383042238412957</v>
      </c>
      <c r="K68" s="21">
        <f ca="1">(1-'Electrification Scenario'!C74)*VLOOKUP(C$3,'Static Parameters'!$A$3:$B$9,2)*VLOOKUP($A68,'Growth Scenarios'!$E$3:$I$80,MATCH('Scenario Picker'!$B$3,'Growth Scenarios'!$F$2:$I$2,0)+1)/1000000000*VLOOKUP($A68,'Growth Scenarios'!$A$3:$D$80,MATCH('Scenario Picker'!$B$2,'Growth Scenarios'!$B$2:$D$2,0)+1)</f>
        <v>0</v>
      </c>
      <c r="L68" s="21">
        <f ca="1">(1-'Electrification Scenario'!D74)*VLOOKUP(D$3,'Static Parameters'!$A$3:$B$9,2)*VLOOKUP($A68,'Growth Scenarios'!$E$3:$I$80,MATCH('Scenario Picker'!$B$3,'Growth Scenarios'!$F$2:$I$2,0)+1)/1000000000*VLOOKUP($A68,'Growth Scenarios'!$A$3:$D$80,MATCH('Scenario Picker'!$B$2,'Growth Scenarios'!$B$2:$D$2,0)+1)</f>
        <v>0.28492934266005404</v>
      </c>
      <c r="M68" s="21">
        <f ca="1">(1-'Electrification Scenario'!E74)*VLOOKUP(E$3,'Static Parameters'!$A$3:$B$9,2)*VLOOKUP($A68,'Growth Scenarios'!$E$3:$I$80,MATCH('Scenario Picker'!$B$3,'Growth Scenarios'!$F$2:$I$2,0)+1)/1000000000*VLOOKUP($A68,'Growth Scenarios'!$A$3:$D$80,MATCH('Scenario Picker'!$B$2,'Growth Scenarios'!$B$2:$D$2,0)+1)</f>
        <v>0</v>
      </c>
      <c r="N68" s="21">
        <f ca="1">(1-'Electrification Scenario'!F74)*VLOOKUP(F$3,'Static Parameters'!$A$3:$B$9,2)*VLOOKUP($A68,'Growth Scenarios'!$E$3:$I$80,MATCH('Scenario Picker'!$B$3,'Growth Scenarios'!$F$2:$I$2,0)+1)/1000000000*VLOOKUP($A68,'Growth Scenarios'!$A$3:$D$80,MATCH('Scenario Picker'!$B$2,'Growth Scenarios'!$B$2:$D$2,0)+1)</f>
        <v>3.0273742657630738</v>
      </c>
      <c r="O68" s="21">
        <f ca="1">(1-'Electrification Scenario'!G74)*VLOOKUP(G$3,'Static Parameters'!$A$3:$B$9,2)*VLOOKUP($A68,'Growth Scenarios'!$E$3:$I$80,MATCH('Scenario Picker'!$B$3,'Growth Scenarios'!$F$2:$I$2,0)+1)/1000000000*VLOOKUP($A68,'Growth Scenarios'!$A$3:$D$80,MATCH('Scenario Picker'!$B$2,'Growth Scenarios'!$B$2:$D$2,0)+1)</f>
        <v>0</v>
      </c>
      <c r="P68" s="21">
        <f ca="1">(1-'Electrification Scenario'!H74)*VLOOKUP(H$3,'Static Parameters'!$A$3:$B$9,2)*VLOOKUP($A68,'Growth Scenarios'!$E$3:$I$80,MATCH('Scenario Picker'!$B$3,'Growth Scenarios'!$F$2:$I$2,0)+1)/1000000000*VLOOKUP($A68,'Growth Scenarios'!$A$3:$D$80,MATCH('Scenario Picker'!$B$2,'Growth Scenarios'!$B$2:$D$2,0)+1)</f>
        <v>54.84889846206039</v>
      </c>
      <c r="Q68" s="28">
        <f t="shared" ca="1" si="1"/>
        <v>64.999506294324817</v>
      </c>
      <c r="R68" s="28">
        <f t="shared" ca="1" si="2"/>
        <v>533.49457796311856</v>
      </c>
    </row>
    <row r="69" spans="1:18" ht="15" x14ac:dyDescent="0.35">
      <c r="A69" s="31">
        <v>2087</v>
      </c>
      <c r="B69" s="25">
        <f ca="1">'Electrification Scenario'!B75*(1-'Electrification Scenario'!B$8*('Electrification Scenario'!B75-'Electrification Scenario'!B$4)/('Electrification Scenario'!B$5-'Electrification Scenario'!B$4))*VLOOKUP(B$3,'Static Parameters'!$A$3:$B$9,2)*VLOOKUP($A69,'Growth Scenarios'!$E$3:$I$80,MATCH('Scenario Picker'!$B$3,'Growth Scenarios'!$F$2:$I$2,0)+1)/1000000000*VLOOKUP($A69,'Growth Scenarios'!$A$3:$D$80,MATCH('Scenario Picker'!$B$2,'Growth Scenarios'!$B$2:$D$2,0)+1)</f>
        <v>8.2281281508529656</v>
      </c>
      <c r="C69" s="21">
        <f ca="1">'Electrification Scenario'!C75*(1-'Electrification Scenario'!C$8*('Electrification Scenario'!C75-'Electrification Scenario'!C$4)/('Electrification Scenario'!C$5-'Electrification Scenario'!C$4))*VLOOKUP(C$3,'Static Parameters'!$A$3:$B$9,2)*VLOOKUP($A69,'Growth Scenarios'!$E$3:$I$80,MATCH('Scenario Picker'!$B$3,'Growth Scenarios'!$F$2:$I$2,0)+1)/1000000000*VLOOKUP($A69,'Growth Scenarios'!$A$3:$D$80,MATCH('Scenario Picker'!$B$2,'Growth Scenarios'!$B$2:$D$2,0)+1)</f>
        <v>50.283005366323685</v>
      </c>
      <c r="D69" s="21">
        <f ca="1">'Electrification Scenario'!D75*(1-'Electrification Scenario'!D$8*('Electrification Scenario'!D75-'Electrification Scenario'!D$4)/('Electrification Scenario'!D$5-'Electrification Scenario'!D$4))*VLOOKUP(D$3,'Static Parameters'!$A$3:$B$9,2)*VLOOKUP($A69,'Growth Scenarios'!$E$3:$I$80,MATCH('Scenario Picker'!$B$3,'Growth Scenarios'!$F$2:$I$2,0)+1)/1000000000*VLOOKUP($A69,'Growth Scenarios'!$A$3:$D$80,MATCH('Scenario Picker'!$B$2,'Growth Scenarios'!$B$2:$D$2,0)+1)</f>
        <v>0.34283867295220694</v>
      </c>
      <c r="E69" s="21">
        <f ca="1">'Electrification Scenario'!E75*(1-'Electrification Scenario'!E$8*('Electrification Scenario'!E75-'Electrification Scenario'!E$4)/('Electrification Scenario'!E$5-'Electrification Scenario'!E$4))*VLOOKUP(E$3,'Static Parameters'!$A$3:$B$9,2)*VLOOKUP($A69,'Growth Scenarios'!$E$3:$I$80,MATCH('Scenario Picker'!$B$3,'Growth Scenarios'!$F$2:$I$2,0)+1)/1000000000*VLOOKUP($A69,'Growth Scenarios'!$A$3:$D$80,MATCH('Scenario Picker'!$B$2,'Growth Scenarios'!$B$2:$D$2,0)+1)</f>
        <v>192.56105464148953</v>
      </c>
      <c r="F69" s="21">
        <f ca="1">'Electrification Scenario'!F75*(1-'Electrification Scenario'!F$8*('Electrification Scenario'!F75-'Electrification Scenario'!F$4)/('Electrification Scenario'!F$5-'Electrification Scenario'!F$4))*VLOOKUP(F$3,'Static Parameters'!$A$3:$B$9,2)*VLOOKUP($A69,'Growth Scenarios'!$E$3:$I$80,MATCH('Scenario Picker'!$B$3,'Growth Scenarios'!$F$2:$I$2,0)+1)/1000000000*VLOOKUP($A69,'Growth Scenarios'!$A$3:$D$80,MATCH('Scenario Picker'!$B$2,'Growth Scenarios'!$B$2:$D$2,0)+1)</f>
        <v>7.2853218002343985</v>
      </c>
      <c r="G69" s="21">
        <f ca="1">'Electrification Scenario'!G75*(1-'Electrification Scenario'!G$8*('Electrification Scenario'!G75-'Electrification Scenario'!G$4)/('Electrification Scenario'!G$5-'Electrification Scenario'!G$4))*VLOOKUP(G$3,'Static Parameters'!$A$3:$B$9,2)*VLOOKUP($A69,'Growth Scenarios'!$E$3:$I$80,MATCH('Scenario Picker'!$B$3,'Growth Scenarios'!$F$2:$I$2,0)+1)/1000000000*VLOOKUP($A69,'Growth Scenarios'!$A$3:$D$80,MATCH('Scenario Picker'!$B$2,'Growth Scenarios'!$B$2:$D$2,0)+1)</f>
        <v>128.5645023570776</v>
      </c>
      <c r="H69" s="21">
        <f ca="1">'Electrification Scenario'!H75*(1-'Electrification Scenario'!H$8*('Electrification Scenario'!H75-'Electrification Scenario'!H$4)/('Electrification Scenario'!H$5-'Electrification Scenario'!H$4))*VLOOKUP(H$3,'Static Parameters'!$A$3:$B$9,2)*VLOOKUP($A69,'Growth Scenarios'!$E$3:$I$80,MATCH('Scenario Picker'!$B$3,'Growth Scenarios'!$F$2:$I$2,0)+1)/1000000000*VLOOKUP($A69,'Growth Scenarios'!$A$3:$D$80,MATCH('Scenario Picker'!$B$2,'Growth Scenarios'!$B$2:$D$2,0)+1)</f>
        <v>82.495555679124777</v>
      </c>
      <c r="I69" s="28">
        <f t="shared" ca="1" si="0"/>
        <v>469.76040666805511</v>
      </c>
      <c r="J69" s="25">
        <f ca="1">(1-'Electrification Scenario'!B75)*VLOOKUP(B$3,'Static Parameters'!$A$3:$B$9,2)*VLOOKUP($A69,'Growth Scenarios'!$E$3:$I$80,MATCH('Scenario Picker'!$B$3,'Growth Scenarios'!$F$2:$I$2,0)+1)/1000000000*VLOOKUP($A69,'Growth Scenarios'!$A$3:$D$80,MATCH('Scenario Picker'!$B$2,'Growth Scenarios'!$B$2:$D$2,0)+1)</f>
        <v>6.8567734590441392</v>
      </c>
      <c r="K69" s="21">
        <f ca="1">(1-'Electrification Scenario'!C75)*VLOOKUP(C$3,'Static Parameters'!$A$3:$B$9,2)*VLOOKUP($A69,'Growth Scenarios'!$E$3:$I$80,MATCH('Scenario Picker'!$B$3,'Growth Scenarios'!$F$2:$I$2,0)+1)/1000000000*VLOOKUP($A69,'Growth Scenarios'!$A$3:$D$80,MATCH('Scenario Picker'!$B$2,'Growth Scenarios'!$B$2:$D$2,0)+1)</f>
        <v>0</v>
      </c>
      <c r="L69" s="21">
        <f ca="1">(1-'Electrification Scenario'!D75)*VLOOKUP(D$3,'Static Parameters'!$A$3:$B$9,2)*VLOOKUP($A69,'Growth Scenarios'!$E$3:$I$80,MATCH('Scenario Picker'!$B$3,'Growth Scenarios'!$F$2:$I$2,0)+1)/1000000000*VLOOKUP($A69,'Growth Scenarios'!$A$3:$D$80,MATCH('Scenario Picker'!$B$2,'Growth Scenarios'!$B$2:$D$2,0)+1)</f>
        <v>0.28569889412683913</v>
      </c>
      <c r="M69" s="21">
        <f ca="1">(1-'Electrification Scenario'!E75)*VLOOKUP(E$3,'Static Parameters'!$A$3:$B$9,2)*VLOOKUP($A69,'Growth Scenarios'!$E$3:$I$80,MATCH('Scenario Picker'!$B$3,'Growth Scenarios'!$F$2:$I$2,0)+1)/1000000000*VLOOKUP($A69,'Growth Scenarios'!$A$3:$D$80,MATCH('Scenario Picker'!$B$2,'Growth Scenarios'!$B$2:$D$2,0)+1)</f>
        <v>0</v>
      </c>
      <c r="N69" s="21">
        <f ca="1">(1-'Electrification Scenario'!F75)*VLOOKUP(F$3,'Static Parameters'!$A$3:$B$9,2)*VLOOKUP($A69,'Growth Scenarios'!$E$3:$I$80,MATCH('Scenario Picker'!$B$3,'Growth Scenarios'!$F$2:$I$2,0)+1)/1000000000*VLOOKUP($A69,'Growth Scenarios'!$A$3:$D$80,MATCH('Scenario Picker'!$B$2,'Growth Scenarios'!$B$2:$D$2,0)+1)</f>
        <v>3.0355507500976655</v>
      </c>
      <c r="O69" s="21">
        <f ca="1">(1-'Electrification Scenario'!G75)*VLOOKUP(G$3,'Static Parameters'!$A$3:$B$9,2)*VLOOKUP($A69,'Growth Scenarios'!$E$3:$I$80,MATCH('Scenario Picker'!$B$3,'Growth Scenarios'!$F$2:$I$2,0)+1)/1000000000*VLOOKUP($A69,'Growth Scenarios'!$A$3:$D$80,MATCH('Scenario Picker'!$B$2,'Growth Scenarios'!$B$2:$D$2,0)+1)</f>
        <v>0</v>
      </c>
      <c r="P69" s="21">
        <f ca="1">(1-'Electrification Scenario'!H75)*VLOOKUP(H$3,'Static Parameters'!$A$3:$B$9,2)*VLOOKUP($A69,'Growth Scenarios'!$E$3:$I$80,MATCH('Scenario Picker'!$B$3,'Growth Scenarios'!$F$2:$I$2,0)+1)/1000000000*VLOOKUP($A69,'Growth Scenarios'!$A$3:$D$80,MATCH('Scenario Picker'!$B$2,'Growth Scenarios'!$B$2:$D$2,0)+1)</f>
        <v>54.997037119416525</v>
      </c>
      <c r="Q69" s="28">
        <f t="shared" ca="1" si="1"/>
        <v>65.175060222685175</v>
      </c>
      <c r="R69" s="28">
        <f t="shared" ca="1" si="2"/>
        <v>534.93546689074026</v>
      </c>
    </row>
    <row r="70" spans="1:18" ht="15" x14ac:dyDescent="0.35">
      <c r="A70" s="31">
        <v>2088</v>
      </c>
      <c r="B70" s="25">
        <f ca="1">'Electrification Scenario'!B76*(1-'Electrification Scenario'!B$8*('Electrification Scenario'!B76-'Electrification Scenario'!B$4)/('Electrification Scenario'!B$5-'Electrification Scenario'!B$4))*VLOOKUP(B$3,'Static Parameters'!$A$3:$B$9,2)*VLOOKUP($A70,'Growth Scenarios'!$E$3:$I$80,MATCH('Scenario Picker'!$B$3,'Growth Scenarios'!$F$2:$I$2,0)+1)/1000000000*VLOOKUP($A70,'Growth Scenarios'!$A$3:$D$80,MATCH('Scenario Picker'!$B$2,'Growth Scenarios'!$B$2:$D$2,0)+1)</f>
        <v>8.2480495842286121</v>
      </c>
      <c r="C70" s="21">
        <f ca="1">'Electrification Scenario'!C76*(1-'Electrification Scenario'!C$8*('Electrification Scenario'!C76-'Electrification Scenario'!C$4)/('Electrification Scenario'!C$5-'Electrification Scenario'!C$4))*VLOOKUP(C$3,'Static Parameters'!$A$3:$B$9,2)*VLOOKUP($A70,'Growth Scenarios'!$E$3:$I$80,MATCH('Scenario Picker'!$B$3,'Growth Scenarios'!$F$2:$I$2,0)+1)/1000000000*VLOOKUP($A70,'Growth Scenarios'!$A$3:$D$80,MATCH('Scenario Picker'!$B$2,'Growth Scenarios'!$B$2:$D$2,0)+1)</f>
        <v>50.404747459174857</v>
      </c>
      <c r="D70" s="21">
        <f ca="1">'Electrification Scenario'!D76*(1-'Electrification Scenario'!D$8*('Electrification Scenario'!D76-'Electrification Scenario'!D$4)/('Electrification Scenario'!D$5-'Electrification Scenario'!D$4))*VLOOKUP(D$3,'Static Parameters'!$A$3:$B$9,2)*VLOOKUP($A70,'Growth Scenarios'!$E$3:$I$80,MATCH('Scenario Picker'!$B$3,'Growth Scenarios'!$F$2:$I$2,0)+1)/1000000000*VLOOKUP($A70,'Growth Scenarios'!$A$3:$D$80,MATCH('Scenario Picker'!$B$2,'Growth Scenarios'!$B$2:$D$2,0)+1)</f>
        <v>0.34366873267619225</v>
      </c>
      <c r="E70" s="21">
        <f ca="1">'Electrification Scenario'!E76*(1-'Electrification Scenario'!E$8*('Electrification Scenario'!E76-'Electrification Scenario'!E$4)/('Electrification Scenario'!E$5-'Electrification Scenario'!E$4))*VLOOKUP(E$3,'Static Parameters'!$A$3:$B$9,2)*VLOOKUP($A70,'Growth Scenarios'!$E$3:$I$80,MATCH('Scenario Picker'!$B$3,'Growth Scenarios'!$F$2:$I$2,0)+1)/1000000000*VLOOKUP($A70,'Growth Scenarios'!$A$3:$D$80,MATCH('Scenario Picker'!$B$2,'Growth Scenarios'!$B$2:$D$2,0)+1)</f>
        <v>193.02727151979468</v>
      </c>
      <c r="F70" s="21">
        <f ca="1">'Electrification Scenario'!F76*(1-'Electrification Scenario'!F$8*('Electrification Scenario'!F76-'Electrification Scenario'!F$4)/('Electrification Scenario'!F$5-'Electrification Scenario'!F$4))*VLOOKUP(F$3,'Static Parameters'!$A$3:$B$9,2)*VLOOKUP($A70,'Growth Scenarios'!$E$3:$I$80,MATCH('Scenario Picker'!$B$3,'Growth Scenarios'!$F$2:$I$2,0)+1)/1000000000*VLOOKUP($A70,'Growth Scenarios'!$A$3:$D$80,MATCH('Scenario Picker'!$B$2,'Growth Scenarios'!$B$2:$D$2,0)+1)</f>
        <v>7.3029605693690867</v>
      </c>
      <c r="G70" s="21">
        <f ca="1">'Electrification Scenario'!G76*(1-'Electrification Scenario'!G$8*('Electrification Scenario'!G76-'Electrification Scenario'!G$4)/('Electrification Scenario'!G$5-'Electrification Scenario'!G$4))*VLOOKUP(G$3,'Static Parameters'!$A$3:$B$9,2)*VLOOKUP($A70,'Growth Scenarios'!$E$3:$I$80,MATCH('Scenario Picker'!$B$3,'Growth Scenarios'!$F$2:$I$2,0)+1)/1000000000*VLOOKUP($A70,'Growth Scenarios'!$A$3:$D$80,MATCH('Scenario Picker'!$B$2,'Growth Scenarios'!$B$2:$D$2,0)+1)</f>
        <v>128.8757747535721</v>
      </c>
      <c r="H70" s="21">
        <f ca="1">'Electrification Scenario'!H76*(1-'Electrification Scenario'!H$8*('Electrification Scenario'!H76-'Electrification Scenario'!H$4)/('Electrification Scenario'!H$5-'Electrification Scenario'!H$4))*VLOOKUP(H$3,'Static Parameters'!$A$3:$B$9,2)*VLOOKUP($A70,'Growth Scenarios'!$E$3:$I$80,MATCH('Scenario Picker'!$B$3,'Growth Scenarios'!$F$2:$I$2,0)+1)/1000000000*VLOOKUP($A70,'Growth Scenarios'!$A$3:$D$80,MATCH('Scenario Picker'!$B$2,'Growth Scenarios'!$B$2:$D$2,0)+1)</f>
        <v>82.695288800208743</v>
      </c>
      <c r="I70" s="28">
        <f t="shared" ref="I70:I82" ca="1" si="3">SUM(B70:H70)</f>
        <v>470.89776141902428</v>
      </c>
      <c r="J70" s="25">
        <f ca="1">(1-'Electrification Scenario'!B76)*VLOOKUP(B$3,'Static Parameters'!$A$3:$B$9,2)*VLOOKUP($A70,'Growth Scenarios'!$E$3:$I$80,MATCH('Scenario Picker'!$B$3,'Growth Scenarios'!$F$2:$I$2,0)+1)/1000000000*VLOOKUP($A70,'Growth Scenarios'!$A$3:$D$80,MATCH('Scenario Picker'!$B$2,'Growth Scenarios'!$B$2:$D$2,0)+1)</f>
        <v>6.8733746535238458</v>
      </c>
      <c r="K70" s="21">
        <f ca="1">(1-'Electrification Scenario'!C76)*VLOOKUP(C$3,'Static Parameters'!$A$3:$B$9,2)*VLOOKUP($A70,'Growth Scenarios'!$E$3:$I$80,MATCH('Scenario Picker'!$B$3,'Growth Scenarios'!$F$2:$I$2,0)+1)/1000000000*VLOOKUP($A70,'Growth Scenarios'!$A$3:$D$80,MATCH('Scenario Picker'!$B$2,'Growth Scenarios'!$B$2:$D$2,0)+1)</f>
        <v>0</v>
      </c>
      <c r="L70" s="21">
        <f ca="1">(1-'Electrification Scenario'!D76)*VLOOKUP(D$3,'Static Parameters'!$A$3:$B$9,2)*VLOOKUP($A70,'Growth Scenarios'!$E$3:$I$80,MATCH('Scenario Picker'!$B$3,'Growth Scenarios'!$F$2:$I$2,0)+1)/1000000000*VLOOKUP($A70,'Growth Scenarios'!$A$3:$D$80,MATCH('Scenario Picker'!$B$2,'Growth Scenarios'!$B$2:$D$2,0)+1)</f>
        <v>0.28639061056349352</v>
      </c>
      <c r="M70" s="21">
        <f ca="1">(1-'Electrification Scenario'!E76)*VLOOKUP(E$3,'Static Parameters'!$A$3:$B$9,2)*VLOOKUP($A70,'Growth Scenarios'!$E$3:$I$80,MATCH('Scenario Picker'!$B$3,'Growth Scenarios'!$F$2:$I$2,0)+1)/1000000000*VLOOKUP($A70,'Growth Scenarios'!$A$3:$D$80,MATCH('Scenario Picker'!$B$2,'Growth Scenarios'!$B$2:$D$2,0)+1)</f>
        <v>0</v>
      </c>
      <c r="N70" s="21">
        <f ca="1">(1-'Electrification Scenario'!F76)*VLOOKUP(F$3,'Static Parameters'!$A$3:$B$9,2)*VLOOKUP($A70,'Growth Scenarios'!$E$3:$I$80,MATCH('Scenario Picker'!$B$3,'Growth Scenarios'!$F$2:$I$2,0)+1)/1000000000*VLOOKUP($A70,'Growth Scenarios'!$A$3:$D$80,MATCH('Scenario Picker'!$B$2,'Growth Scenarios'!$B$2:$D$2,0)+1)</f>
        <v>3.0429002372371192</v>
      </c>
      <c r="O70" s="21">
        <f ca="1">(1-'Electrification Scenario'!G76)*VLOOKUP(G$3,'Static Parameters'!$A$3:$B$9,2)*VLOOKUP($A70,'Growth Scenarios'!$E$3:$I$80,MATCH('Scenario Picker'!$B$3,'Growth Scenarios'!$F$2:$I$2,0)+1)/1000000000*VLOOKUP($A70,'Growth Scenarios'!$A$3:$D$80,MATCH('Scenario Picker'!$B$2,'Growth Scenarios'!$B$2:$D$2,0)+1)</f>
        <v>0</v>
      </c>
      <c r="P70" s="21">
        <f ca="1">(1-'Electrification Scenario'!H76)*VLOOKUP(H$3,'Static Parameters'!$A$3:$B$9,2)*VLOOKUP($A70,'Growth Scenarios'!$E$3:$I$80,MATCH('Scenario Picker'!$B$3,'Growth Scenarios'!$F$2:$I$2,0)+1)/1000000000*VLOOKUP($A70,'Growth Scenarios'!$A$3:$D$80,MATCH('Scenario Picker'!$B$2,'Growth Scenarios'!$B$2:$D$2,0)+1)</f>
        <v>55.130192533472503</v>
      </c>
      <c r="Q70" s="28">
        <f t="shared" ref="Q70:Q82" ca="1" si="4">SUM(J70:P70)</f>
        <v>65.332858034796956</v>
      </c>
      <c r="R70" s="28">
        <f t="shared" ref="R70:R82" ca="1" si="5">Q70+I70</f>
        <v>536.23061945382119</v>
      </c>
    </row>
    <row r="71" spans="1:18" ht="15" x14ac:dyDescent="0.35">
      <c r="A71" s="31">
        <v>2089</v>
      </c>
      <c r="B71" s="25">
        <f ca="1">'Electrification Scenario'!B77*(1-'Electrification Scenario'!B$8*('Electrification Scenario'!B77-'Electrification Scenario'!B$4)/('Electrification Scenario'!B$5-'Electrification Scenario'!B$4))*VLOOKUP(B$3,'Static Parameters'!$A$3:$B$9,2)*VLOOKUP($A71,'Growth Scenarios'!$E$3:$I$80,MATCH('Scenario Picker'!$B$3,'Growth Scenarios'!$F$2:$I$2,0)+1)/1000000000*VLOOKUP($A71,'Growth Scenarios'!$A$3:$D$80,MATCH('Scenario Picker'!$B$2,'Growth Scenarios'!$B$2:$D$2,0)+1)</f>
        <v>8.2658201334322285</v>
      </c>
      <c r="C71" s="21">
        <f ca="1">'Electrification Scenario'!C77*(1-'Electrification Scenario'!C$8*('Electrification Scenario'!C77-'Electrification Scenario'!C$4)/('Electrification Scenario'!C$5-'Electrification Scenario'!C$4))*VLOOKUP(C$3,'Static Parameters'!$A$3:$B$9,2)*VLOOKUP($A71,'Growth Scenarios'!$E$3:$I$80,MATCH('Scenario Picker'!$B$3,'Growth Scenarios'!$F$2:$I$2,0)+1)/1000000000*VLOOKUP($A71,'Growth Scenarios'!$A$3:$D$80,MATCH('Scenario Picker'!$B$2,'Growth Scenarios'!$B$2:$D$2,0)+1)</f>
        <v>50.513345259863627</v>
      </c>
      <c r="D71" s="21">
        <f ca="1">'Electrification Scenario'!D77*(1-'Electrification Scenario'!D$8*('Electrification Scenario'!D77-'Electrification Scenario'!D$4)/('Electrification Scenario'!D$5-'Electrification Scenario'!D$4))*VLOOKUP(D$3,'Static Parameters'!$A$3:$B$9,2)*VLOOKUP($A71,'Growth Scenarios'!$E$3:$I$80,MATCH('Scenario Picker'!$B$3,'Growth Scenarios'!$F$2:$I$2,0)+1)/1000000000*VLOOKUP($A71,'Growth Scenarios'!$A$3:$D$80,MATCH('Scenario Picker'!$B$2,'Growth Scenarios'!$B$2:$D$2,0)+1)</f>
        <v>0.34440917222634293</v>
      </c>
      <c r="E71" s="21">
        <f ca="1">'Electrification Scenario'!E77*(1-'Electrification Scenario'!E$8*('Electrification Scenario'!E77-'Electrification Scenario'!E$4)/('Electrification Scenario'!E$5-'Electrification Scenario'!E$4))*VLOOKUP(E$3,'Static Parameters'!$A$3:$B$9,2)*VLOOKUP($A71,'Growth Scenarios'!$E$3:$I$80,MATCH('Scenario Picker'!$B$3,'Growth Scenarios'!$F$2:$I$2,0)+1)/1000000000*VLOOKUP($A71,'Growth Scenarios'!$A$3:$D$80,MATCH('Scenario Picker'!$B$2,'Growth Scenarios'!$B$2:$D$2,0)+1)</f>
        <v>193.44315173379593</v>
      </c>
      <c r="F71" s="21">
        <f ca="1">'Electrification Scenario'!F77*(1-'Electrification Scenario'!F$8*('Electrification Scenario'!F77-'Electrification Scenario'!F$4)/('Electrification Scenario'!F$5-'Electrification Scenario'!F$4))*VLOOKUP(F$3,'Static Parameters'!$A$3:$B$9,2)*VLOOKUP($A71,'Growth Scenarios'!$E$3:$I$80,MATCH('Scenario Picker'!$B$3,'Growth Scenarios'!$F$2:$I$2,0)+1)/1000000000*VLOOKUP($A71,'Growth Scenarios'!$A$3:$D$80,MATCH('Scenario Picker'!$B$2,'Growth Scenarios'!$B$2:$D$2,0)+1)</f>
        <v>7.3186949098097882</v>
      </c>
      <c r="G71" s="21">
        <f ca="1">'Electrification Scenario'!G77*(1-'Electrification Scenario'!G$8*('Electrification Scenario'!G77-'Electrification Scenario'!G$4)/('Electrification Scenario'!G$5-'Electrification Scenario'!G$4))*VLOOKUP(G$3,'Static Parameters'!$A$3:$B$9,2)*VLOOKUP($A71,'Growth Scenarios'!$E$3:$I$80,MATCH('Scenario Picker'!$B$3,'Growth Scenarios'!$F$2:$I$2,0)+1)/1000000000*VLOOKUP($A71,'Growth Scenarios'!$A$3:$D$80,MATCH('Scenario Picker'!$B$2,'Growth Scenarios'!$B$2:$D$2,0)+1)</f>
        <v>129.15343958487861</v>
      </c>
      <c r="H71" s="21">
        <f ca="1">'Electrification Scenario'!H77*(1-'Electrification Scenario'!H$8*('Electrification Scenario'!H77-'Electrification Scenario'!H$4)/('Electrification Scenario'!H$5-'Electrification Scenario'!H$4))*VLOOKUP(H$3,'Static Parameters'!$A$3:$B$9,2)*VLOOKUP($A71,'Growth Scenarios'!$E$3:$I$80,MATCH('Scenario Picker'!$B$3,'Growth Scenarios'!$F$2:$I$2,0)+1)/1000000000*VLOOKUP($A71,'Growth Scenarios'!$A$3:$D$80,MATCH('Scenario Picker'!$B$2,'Growth Scenarios'!$B$2:$D$2,0)+1)</f>
        <v>82.873457066963766</v>
      </c>
      <c r="I71" s="28">
        <f t="shared" ca="1" si="3"/>
        <v>471.91231786097023</v>
      </c>
      <c r="J71" s="25">
        <f ca="1">(1-'Electrification Scenario'!B77)*VLOOKUP(B$3,'Static Parameters'!$A$3:$B$9,2)*VLOOKUP($A71,'Growth Scenarios'!$E$3:$I$80,MATCH('Scenario Picker'!$B$3,'Growth Scenarios'!$F$2:$I$2,0)+1)/1000000000*VLOOKUP($A71,'Growth Scenarios'!$A$3:$D$80,MATCH('Scenario Picker'!$B$2,'Growth Scenarios'!$B$2:$D$2,0)+1)</f>
        <v>6.8881834445268586</v>
      </c>
      <c r="K71" s="21">
        <f ca="1">(1-'Electrification Scenario'!C77)*VLOOKUP(C$3,'Static Parameters'!$A$3:$B$9,2)*VLOOKUP($A71,'Growth Scenarios'!$E$3:$I$80,MATCH('Scenario Picker'!$B$3,'Growth Scenarios'!$F$2:$I$2,0)+1)/1000000000*VLOOKUP($A71,'Growth Scenarios'!$A$3:$D$80,MATCH('Scenario Picker'!$B$2,'Growth Scenarios'!$B$2:$D$2,0)+1)</f>
        <v>0</v>
      </c>
      <c r="L71" s="21">
        <f ca="1">(1-'Electrification Scenario'!D77)*VLOOKUP(D$3,'Static Parameters'!$A$3:$B$9,2)*VLOOKUP($A71,'Growth Scenarios'!$E$3:$I$80,MATCH('Scenario Picker'!$B$3,'Growth Scenarios'!$F$2:$I$2,0)+1)/1000000000*VLOOKUP($A71,'Growth Scenarios'!$A$3:$D$80,MATCH('Scenario Picker'!$B$2,'Growth Scenarios'!$B$2:$D$2,0)+1)</f>
        <v>0.28700764352195246</v>
      </c>
      <c r="M71" s="21">
        <f ca="1">(1-'Electrification Scenario'!E77)*VLOOKUP(E$3,'Static Parameters'!$A$3:$B$9,2)*VLOOKUP($A71,'Growth Scenarios'!$E$3:$I$80,MATCH('Scenario Picker'!$B$3,'Growth Scenarios'!$F$2:$I$2,0)+1)/1000000000*VLOOKUP($A71,'Growth Scenarios'!$A$3:$D$80,MATCH('Scenario Picker'!$B$2,'Growth Scenarios'!$B$2:$D$2,0)+1)</f>
        <v>0</v>
      </c>
      <c r="N71" s="21">
        <f ca="1">(1-'Electrification Scenario'!F77)*VLOOKUP(F$3,'Static Parameters'!$A$3:$B$9,2)*VLOOKUP($A71,'Growth Scenarios'!$E$3:$I$80,MATCH('Scenario Picker'!$B$3,'Growth Scenarios'!$F$2:$I$2,0)+1)/1000000000*VLOOKUP($A71,'Growth Scenarios'!$A$3:$D$80,MATCH('Scenario Picker'!$B$2,'Growth Scenarios'!$B$2:$D$2,0)+1)</f>
        <v>3.0494562124207447</v>
      </c>
      <c r="O71" s="21">
        <f ca="1">(1-'Electrification Scenario'!G77)*VLOOKUP(G$3,'Static Parameters'!$A$3:$B$9,2)*VLOOKUP($A71,'Growth Scenarios'!$E$3:$I$80,MATCH('Scenario Picker'!$B$3,'Growth Scenarios'!$F$2:$I$2,0)+1)/1000000000*VLOOKUP($A71,'Growth Scenarios'!$A$3:$D$80,MATCH('Scenario Picker'!$B$2,'Growth Scenarios'!$B$2:$D$2,0)+1)</f>
        <v>0</v>
      </c>
      <c r="P71" s="21">
        <f ca="1">(1-'Electrification Scenario'!H77)*VLOOKUP(H$3,'Static Parameters'!$A$3:$B$9,2)*VLOOKUP($A71,'Growth Scenarios'!$E$3:$I$80,MATCH('Scenario Picker'!$B$3,'Growth Scenarios'!$F$2:$I$2,0)+1)/1000000000*VLOOKUP($A71,'Growth Scenarios'!$A$3:$D$80,MATCH('Scenario Picker'!$B$2,'Growth Scenarios'!$B$2:$D$2,0)+1)</f>
        <v>55.248971377975842</v>
      </c>
      <c r="Q71" s="28">
        <f t="shared" ca="1" si="4"/>
        <v>65.473618678445405</v>
      </c>
      <c r="R71" s="28">
        <f t="shared" ca="1" si="5"/>
        <v>537.38593653941564</v>
      </c>
    </row>
    <row r="72" spans="1:18" ht="15" x14ac:dyDescent="0.35">
      <c r="A72" s="31">
        <v>2090</v>
      </c>
      <c r="B72" s="25">
        <f ca="1">'Electrification Scenario'!B78*(1-'Electrification Scenario'!B$8*('Electrification Scenario'!B78-'Electrification Scenario'!B$4)/('Electrification Scenario'!B$5-'Electrification Scenario'!B$4))*VLOOKUP(B$3,'Static Parameters'!$A$3:$B$9,2)*VLOOKUP($A72,'Growth Scenarios'!$E$3:$I$80,MATCH('Scenario Picker'!$B$3,'Growth Scenarios'!$F$2:$I$2,0)+1)/1000000000*VLOOKUP($A72,'Growth Scenarios'!$A$3:$D$80,MATCH('Scenario Picker'!$B$2,'Growth Scenarios'!$B$2:$D$2,0)+1)</f>
        <v>8.2814937922968621</v>
      </c>
      <c r="C72" s="21">
        <f ca="1">'Electrification Scenario'!C78*(1-'Electrification Scenario'!C$8*('Electrification Scenario'!C78-'Electrification Scenario'!C$4)/('Electrification Scenario'!C$5-'Electrification Scenario'!C$4))*VLOOKUP(C$3,'Static Parameters'!$A$3:$B$9,2)*VLOOKUP($A72,'Growth Scenarios'!$E$3:$I$80,MATCH('Scenario Picker'!$B$3,'Growth Scenarios'!$F$2:$I$2,0)+1)/1000000000*VLOOKUP($A72,'Growth Scenarios'!$A$3:$D$80,MATCH('Scenario Picker'!$B$2,'Growth Scenarios'!$B$2:$D$2,0)+1)</f>
        <v>50.609128730703048</v>
      </c>
      <c r="D72" s="21">
        <f ca="1">'Electrification Scenario'!D78*(1-'Electrification Scenario'!D$8*('Electrification Scenario'!D78-'Electrification Scenario'!D$4)/('Electrification Scenario'!D$5-'Electrification Scenario'!D$4))*VLOOKUP(D$3,'Static Parameters'!$A$3:$B$9,2)*VLOOKUP($A72,'Growth Scenarios'!$E$3:$I$80,MATCH('Scenario Picker'!$B$3,'Growth Scenarios'!$F$2:$I$2,0)+1)/1000000000*VLOOKUP($A72,'Growth Scenarios'!$A$3:$D$80,MATCH('Scenario Picker'!$B$2,'Growth Scenarios'!$B$2:$D$2,0)+1)</f>
        <v>0.34506224134570257</v>
      </c>
      <c r="E72" s="21">
        <f ca="1">'Electrification Scenario'!E78*(1-'Electrification Scenario'!E$8*('Electrification Scenario'!E78-'Electrification Scenario'!E$4)/('Electrification Scenario'!E$5-'Electrification Scenario'!E$4))*VLOOKUP(E$3,'Static Parameters'!$A$3:$B$9,2)*VLOOKUP($A72,'Growth Scenarios'!$E$3:$I$80,MATCH('Scenario Picker'!$B$3,'Growth Scenarios'!$F$2:$I$2,0)+1)/1000000000*VLOOKUP($A72,'Growth Scenarios'!$A$3:$D$80,MATCH('Scenario Picker'!$B$2,'Growth Scenarios'!$B$2:$D$2,0)+1)</f>
        <v>193.80995888916962</v>
      </c>
      <c r="F72" s="21">
        <f ca="1">'Electrification Scenario'!F78*(1-'Electrification Scenario'!F$8*('Electrification Scenario'!F78-'Electrification Scenario'!F$4)/('Electrification Scenario'!F$5-'Electrification Scenario'!F$4))*VLOOKUP(F$3,'Static Parameters'!$A$3:$B$9,2)*VLOOKUP($A72,'Growth Scenarios'!$E$3:$I$80,MATCH('Scenario Picker'!$B$3,'Growth Scenarios'!$F$2:$I$2,0)+1)/1000000000*VLOOKUP($A72,'Growth Scenarios'!$A$3:$D$80,MATCH('Scenario Picker'!$B$2,'Growth Scenarios'!$B$2:$D$2,0)+1)</f>
        <v>7.3325726285961812</v>
      </c>
      <c r="G72" s="21">
        <f ca="1">'Electrification Scenario'!G78*(1-'Electrification Scenario'!G$8*('Electrification Scenario'!G78-'Electrification Scenario'!G$4)/('Electrification Scenario'!G$5-'Electrification Scenario'!G$4))*VLOOKUP(G$3,'Static Parameters'!$A$3:$B$9,2)*VLOOKUP($A72,'Growth Scenarios'!$E$3:$I$80,MATCH('Scenario Picker'!$B$3,'Growth Scenarios'!$F$2:$I$2,0)+1)/1000000000*VLOOKUP($A72,'Growth Scenarios'!$A$3:$D$80,MATCH('Scenario Picker'!$B$2,'Growth Scenarios'!$B$2:$D$2,0)+1)</f>
        <v>129.39834050463847</v>
      </c>
      <c r="H72" s="21">
        <f ca="1">'Electrification Scenario'!H78*(1-'Electrification Scenario'!H$8*('Electrification Scenario'!H78-'Electrification Scenario'!H$4)/('Electrification Scenario'!H$5-'Electrification Scenario'!H$4))*VLOOKUP(H$3,'Static Parameters'!$A$3:$B$9,2)*VLOOKUP($A72,'Growth Scenarios'!$E$3:$I$80,MATCH('Scenario Picker'!$B$3,'Growth Scenarios'!$F$2:$I$2,0)+1)/1000000000*VLOOKUP($A72,'Growth Scenarios'!$A$3:$D$80,MATCH('Scenario Picker'!$B$2,'Growth Scenarios'!$B$2:$D$2,0)+1)</f>
        <v>83.030601823809661</v>
      </c>
      <c r="I72" s="28">
        <f t="shared" ca="1" si="3"/>
        <v>472.80715861055955</v>
      </c>
      <c r="J72" s="25">
        <f ca="1">(1-'Electrification Scenario'!B78)*VLOOKUP(B$3,'Static Parameters'!$A$3:$B$9,2)*VLOOKUP($A72,'Growth Scenarios'!$E$3:$I$80,MATCH('Scenario Picker'!$B$3,'Growth Scenarios'!$F$2:$I$2,0)+1)/1000000000*VLOOKUP($A72,'Growth Scenarios'!$A$3:$D$80,MATCH('Scenario Picker'!$B$2,'Growth Scenarios'!$B$2:$D$2,0)+1)</f>
        <v>6.9012448269140521</v>
      </c>
      <c r="K72" s="21">
        <f ca="1">(1-'Electrification Scenario'!C78)*VLOOKUP(C$3,'Static Parameters'!$A$3:$B$9,2)*VLOOKUP($A72,'Growth Scenarios'!$E$3:$I$80,MATCH('Scenario Picker'!$B$3,'Growth Scenarios'!$F$2:$I$2,0)+1)/1000000000*VLOOKUP($A72,'Growth Scenarios'!$A$3:$D$80,MATCH('Scenario Picker'!$B$2,'Growth Scenarios'!$B$2:$D$2,0)+1)</f>
        <v>0</v>
      </c>
      <c r="L72" s="21">
        <f ca="1">(1-'Electrification Scenario'!D78)*VLOOKUP(D$3,'Static Parameters'!$A$3:$B$9,2)*VLOOKUP($A72,'Growth Scenarios'!$E$3:$I$80,MATCH('Scenario Picker'!$B$3,'Growth Scenarios'!$F$2:$I$2,0)+1)/1000000000*VLOOKUP($A72,'Growth Scenarios'!$A$3:$D$80,MATCH('Scenario Picker'!$B$2,'Growth Scenarios'!$B$2:$D$2,0)+1)</f>
        <v>0.28755186778808545</v>
      </c>
      <c r="M72" s="21">
        <f ca="1">(1-'Electrification Scenario'!E78)*VLOOKUP(E$3,'Static Parameters'!$A$3:$B$9,2)*VLOOKUP($A72,'Growth Scenarios'!$E$3:$I$80,MATCH('Scenario Picker'!$B$3,'Growth Scenarios'!$F$2:$I$2,0)+1)/1000000000*VLOOKUP($A72,'Growth Scenarios'!$A$3:$D$80,MATCH('Scenario Picker'!$B$2,'Growth Scenarios'!$B$2:$D$2,0)+1)</f>
        <v>0</v>
      </c>
      <c r="N72" s="21">
        <f ca="1">(1-'Electrification Scenario'!F78)*VLOOKUP(F$3,'Static Parameters'!$A$3:$B$9,2)*VLOOKUP($A72,'Growth Scenarios'!$E$3:$I$80,MATCH('Scenario Picker'!$B$3,'Growth Scenarios'!$F$2:$I$2,0)+1)/1000000000*VLOOKUP($A72,'Growth Scenarios'!$A$3:$D$80,MATCH('Scenario Picker'!$B$2,'Growth Scenarios'!$B$2:$D$2,0)+1)</f>
        <v>3.0552385952484085</v>
      </c>
      <c r="O72" s="21">
        <f ca="1">(1-'Electrification Scenario'!G78)*VLOOKUP(G$3,'Static Parameters'!$A$3:$B$9,2)*VLOOKUP($A72,'Growth Scenarios'!$E$3:$I$80,MATCH('Scenario Picker'!$B$3,'Growth Scenarios'!$F$2:$I$2,0)+1)/1000000000*VLOOKUP($A72,'Growth Scenarios'!$A$3:$D$80,MATCH('Scenario Picker'!$B$2,'Growth Scenarios'!$B$2:$D$2,0)+1)</f>
        <v>0</v>
      </c>
      <c r="P72" s="21">
        <f ca="1">(1-'Electrification Scenario'!H78)*VLOOKUP(H$3,'Static Parameters'!$A$3:$B$9,2)*VLOOKUP($A72,'Growth Scenarios'!$E$3:$I$80,MATCH('Scenario Picker'!$B$3,'Growth Scenarios'!$F$2:$I$2,0)+1)/1000000000*VLOOKUP($A72,'Growth Scenarios'!$A$3:$D$80,MATCH('Scenario Picker'!$B$2,'Growth Scenarios'!$B$2:$D$2,0)+1)</f>
        <v>55.35373454920645</v>
      </c>
      <c r="Q72" s="28">
        <f t="shared" ca="1" si="4"/>
        <v>65.597769839156996</v>
      </c>
      <c r="R72" s="28">
        <f t="shared" ca="1" si="5"/>
        <v>538.40492844971652</v>
      </c>
    </row>
    <row r="73" spans="1:18" ht="15" x14ac:dyDescent="0.35">
      <c r="A73" s="31">
        <v>2091</v>
      </c>
      <c r="B73" s="25">
        <f ca="1">'Electrification Scenario'!B79*(1-'Electrification Scenario'!B$8*('Electrification Scenario'!B79-'Electrification Scenario'!B$4)/('Electrification Scenario'!B$5-'Electrification Scenario'!B$4))*VLOOKUP(B$3,'Static Parameters'!$A$3:$B$9,2)*VLOOKUP($A73,'Growth Scenarios'!$E$3:$I$80,MATCH('Scenario Picker'!$B$3,'Growth Scenarios'!$F$2:$I$2,0)+1)/1000000000*VLOOKUP($A73,'Growth Scenarios'!$A$3:$D$80,MATCH('Scenario Picker'!$B$2,'Growth Scenarios'!$B$2:$D$2,0)+1)</f>
        <v>8.295141636981155</v>
      </c>
      <c r="C73" s="21">
        <f ca="1">'Electrification Scenario'!C79*(1-'Electrification Scenario'!C$8*('Electrification Scenario'!C79-'Electrification Scenario'!C$4)/('Electrification Scenario'!C$5-'Electrification Scenario'!C$4))*VLOOKUP(C$3,'Static Parameters'!$A$3:$B$9,2)*VLOOKUP($A73,'Growth Scenarios'!$E$3:$I$80,MATCH('Scenario Picker'!$B$3,'Growth Scenarios'!$F$2:$I$2,0)+1)/1000000000*VLOOKUP($A73,'Growth Scenarios'!$A$3:$D$80,MATCH('Scenario Picker'!$B$2,'Growth Scenarios'!$B$2:$D$2,0)+1)</f>
        <v>50.692532225995954</v>
      </c>
      <c r="D73" s="21">
        <f ca="1">'Electrification Scenario'!D79*(1-'Electrification Scenario'!D$8*('Electrification Scenario'!D79-'Electrification Scenario'!D$4)/('Electrification Scenario'!D$5-'Electrification Scenario'!D$4))*VLOOKUP(D$3,'Static Parameters'!$A$3:$B$9,2)*VLOOKUP($A73,'Growth Scenarios'!$E$3:$I$80,MATCH('Scenario Picker'!$B$3,'Growth Scenarios'!$F$2:$I$2,0)+1)/1000000000*VLOOKUP($A73,'Growth Scenarios'!$A$3:$D$80,MATCH('Scenario Picker'!$B$2,'Growth Scenarios'!$B$2:$D$2,0)+1)</f>
        <v>0.3456309015408815</v>
      </c>
      <c r="E73" s="21">
        <f ca="1">'Electrification Scenario'!E79*(1-'Electrification Scenario'!E$8*('Electrification Scenario'!E79-'Electrification Scenario'!E$4)/('Electrification Scenario'!E$5-'Electrification Scenario'!E$4))*VLOOKUP(E$3,'Static Parameters'!$A$3:$B$9,2)*VLOOKUP($A73,'Growth Scenarios'!$E$3:$I$80,MATCH('Scenario Picker'!$B$3,'Growth Scenarios'!$F$2:$I$2,0)+1)/1000000000*VLOOKUP($A73,'Growth Scenarios'!$A$3:$D$80,MATCH('Scenario Picker'!$B$2,'Growth Scenarios'!$B$2:$D$2,0)+1)</f>
        <v>194.12935636546175</v>
      </c>
      <c r="F73" s="21">
        <f ca="1">'Electrification Scenario'!F79*(1-'Electrification Scenario'!F$8*('Electrification Scenario'!F79-'Electrification Scenario'!F$4)/('Electrification Scenario'!F$5-'Electrification Scenario'!F$4))*VLOOKUP(F$3,'Static Parameters'!$A$3:$B$9,2)*VLOOKUP($A73,'Growth Scenarios'!$E$3:$I$80,MATCH('Scenario Picker'!$B$3,'Growth Scenarios'!$F$2:$I$2,0)+1)/1000000000*VLOOKUP($A73,'Growth Scenarios'!$A$3:$D$80,MATCH('Scenario Picker'!$B$2,'Growth Scenarios'!$B$2:$D$2,0)+1)</f>
        <v>7.3446566577437329</v>
      </c>
      <c r="G73" s="21">
        <f ca="1">'Electrification Scenario'!G79*(1-'Electrification Scenario'!G$8*('Electrification Scenario'!G79-'Electrification Scenario'!G$4)/('Electrification Scenario'!G$5-'Electrification Scenario'!G$4))*VLOOKUP(G$3,'Static Parameters'!$A$3:$B$9,2)*VLOOKUP($A73,'Growth Scenarios'!$E$3:$I$80,MATCH('Scenario Picker'!$B$3,'Growth Scenarios'!$F$2:$I$2,0)+1)/1000000000*VLOOKUP($A73,'Growth Scenarios'!$A$3:$D$80,MATCH('Scenario Picker'!$B$2,'Growth Scenarios'!$B$2:$D$2,0)+1)</f>
        <v>129.61158807783059</v>
      </c>
      <c r="H73" s="21">
        <f ca="1">'Electrification Scenario'!H79*(1-'Electrification Scenario'!H$8*('Electrification Scenario'!H79-'Electrification Scenario'!H$4)/('Electrification Scenario'!H$5-'Electrification Scenario'!H$4))*VLOOKUP(H$3,'Static Parameters'!$A$3:$B$9,2)*VLOOKUP($A73,'Growth Scenarios'!$E$3:$I$80,MATCH('Scenario Picker'!$B$3,'Growth Scenarios'!$F$2:$I$2,0)+1)/1000000000*VLOOKUP($A73,'Growth Scenarios'!$A$3:$D$80,MATCH('Scenario Picker'!$B$2,'Growth Scenarios'!$B$2:$D$2,0)+1)</f>
        <v>83.167435683274604</v>
      </c>
      <c r="I73" s="28">
        <f t="shared" ca="1" si="3"/>
        <v>473.58634154882867</v>
      </c>
      <c r="J73" s="25">
        <f ca="1">(1-'Electrification Scenario'!B79)*VLOOKUP(B$3,'Static Parameters'!$A$3:$B$9,2)*VLOOKUP($A73,'Growth Scenarios'!$E$3:$I$80,MATCH('Scenario Picker'!$B$3,'Growth Scenarios'!$F$2:$I$2,0)+1)/1000000000*VLOOKUP($A73,'Growth Scenarios'!$A$3:$D$80,MATCH('Scenario Picker'!$B$2,'Growth Scenarios'!$B$2:$D$2,0)+1)</f>
        <v>6.9126180308176313</v>
      </c>
      <c r="K73" s="21">
        <f ca="1">(1-'Electrification Scenario'!C79)*VLOOKUP(C$3,'Static Parameters'!$A$3:$B$9,2)*VLOOKUP($A73,'Growth Scenarios'!$E$3:$I$80,MATCH('Scenario Picker'!$B$3,'Growth Scenarios'!$F$2:$I$2,0)+1)/1000000000*VLOOKUP($A73,'Growth Scenarios'!$A$3:$D$80,MATCH('Scenario Picker'!$B$2,'Growth Scenarios'!$B$2:$D$2,0)+1)</f>
        <v>0</v>
      </c>
      <c r="L73" s="21">
        <f ca="1">(1-'Electrification Scenario'!D79)*VLOOKUP(D$3,'Static Parameters'!$A$3:$B$9,2)*VLOOKUP($A73,'Growth Scenarios'!$E$3:$I$80,MATCH('Scenario Picker'!$B$3,'Growth Scenarios'!$F$2:$I$2,0)+1)/1000000000*VLOOKUP($A73,'Growth Scenarios'!$A$3:$D$80,MATCH('Scenario Picker'!$B$2,'Growth Scenarios'!$B$2:$D$2,0)+1)</f>
        <v>0.28802575128406793</v>
      </c>
      <c r="M73" s="21">
        <f ca="1">(1-'Electrification Scenario'!E79)*VLOOKUP(E$3,'Static Parameters'!$A$3:$B$9,2)*VLOOKUP($A73,'Growth Scenarios'!$E$3:$I$80,MATCH('Scenario Picker'!$B$3,'Growth Scenarios'!$F$2:$I$2,0)+1)/1000000000*VLOOKUP($A73,'Growth Scenarios'!$A$3:$D$80,MATCH('Scenario Picker'!$B$2,'Growth Scenarios'!$B$2:$D$2,0)+1)</f>
        <v>0</v>
      </c>
      <c r="N73" s="21">
        <f ca="1">(1-'Electrification Scenario'!F79)*VLOOKUP(F$3,'Static Parameters'!$A$3:$B$9,2)*VLOOKUP($A73,'Growth Scenarios'!$E$3:$I$80,MATCH('Scenario Picker'!$B$3,'Growth Scenarios'!$F$2:$I$2,0)+1)/1000000000*VLOOKUP($A73,'Growth Scenarios'!$A$3:$D$80,MATCH('Scenario Picker'!$B$2,'Growth Scenarios'!$B$2:$D$2,0)+1)</f>
        <v>3.0602736073932215</v>
      </c>
      <c r="O73" s="21">
        <f ca="1">(1-'Electrification Scenario'!G79)*VLOOKUP(G$3,'Static Parameters'!$A$3:$B$9,2)*VLOOKUP($A73,'Growth Scenarios'!$E$3:$I$80,MATCH('Scenario Picker'!$B$3,'Growth Scenarios'!$F$2:$I$2,0)+1)/1000000000*VLOOKUP($A73,'Growth Scenarios'!$A$3:$D$80,MATCH('Scenario Picker'!$B$2,'Growth Scenarios'!$B$2:$D$2,0)+1)</f>
        <v>0</v>
      </c>
      <c r="P73" s="21">
        <f ca="1">(1-'Electrification Scenario'!H79)*VLOOKUP(H$3,'Static Parameters'!$A$3:$B$9,2)*VLOOKUP($A73,'Growth Scenarios'!$E$3:$I$80,MATCH('Scenario Picker'!$B$3,'Growth Scenarios'!$F$2:$I$2,0)+1)/1000000000*VLOOKUP($A73,'Growth Scenarios'!$A$3:$D$80,MATCH('Scenario Picker'!$B$2,'Growth Scenarios'!$B$2:$D$2,0)+1)</f>
        <v>55.444957122183069</v>
      </c>
      <c r="Q73" s="28">
        <f t="shared" ca="1" si="4"/>
        <v>65.70587451167799</v>
      </c>
      <c r="R73" s="28">
        <f t="shared" ca="1" si="5"/>
        <v>539.29221606050669</v>
      </c>
    </row>
    <row r="74" spans="1:18" ht="15" x14ac:dyDescent="0.35">
      <c r="A74" s="31">
        <v>2092</v>
      </c>
      <c r="B74" s="25">
        <f ca="1">'Electrification Scenario'!B80*(1-'Electrification Scenario'!B$8*('Electrification Scenario'!B80-'Electrification Scenario'!B$4)/('Electrification Scenario'!B$5-'Electrification Scenario'!B$4))*VLOOKUP(B$3,'Static Parameters'!$A$3:$B$9,2)*VLOOKUP($A74,'Growth Scenarios'!$E$3:$I$80,MATCH('Scenario Picker'!$B$3,'Growth Scenarios'!$F$2:$I$2,0)+1)/1000000000*VLOOKUP($A74,'Growth Scenarios'!$A$3:$D$80,MATCH('Scenario Picker'!$B$2,'Growth Scenarios'!$B$2:$D$2,0)+1)</f>
        <v>8.3068315757935753</v>
      </c>
      <c r="C74" s="21">
        <f ca="1">'Electrification Scenario'!C80*(1-'Electrification Scenario'!C$8*('Electrification Scenario'!C80-'Electrification Scenario'!C$4)/('Electrification Scenario'!C$5-'Electrification Scenario'!C$4))*VLOOKUP(C$3,'Static Parameters'!$A$3:$B$9,2)*VLOOKUP($A74,'Growth Scenarios'!$E$3:$I$80,MATCH('Scenario Picker'!$B$3,'Growth Scenarios'!$F$2:$I$2,0)+1)/1000000000*VLOOKUP($A74,'Growth Scenarios'!$A$3:$D$80,MATCH('Scenario Picker'!$B$2,'Growth Scenarios'!$B$2:$D$2,0)+1)</f>
        <v>50.763970740960737</v>
      </c>
      <c r="D74" s="21">
        <f ca="1">'Electrification Scenario'!D80*(1-'Electrification Scenario'!D$8*('Electrification Scenario'!D80-'Electrification Scenario'!D$4)/('Electrification Scenario'!D$5-'Electrification Scenario'!D$4))*VLOOKUP(D$3,'Static Parameters'!$A$3:$B$9,2)*VLOOKUP($A74,'Growth Scenarios'!$E$3:$I$80,MATCH('Scenario Picker'!$B$3,'Growth Scenarios'!$F$2:$I$2,0)+1)/1000000000*VLOOKUP($A74,'Growth Scenarios'!$A$3:$D$80,MATCH('Scenario Picker'!$B$2,'Growth Scenarios'!$B$2:$D$2,0)+1)</f>
        <v>0.34611798232473234</v>
      </c>
      <c r="E74" s="21">
        <f ca="1">'Electrification Scenario'!E80*(1-'Electrification Scenario'!E$8*('Electrification Scenario'!E80-'Electrification Scenario'!E$4)/('Electrification Scenario'!E$5-'Electrification Scenario'!E$4))*VLOOKUP(E$3,'Static Parameters'!$A$3:$B$9,2)*VLOOKUP($A74,'Growth Scenarios'!$E$3:$I$80,MATCH('Scenario Picker'!$B$3,'Growth Scenarios'!$F$2:$I$2,0)+1)/1000000000*VLOOKUP($A74,'Growth Scenarios'!$A$3:$D$80,MATCH('Scenario Picker'!$B$2,'Growth Scenarios'!$B$2:$D$2,0)+1)</f>
        <v>194.40293340572464</v>
      </c>
      <c r="F74" s="21">
        <f ca="1">'Electrification Scenario'!F80*(1-'Electrification Scenario'!F$8*('Electrification Scenario'!F80-'Electrification Scenario'!F$4)/('Electrification Scenario'!F$5-'Electrification Scenario'!F$4))*VLOOKUP(F$3,'Static Parameters'!$A$3:$B$9,2)*VLOOKUP($A74,'Growth Scenarios'!$E$3:$I$80,MATCH('Scenario Picker'!$B$3,'Growth Scenarios'!$F$2:$I$2,0)+1)/1000000000*VLOOKUP($A74,'Growth Scenarios'!$A$3:$D$80,MATCH('Scenario Picker'!$B$2,'Growth Scenarios'!$B$2:$D$2,0)+1)</f>
        <v>7.3550071244005641</v>
      </c>
      <c r="G74" s="21">
        <f ca="1">'Electrification Scenario'!G80*(1-'Electrification Scenario'!G$8*('Electrification Scenario'!G80-'Electrification Scenario'!G$4)/('Electrification Scenario'!G$5-'Electrification Scenario'!G$4))*VLOOKUP(G$3,'Static Parameters'!$A$3:$B$9,2)*VLOOKUP($A74,'Growth Scenarios'!$E$3:$I$80,MATCH('Scenario Picker'!$B$3,'Growth Scenarios'!$F$2:$I$2,0)+1)/1000000000*VLOOKUP($A74,'Growth Scenarios'!$A$3:$D$80,MATCH('Scenario Picker'!$B$2,'Growth Scenarios'!$B$2:$D$2,0)+1)</f>
        <v>129.79424337177466</v>
      </c>
      <c r="H74" s="21">
        <f ca="1">'Electrification Scenario'!H80*(1-'Electrification Scenario'!H$8*('Electrification Scenario'!H80-'Electrification Scenario'!H$4)/('Electrification Scenario'!H$5-'Electrification Scenario'!H$4))*VLOOKUP(H$3,'Static Parameters'!$A$3:$B$9,2)*VLOOKUP($A74,'Growth Scenarios'!$E$3:$I$80,MATCH('Scenario Picker'!$B$3,'Growth Scenarios'!$F$2:$I$2,0)+1)/1000000000*VLOOKUP($A74,'Growth Scenarios'!$A$3:$D$80,MATCH('Scenario Picker'!$B$2,'Growth Scenarios'!$B$2:$D$2,0)+1)</f>
        <v>83.284639496888701</v>
      </c>
      <c r="I74" s="28">
        <f t="shared" ca="1" si="3"/>
        <v>474.25374369786761</v>
      </c>
      <c r="J74" s="25">
        <f ca="1">(1-'Electrification Scenario'!B80)*VLOOKUP(B$3,'Static Parameters'!$A$3:$B$9,2)*VLOOKUP($A74,'Growth Scenarios'!$E$3:$I$80,MATCH('Scenario Picker'!$B$3,'Growth Scenarios'!$F$2:$I$2,0)+1)/1000000000*VLOOKUP($A74,'Growth Scenarios'!$A$3:$D$80,MATCH('Scenario Picker'!$B$2,'Growth Scenarios'!$B$2:$D$2,0)+1)</f>
        <v>6.9223596464946464</v>
      </c>
      <c r="K74" s="21">
        <f ca="1">(1-'Electrification Scenario'!C80)*VLOOKUP(C$3,'Static Parameters'!$A$3:$B$9,2)*VLOOKUP($A74,'Growth Scenarios'!$E$3:$I$80,MATCH('Scenario Picker'!$B$3,'Growth Scenarios'!$F$2:$I$2,0)+1)/1000000000*VLOOKUP($A74,'Growth Scenarios'!$A$3:$D$80,MATCH('Scenario Picker'!$B$2,'Growth Scenarios'!$B$2:$D$2,0)+1)</f>
        <v>0</v>
      </c>
      <c r="L74" s="21">
        <f ca="1">(1-'Electrification Scenario'!D80)*VLOOKUP(D$3,'Static Parameters'!$A$3:$B$9,2)*VLOOKUP($A74,'Growth Scenarios'!$E$3:$I$80,MATCH('Scenario Picker'!$B$3,'Growth Scenarios'!$F$2:$I$2,0)+1)/1000000000*VLOOKUP($A74,'Growth Scenarios'!$A$3:$D$80,MATCH('Scenario Picker'!$B$2,'Growth Scenarios'!$B$2:$D$2,0)+1)</f>
        <v>0.28843165193727699</v>
      </c>
      <c r="M74" s="21">
        <f ca="1">(1-'Electrification Scenario'!E80)*VLOOKUP(E$3,'Static Parameters'!$A$3:$B$9,2)*VLOOKUP($A74,'Growth Scenarios'!$E$3:$I$80,MATCH('Scenario Picker'!$B$3,'Growth Scenarios'!$F$2:$I$2,0)+1)/1000000000*VLOOKUP($A74,'Growth Scenarios'!$A$3:$D$80,MATCH('Scenario Picker'!$B$2,'Growth Scenarios'!$B$2:$D$2,0)+1)</f>
        <v>0</v>
      </c>
      <c r="N74" s="21">
        <f ca="1">(1-'Electrification Scenario'!F80)*VLOOKUP(F$3,'Static Parameters'!$A$3:$B$9,2)*VLOOKUP($A74,'Growth Scenarios'!$E$3:$I$80,MATCH('Scenario Picker'!$B$3,'Growth Scenarios'!$F$2:$I$2,0)+1)/1000000000*VLOOKUP($A74,'Growth Scenarios'!$A$3:$D$80,MATCH('Scenario Picker'!$B$2,'Growth Scenarios'!$B$2:$D$2,0)+1)</f>
        <v>3.0645863018335677</v>
      </c>
      <c r="O74" s="21">
        <f ca="1">(1-'Electrification Scenario'!G80)*VLOOKUP(G$3,'Static Parameters'!$A$3:$B$9,2)*VLOOKUP($A74,'Growth Scenarios'!$E$3:$I$80,MATCH('Scenario Picker'!$B$3,'Growth Scenarios'!$F$2:$I$2,0)+1)/1000000000*VLOOKUP($A74,'Growth Scenarios'!$A$3:$D$80,MATCH('Scenario Picker'!$B$2,'Growth Scenarios'!$B$2:$D$2,0)+1)</f>
        <v>0</v>
      </c>
      <c r="P74" s="21">
        <f ca="1">(1-'Electrification Scenario'!H80)*VLOOKUP(H$3,'Static Parameters'!$A$3:$B$9,2)*VLOOKUP($A74,'Growth Scenarios'!$E$3:$I$80,MATCH('Scenario Picker'!$B$3,'Growth Scenarios'!$F$2:$I$2,0)+1)/1000000000*VLOOKUP($A74,'Growth Scenarios'!$A$3:$D$80,MATCH('Scenario Picker'!$B$2,'Growth Scenarios'!$B$2:$D$2,0)+1)</f>
        <v>55.523092997925808</v>
      </c>
      <c r="Q74" s="28">
        <f t="shared" ca="1" si="4"/>
        <v>65.798470598191301</v>
      </c>
      <c r="R74" s="28">
        <f t="shared" ca="1" si="5"/>
        <v>540.05221429605888</v>
      </c>
    </row>
    <row r="75" spans="1:18" ht="15" x14ac:dyDescent="0.35">
      <c r="A75" s="31">
        <v>2093</v>
      </c>
      <c r="B75" s="25">
        <f ca="1">'Electrification Scenario'!B81*(1-'Electrification Scenario'!B$8*('Electrification Scenario'!B81-'Electrification Scenario'!B$4)/('Electrification Scenario'!B$5-'Electrification Scenario'!B$4))*VLOOKUP(B$3,'Static Parameters'!$A$3:$B$9,2)*VLOOKUP($A75,'Growth Scenarios'!$E$3:$I$80,MATCH('Scenario Picker'!$B$3,'Growth Scenarios'!$F$2:$I$2,0)+1)/1000000000*VLOOKUP($A75,'Growth Scenarios'!$A$3:$D$80,MATCH('Scenario Picker'!$B$2,'Growth Scenarios'!$B$2:$D$2,0)+1)</f>
        <v>8.3166135912453267</v>
      </c>
      <c r="C75" s="21">
        <f ca="1">'Electrification Scenario'!C81*(1-'Electrification Scenario'!C$8*('Electrification Scenario'!C81-'Electrification Scenario'!C$4)/('Electrification Scenario'!C$5-'Electrification Scenario'!C$4))*VLOOKUP(C$3,'Static Parameters'!$A$3:$B$9,2)*VLOOKUP($A75,'Growth Scenarios'!$E$3:$I$80,MATCH('Scenario Picker'!$B$3,'Growth Scenarios'!$F$2:$I$2,0)+1)/1000000000*VLOOKUP($A75,'Growth Scenarios'!$A$3:$D$80,MATCH('Scenario Picker'!$B$2,'Growth Scenarios'!$B$2:$D$2,0)+1)</f>
        <v>50.823749724277008</v>
      </c>
      <c r="D75" s="21">
        <f ca="1">'Electrification Scenario'!D81*(1-'Electrification Scenario'!D$8*('Electrification Scenario'!D81-'Electrification Scenario'!D$4)/('Electrification Scenario'!D$5-'Electrification Scenario'!D$4))*VLOOKUP(D$3,'Static Parameters'!$A$3:$B$9,2)*VLOOKUP($A75,'Growth Scenarios'!$E$3:$I$80,MATCH('Scenario Picker'!$B$3,'Growth Scenarios'!$F$2:$I$2,0)+1)/1000000000*VLOOKUP($A75,'Growth Scenarios'!$A$3:$D$80,MATCH('Scenario Picker'!$B$2,'Growth Scenarios'!$B$2:$D$2,0)+1)</f>
        <v>0.34652556630188863</v>
      </c>
      <c r="E75" s="21">
        <f ca="1">'Electrification Scenario'!E81*(1-'Electrification Scenario'!E$8*('Electrification Scenario'!E81-'Electrification Scenario'!E$4)/('Electrification Scenario'!E$5-'Electrification Scenario'!E$4))*VLOOKUP(E$3,'Static Parameters'!$A$3:$B$9,2)*VLOOKUP($A75,'Growth Scenarios'!$E$3:$I$80,MATCH('Scenario Picker'!$B$3,'Growth Scenarios'!$F$2:$I$2,0)+1)/1000000000*VLOOKUP($A75,'Growth Scenarios'!$A$3:$D$80,MATCH('Scenario Picker'!$B$2,'Growth Scenarios'!$B$2:$D$2,0)+1)</f>
        <v>194.63185973956081</v>
      </c>
      <c r="F75" s="21">
        <f ca="1">'Electrification Scenario'!F81*(1-'Electrification Scenario'!F$8*('Electrification Scenario'!F81-'Electrification Scenario'!F$4)/('Electrification Scenario'!F$5-'Electrification Scenario'!F$4))*VLOOKUP(F$3,'Static Parameters'!$A$3:$B$9,2)*VLOOKUP($A75,'Growth Scenarios'!$E$3:$I$80,MATCH('Scenario Picker'!$B$3,'Growth Scenarios'!$F$2:$I$2,0)+1)/1000000000*VLOOKUP($A75,'Growth Scenarios'!$A$3:$D$80,MATCH('Scenario Picker'!$B$2,'Growth Scenarios'!$B$2:$D$2,0)+1)</f>
        <v>7.3636682839151355</v>
      </c>
      <c r="G75" s="21">
        <f ca="1">'Electrification Scenario'!G81*(1-'Electrification Scenario'!G$8*('Electrification Scenario'!G81-'Electrification Scenario'!G$4)/('Electrification Scenario'!G$5-'Electrification Scenario'!G$4))*VLOOKUP(G$3,'Static Parameters'!$A$3:$B$9,2)*VLOOKUP($A75,'Growth Scenarios'!$E$3:$I$80,MATCH('Scenario Picker'!$B$3,'Growth Scenarios'!$F$2:$I$2,0)+1)/1000000000*VLOOKUP($A75,'Growth Scenarios'!$A$3:$D$80,MATCH('Scenario Picker'!$B$2,'Growth Scenarios'!$B$2:$D$2,0)+1)</f>
        <v>129.94708736320825</v>
      </c>
      <c r="H75" s="21">
        <f ca="1">'Electrification Scenario'!H81*(1-'Electrification Scenario'!H$8*('Electrification Scenario'!H81-'Electrification Scenario'!H$4)/('Electrification Scenario'!H$5-'Electrification Scenario'!H$4))*VLOOKUP(H$3,'Static Parameters'!$A$3:$B$9,2)*VLOOKUP($A75,'Growth Scenarios'!$E$3:$I$80,MATCH('Scenario Picker'!$B$3,'Growth Scenarios'!$F$2:$I$2,0)+1)/1000000000*VLOOKUP($A75,'Growth Scenarios'!$A$3:$D$80,MATCH('Scenario Picker'!$B$2,'Growth Scenarios'!$B$2:$D$2,0)+1)</f>
        <v>83.382714391391957</v>
      </c>
      <c r="I75" s="28">
        <f t="shared" ca="1" si="3"/>
        <v>474.8122186599004</v>
      </c>
      <c r="J75" s="25">
        <f ca="1">(1-'Electrification Scenario'!B81)*VLOOKUP(B$3,'Static Parameters'!$A$3:$B$9,2)*VLOOKUP($A75,'Growth Scenarios'!$E$3:$I$80,MATCH('Scenario Picker'!$B$3,'Growth Scenarios'!$F$2:$I$2,0)+1)/1000000000*VLOOKUP($A75,'Growth Scenarios'!$A$3:$D$80,MATCH('Scenario Picker'!$B$2,'Growth Scenarios'!$B$2:$D$2,0)+1)</f>
        <v>6.9305113260377738</v>
      </c>
      <c r="K75" s="21">
        <f ca="1">(1-'Electrification Scenario'!C81)*VLOOKUP(C$3,'Static Parameters'!$A$3:$B$9,2)*VLOOKUP($A75,'Growth Scenarios'!$E$3:$I$80,MATCH('Scenario Picker'!$B$3,'Growth Scenarios'!$F$2:$I$2,0)+1)/1000000000*VLOOKUP($A75,'Growth Scenarios'!$A$3:$D$80,MATCH('Scenario Picker'!$B$2,'Growth Scenarios'!$B$2:$D$2,0)+1)</f>
        <v>0</v>
      </c>
      <c r="L75" s="21">
        <f ca="1">(1-'Electrification Scenario'!D81)*VLOOKUP(D$3,'Static Parameters'!$A$3:$B$9,2)*VLOOKUP($A75,'Growth Scenarios'!$E$3:$I$80,MATCH('Scenario Picker'!$B$3,'Growth Scenarios'!$F$2:$I$2,0)+1)/1000000000*VLOOKUP($A75,'Growth Scenarios'!$A$3:$D$80,MATCH('Scenario Picker'!$B$2,'Growth Scenarios'!$B$2:$D$2,0)+1)</f>
        <v>0.28877130525157385</v>
      </c>
      <c r="M75" s="21">
        <f ca="1">(1-'Electrification Scenario'!E81)*VLOOKUP(E$3,'Static Parameters'!$A$3:$B$9,2)*VLOOKUP($A75,'Growth Scenarios'!$E$3:$I$80,MATCH('Scenario Picker'!$B$3,'Growth Scenarios'!$F$2:$I$2,0)+1)/1000000000*VLOOKUP($A75,'Growth Scenarios'!$A$3:$D$80,MATCH('Scenario Picker'!$B$2,'Growth Scenarios'!$B$2:$D$2,0)+1)</f>
        <v>0</v>
      </c>
      <c r="N75" s="21">
        <f ca="1">(1-'Electrification Scenario'!F81)*VLOOKUP(F$3,'Static Parameters'!$A$3:$B$9,2)*VLOOKUP($A75,'Growth Scenarios'!$E$3:$I$80,MATCH('Scenario Picker'!$B$3,'Growth Scenarios'!$F$2:$I$2,0)+1)/1000000000*VLOOKUP($A75,'Growth Scenarios'!$A$3:$D$80,MATCH('Scenario Picker'!$B$2,'Growth Scenarios'!$B$2:$D$2,0)+1)</f>
        <v>3.068195118297973</v>
      </c>
      <c r="O75" s="21">
        <f ca="1">(1-'Electrification Scenario'!G81)*VLOOKUP(G$3,'Static Parameters'!$A$3:$B$9,2)*VLOOKUP($A75,'Growth Scenarios'!$E$3:$I$80,MATCH('Scenario Picker'!$B$3,'Growth Scenarios'!$F$2:$I$2,0)+1)/1000000000*VLOOKUP($A75,'Growth Scenarios'!$A$3:$D$80,MATCH('Scenario Picker'!$B$2,'Growth Scenarios'!$B$2:$D$2,0)+1)</f>
        <v>0</v>
      </c>
      <c r="P75" s="21">
        <f ca="1">(1-'Electrification Scenario'!H81)*VLOOKUP(H$3,'Static Parameters'!$A$3:$B$9,2)*VLOOKUP($A75,'Growth Scenarios'!$E$3:$I$80,MATCH('Scenario Picker'!$B$3,'Growth Scenarios'!$F$2:$I$2,0)+1)/1000000000*VLOOKUP($A75,'Growth Scenarios'!$A$3:$D$80,MATCH('Scenario Picker'!$B$2,'Growth Scenarios'!$B$2:$D$2,0)+1)</f>
        <v>55.588476260927969</v>
      </c>
      <c r="Q75" s="28">
        <f t="shared" ca="1" si="4"/>
        <v>65.875954010515287</v>
      </c>
      <c r="R75" s="28">
        <f t="shared" ca="1" si="5"/>
        <v>540.68817267041572</v>
      </c>
    </row>
    <row r="76" spans="1:18" ht="15" x14ac:dyDescent="0.35">
      <c r="A76" s="31">
        <v>2094</v>
      </c>
      <c r="B76" s="25">
        <f ca="1">'Electrification Scenario'!B82*(1-'Electrification Scenario'!B$8*('Electrification Scenario'!B82-'Electrification Scenario'!B$4)/('Electrification Scenario'!B$5-'Electrification Scenario'!B$4))*VLOOKUP(B$3,'Static Parameters'!$A$3:$B$9,2)*VLOOKUP($A76,'Growth Scenarios'!$E$3:$I$80,MATCH('Scenario Picker'!$B$3,'Growth Scenarios'!$F$2:$I$2,0)+1)/1000000000*VLOOKUP($A76,'Growth Scenarios'!$A$3:$D$80,MATCH('Scenario Picker'!$B$2,'Growth Scenarios'!$B$2:$D$2,0)+1)</f>
        <v>8.3245266553905779</v>
      </c>
      <c r="C76" s="21">
        <f ca="1">'Electrification Scenario'!C82*(1-'Electrification Scenario'!C$8*('Electrification Scenario'!C82-'Electrification Scenario'!C$4)/('Electrification Scenario'!C$5-'Electrification Scenario'!C$4))*VLOOKUP(C$3,'Static Parameters'!$A$3:$B$9,2)*VLOOKUP($A76,'Growth Scenarios'!$E$3:$I$80,MATCH('Scenario Picker'!$B$3,'Growth Scenarios'!$F$2:$I$2,0)+1)/1000000000*VLOOKUP($A76,'Growth Scenarios'!$A$3:$D$80,MATCH('Scenario Picker'!$B$2,'Growth Scenarios'!$B$2:$D$2,0)+1)</f>
        <v>50.87210733849799</v>
      </c>
      <c r="D76" s="21">
        <f ca="1">'Electrification Scenario'!D82*(1-'Electrification Scenario'!D$8*('Electrification Scenario'!D82-'Electrification Scenario'!D$4)/('Electrification Scenario'!D$5-'Electrification Scenario'!D$4))*VLOOKUP(D$3,'Static Parameters'!$A$3:$B$9,2)*VLOOKUP($A76,'Growth Scenarios'!$E$3:$I$80,MATCH('Scenario Picker'!$B$3,'Growth Scenarios'!$F$2:$I$2,0)+1)/1000000000*VLOOKUP($A76,'Growth Scenarios'!$A$3:$D$80,MATCH('Scenario Picker'!$B$2,'Growth Scenarios'!$B$2:$D$2,0)+1)</f>
        <v>0.3468552773079408</v>
      </c>
      <c r="E76" s="21">
        <f ca="1">'Electrification Scenario'!E82*(1-'Electrification Scenario'!E$8*('Electrification Scenario'!E82-'Electrification Scenario'!E$4)/('Electrification Scenario'!E$5-'Electrification Scenario'!E$4))*VLOOKUP(E$3,'Static Parameters'!$A$3:$B$9,2)*VLOOKUP($A76,'Growth Scenarios'!$E$3:$I$80,MATCH('Scenario Picker'!$B$3,'Growth Scenarios'!$F$2:$I$2,0)+1)/1000000000*VLOOKUP($A76,'Growth Scenarios'!$A$3:$D$80,MATCH('Scenario Picker'!$B$2,'Growth Scenarios'!$B$2:$D$2,0)+1)</f>
        <v>194.81704742129344</v>
      </c>
      <c r="F76" s="21">
        <f ca="1">'Electrification Scenario'!F82*(1-'Electrification Scenario'!F$8*('Electrification Scenario'!F82-'Electrification Scenario'!F$4)/('Electrification Scenario'!F$5-'Electrification Scenario'!F$4))*VLOOKUP(F$3,'Static Parameters'!$A$3:$B$9,2)*VLOOKUP($A76,'Growth Scenarios'!$E$3:$I$80,MATCH('Scenario Picker'!$B$3,'Growth Scenarios'!$F$2:$I$2,0)+1)/1000000000*VLOOKUP($A76,'Growth Scenarios'!$A$3:$D$80,MATCH('Scenario Picker'!$B$2,'Growth Scenarios'!$B$2:$D$2,0)+1)</f>
        <v>7.3706746427937446</v>
      </c>
      <c r="G76" s="21">
        <f ca="1">'Electrification Scenario'!G82*(1-'Electrification Scenario'!G$8*('Electrification Scenario'!G82-'Electrification Scenario'!G$4)/('Electrification Scenario'!G$5-'Electrification Scenario'!G$4))*VLOOKUP(G$3,'Static Parameters'!$A$3:$B$9,2)*VLOOKUP($A76,'Growth Scenarios'!$E$3:$I$80,MATCH('Scenario Picker'!$B$3,'Growth Scenarios'!$F$2:$I$2,0)+1)/1000000000*VLOOKUP($A76,'Growth Scenarios'!$A$3:$D$80,MATCH('Scenario Picker'!$B$2,'Growth Scenarios'!$B$2:$D$2,0)+1)</f>
        <v>130.07072899047782</v>
      </c>
      <c r="H76" s="21">
        <f ca="1">'Electrification Scenario'!H82*(1-'Electrification Scenario'!H$8*('Electrification Scenario'!H82-'Electrification Scenario'!H$4)/('Electrification Scenario'!H$5-'Electrification Scenario'!H$4))*VLOOKUP(H$3,'Static Parameters'!$A$3:$B$9,2)*VLOOKUP($A76,'Growth Scenarios'!$E$3:$I$80,MATCH('Scenario Picker'!$B$3,'Growth Scenarios'!$F$2:$I$2,0)+1)/1000000000*VLOOKUP($A76,'Growth Scenarios'!$A$3:$D$80,MATCH('Scenario Picker'!$B$2,'Growth Scenarios'!$B$2:$D$2,0)+1)</f>
        <v>83.462051102223242</v>
      </c>
      <c r="I76" s="28">
        <f t="shared" ca="1" si="3"/>
        <v>475.26399142798476</v>
      </c>
      <c r="J76" s="25">
        <f ca="1">(1-'Electrification Scenario'!B82)*VLOOKUP(B$3,'Static Parameters'!$A$3:$B$9,2)*VLOOKUP($A76,'Growth Scenarios'!$E$3:$I$80,MATCH('Scenario Picker'!$B$3,'Growth Scenarios'!$F$2:$I$2,0)+1)/1000000000*VLOOKUP($A76,'Growth Scenarios'!$A$3:$D$80,MATCH('Scenario Picker'!$B$2,'Growth Scenarios'!$B$2:$D$2,0)+1)</f>
        <v>6.9371055461588167</v>
      </c>
      <c r="K76" s="21">
        <f ca="1">(1-'Electrification Scenario'!C82)*VLOOKUP(C$3,'Static Parameters'!$A$3:$B$9,2)*VLOOKUP($A76,'Growth Scenarios'!$E$3:$I$80,MATCH('Scenario Picker'!$B$3,'Growth Scenarios'!$F$2:$I$2,0)+1)/1000000000*VLOOKUP($A76,'Growth Scenarios'!$A$3:$D$80,MATCH('Scenario Picker'!$B$2,'Growth Scenarios'!$B$2:$D$2,0)+1)</f>
        <v>0</v>
      </c>
      <c r="L76" s="21">
        <f ca="1">(1-'Electrification Scenario'!D82)*VLOOKUP(D$3,'Static Parameters'!$A$3:$B$9,2)*VLOOKUP($A76,'Growth Scenarios'!$E$3:$I$80,MATCH('Scenario Picker'!$B$3,'Growth Scenarios'!$F$2:$I$2,0)+1)/1000000000*VLOOKUP($A76,'Growth Scenarios'!$A$3:$D$80,MATCH('Scenario Picker'!$B$2,'Growth Scenarios'!$B$2:$D$2,0)+1)</f>
        <v>0.28904606442328401</v>
      </c>
      <c r="M76" s="21">
        <f ca="1">(1-'Electrification Scenario'!E82)*VLOOKUP(E$3,'Static Parameters'!$A$3:$B$9,2)*VLOOKUP($A76,'Growth Scenarios'!$E$3:$I$80,MATCH('Scenario Picker'!$B$3,'Growth Scenarios'!$F$2:$I$2,0)+1)/1000000000*VLOOKUP($A76,'Growth Scenarios'!$A$3:$D$80,MATCH('Scenario Picker'!$B$2,'Growth Scenarios'!$B$2:$D$2,0)+1)</f>
        <v>0</v>
      </c>
      <c r="N76" s="21">
        <f ca="1">(1-'Electrification Scenario'!F82)*VLOOKUP(F$3,'Static Parameters'!$A$3:$B$9,2)*VLOOKUP($A76,'Growth Scenarios'!$E$3:$I$80,MATCH('Scenario Picker'!$B$3,'Growth Scenarios'!$F$2:$I$2,0)+1)/1000000000*VLOOKUP($A76,'Growth Scenarios'!$A$3:$D$80,MATCH('Scenario Picker'!$B$2,'Growth Scenarios'!$B$2:$D$2,0)+1)</f>
        <v>3.0711144344973929</v>
      </c>
      <c r="O76" s="21">
        <f ca="1">(1-'Electrification Scenario'!G82)*VLOOKUP(G$3,'Static Parameters'!$A$3:$B$9,2)*VLOOKUP($A76,'Growth Scenarios'!$E$3:$I$80,MATCH('Scenario Picker'!$B$3,'Growth Scenarios'!$F$2:$I$2,0)+1)/1000000000*VLOOKUP($A76,'Growth Scenarios'!$A$3:$D$80,MATCH('Scenario Picker'!$B$2,'Growth Scenarios'!$B$2:$D$2,0)+1)</f>
        <v>0</v>
      </c>
      <c r="P76" s="21">
        <f ca="1">(1-'Electrification Scenario'!H82)*VLOOKUP(H$3,'Static Parameters'!$A$3:$B$9,2)*VLOOKUP($A76,'Growth Scenarios'!$E$3:$I$80,MATCH('Scenario Picker'!$B$3,'Growth Scenarios'!$F$2:$I$2,0)+1)/1000000000*VLOOKUP($A76,'Growth Scenarios'!$A$3:$D$80,MATCH('Scenario Picker'!$B$2,'Growth Scenarios'!$B$2:$D$2,0)+1)</f>
        <v>55.641367401482171</v>
      </c>
      <c r="Q76" s="28">
        <f t="shared" ca="1" si="4"/>
        <v>65.938633446561667</v>
      </c>
      <c r="R76" s="28">
        <f t="shared" ca="1" si="5"/>
        <v>541.20262487454647</v>
      </c>
    </row>
    <row r="77" spans="1:18" ht="15" x14ac:dyDescent="0.35">
      <c r="A77" s="31">
        <v>2095</v>
      </c>
      <c r="B77" s="25">
        <f ca="1">'Electrification Scenario'!B83*(1-'Electrification Scenario'!B$8*('Electrification Scenario'!B83-'Electrification Scenario'!B$4)/('Electrification Scenario'!B$5-'Electrification Scenario'!B$4))*VLOOKUP(B$3,'Static Parameters'!$A$3:$B$9,2)*VLOOKUP($A77,'Growth Scenarios'!$E$3:$I$80,MATCH('Scenario Picker'!$B$3,'Growth Scenarios'!$F$2:$I$2,0)+1)/1000000000*VLOOKUP($A77,'Growth Scenarios'!$A$3:$D$80,MATCH('Scenario Picker'!$B$2,'Growth Scenarios'!$B$2:$D$2,0)+1)</f>
        <v>8.3306484227748481</v>
      </c>
      <c r="C77" s="21">
        <f ca="1">'Electrification Scenario'!C83*(1-'Electrification Scenario'!C$8*('Electrification Scenario'!C83-'Electrification Scenario'!C$4)/('Electrification Scenario'!C$5-'Electrification Scenario'!C$4))*VLOOKUP(C$3,'Static Parameters'!$A$3:$B$9,2)*VLOOKUP($A77,'Growth Scenarios'!$E$3:$I$80,MATCH('Scenario Picker'!$B$3,'Growth Scenarios'!$F$2:$I$2,0)+1)/1000000000*VLOOKUP($A77,'Growth Scenarios'!$A$3:$D$80,MATCH('Scenario Picker'!$B$2,'Growth Scenarios'!$B$2:$D$2,0)+1)</f>
        <v>50.909518139179639</v>
      </c>
      <c r="D77" s="21">
        <f ca="1">'Electrification Scenario'!D83*(1-'Electrification Scenario'!D$8*('Electrification Scenario'!D83-'Electrification Scenario'!D$4)/('Electrification Scenario'!D$5-'Electrification Scenario'!D$4))*VLOOKUP(D$3,'Static Parameters'!$A$3:$B$9,2)*VLOOKUP($A77,'Growth Scenarios'!$E$3:$I$80,MATCH('Scenario Picker'!$B$3,'Growth Scenarios'!$F$2:$I$2,0)+1)/1000000000*VLOOKUP($A77,'Growth Scenarios'!$A$3:$D$80,MATCH('Scenario Picker'!$B$2,'Growth Scenarios'!$B$2:$D$2,0)+1)</f>
        <v>0.3471103509489521</v>
      </c>
      <c r="E77" s="21">
        <f ca="1">'Electrification Scenario'!E83*(1-'Electrification Scenario'!E$8*('Electrification Scenario'!E83-'Electrification Scenario'!E$4)/('Electrification Scenario'!E$5-'Electrification Scenario'!E$4))*VLOOKUP(E$3,'Static Parameters'!$A$3:$B$9,2)*VLOOKUP($A77,'Growth Scenarios'!$E$3:$I$80,MATCH('Scenario Picker'!$B$3,'Growth Scenarios'!$F$2:$I$2,0)+1)/1000000000*VLOOKUP($A77,'Growth Scenarios'!$A$3:$D$80,MATCH('Scenario Picker'!$B$2,'Growth Scenarios'!$B$2:$D$2,0)+1)</f>
        <v>194.96031378299472</v>
      </c>
      <c r="F77" s="21">
        <f ca="1">'Electrification Scenario'!F83*(1-'Electrification Scenario'!F$8*('Electrification Scenario'!F83-'Electrification Scenario'!F$4)/('Electrification Scenario'!F$5-'Electrification Scenario'!F$4))*VLOOKUP(F$3,'Static Parameters'!$A$3:$B$9,2)*VLOOKUP($A77,'Growth Scenarios'!$E$3:$I$80,MATCH('Scenario Picker'!$B$3,'Growth Scenarios'!$F$2:$I$2,0)+1)/1000000000*VLOOKUP($A77,'Growth Scenarios'!$A$3:$D$80,MATCH('Scenario Picker'!$B$2,'Growth Scenarios'!$B$2:$D$2,0)+1)</f>
        <v>7.3760949576652317</v>
      </c>
      <c r="G77" s="21">
        <f ca="1">'Electrification Scenario'!G83*(1-'Electrification Scenario'!G$8*('Electrification Scenario'!G83-'Electrification Scenario'!G$4)/('Electrification Scenario'!G$5-'Electrification Scenario'!G$4))*VLOOKUP(G$3,'Static Parameters'!$A$3:$B$9,2)*VLOOKUP($A77,'Growth Scenarios'!$E$3:$I$80,MATCH('Scenario Picker'!$B$3,'Growth Scenarios'!$F$2:$I$2,0)+1)/1000000000*VLOOKUP($A77,'Growth Scenarios'!$A$3:$D$80,MATCH('Scenario Picker'!$B$2,'Growth Scenarios'!$B$2:$D$2,0)+1)</f>
        <v>130.16638160585703</v>
      </c>
      <c r="H77" s="21">
        <f ca="1">'Electrification Scenario'!H83*(1-'Electrification Scenario'!H$8*('Electrification Scenario'!H83-'Electrification Scenario'!H$4)/('Electrification Scenario'!H$5-'Electrification Scenario'!H$4))*VLOOKUP(H$3,'Static Parameters'!$A$3:$B$9,2)*VLOOKUP($A77,'Growth Scenarios'!$E$3:$I$80,MATCH('Scenario Picker'!$B$3,'Growth Scenarios'!$F$2:$I$2,0)+1)/1000000000*VLOOKUP($A77,'Growth Scenarios'!$A$3:$D$80,MATCH('Scenario Picker'!$B$2,'Growth Scenarios'!$B$2:$D$2,0)+1)</f>
        <v>83.523428197091576</v>
      </c>
      <c r="I77" s="28">
        <f t="shared" ca="1" si="3"/>
        <v>475.61349545651194</v>
      </c>
      <c r="J77" s="25">
        <f ca="1">(1-'Electrification Scenario'!B83)*VLOOKUP(B$3,'Static Parameters'!$A$3:$B$9,2)*VLOOKUP($A77,'Growth Scenarios'!$E$3:$I$80,MATCH('Scenario Picker'!$B$3,'Growth Scenarios'!$F$2:$I$2,0)+1)/1000000000*VLOOKUP($A77,'Growth Scenarios'!$A$3:$D$80,MATCH('Scenario Picker'!$B$2,'Growth Scenarios'!$B$2:$D$2,0)+1)</f>
        <v>6.9422070189790412</v>
      </c>
      <c r="K77" s="21">
        <f ca="1">(1-'Electrification Scenario'!C83)*VLOOKUP(C$3,'Static Parameters'!$A$3:$B$9,2)*VLOOKUP($A77,'Growth Scenarios'!$E$3:$I$80,MATCH('Scenario Picker'!$B$3,'Growth Scenarios'!$F$2:$I$2,0)+1)/1000000000*VLOOKUP($A77,'Growth Scenarios'!$A$3:$D$80,MATCH('Scenario Picker'!$B$2,'Growth Scenarios'!$B$2:$D$2,0)+1)</f>
        <v>0</v>
      </c>
      <c r="L77" s="21">
        <f ca="1">(1-'Electrification Scenario'!D83)*VLOOKUP(D$3,'Static Parameters'!$A$3:$B$9,2)*VLOOKUP($A77,'Growth Scenarios'!$E$3:$I$80,MATCH('Scenario Picker'!$B$3,'Growth Scenarios'!$F$2:$I$2,0)+1)/1000000000*VLOOKUP($A77,'Growth Scenarios'!$A$3:$D$80,MATCH('Scenario Picker'!$B$2,'Growth Scenarios'!$B$2:$D$2,0)+1)</f>
        <v>0.28925862579079337</v>
      </c>
      <c r="M77" s="21">
        <f ca="1">(1-'Electrification Scenario'!E83)*VLOOKUP(E$3,'Static Parameters'!$A$3:$B$9,2)*VLOOKUP($A77,'Growth Scenarios'!$E$3:$I$80,MATCH('Scenario Picker'!$B$3,'Growth Scenarios'!$F$2:$I$2,0)+1)/1000000000*VLOOKUP($A77,'Growth Scenarios'!$A$3:$D$80,MATCH('Scenario Picker'!$B$2,'Growth Scenarios'!$B$2:$D$2,0)+1)</f>
        <v>0</v>
      </c>
      <c r="N77" s="21">
        <f ca="1">(1-'Electrification Scenario'!F83)*VLOOKUP(F$3,'Static Parameters'!$A$3:$B$9,2)*VLOOKUP($A77,'Growth Scenarios'!$E$3:$I$80,MATCH('Scenario Picker'!$B$3,'Growth Scenarios'!$F$2:$I$2,0)+1)/1000000000*VLOOKUP($A77,'Growth Scenarios'!$A$3:$D$80,MATCH('Scenario Picker'!$B$2,'Growth Scenarios'!$B$2:$D$2,0)+1)</f>
        <v>3.0733728990271798</v>
      </c>
      <c r="O77" s="21">
        <f ca="1">(1-'Electrification Scenario'!G83)*VLOOKUP(G$3,'Static Parameters'!$A$3:$B$9,2)*VLOOKUP($A77,'Growth Scenarios'!$E$3:$I$80,MATCH('Scenario Picker'!$B$3,'Growth Scenarios'!$F$2:$I$2,0)+1)/1000000000*VLOOKUP($A77,'Growth Scenarios'!$A$3:$D$80,MATCH('Scenario Picker'!$B$2,'Growth Scenarios'!$B$2:$D$2,0)+1)</f>
        <v>0</v>
      </c>
      <c r="P77" s="21">
        <f ca="1">(1-'Electrification Scenario'!H83)*VLOOKUP(H$3,'Static Parameters'!$A$3:$B$9,2)*VLOOKUP($A77,'Growth Scenarios'!$E$3:$I$80,MATCH('Scenario Picker'!$B$3,'Growth Scenarios'!$F$2:$I$2,0)+1)/1000000000*VLOOKUP($A77,'Growth Scenarios'!$A$3:$D$80,MATCH('Scenario Picker'!$B$2,'Growth Scenarios'!$B$2:$D$2,0)+1)</f>
        <v>55.68228546472772</v>
      </c>
      <c r="Q77" s="28">
        <f t="shared" ca="1" si="4"/>
        <v>65.987124008524731</v>
      </c>
      <c r="R77" s="28">
        <f t="shared" ca="1" si="5"/>
        <v>541.60061946503663</v>
      </c>
    </row>
    <row r="78" spans="1:18" ht="15" x14ac:dyDescent="0.35">
      <c r="A78" s="31">
        <v>2096</v>
      </c>
      <c r="B78" s="25">
        <f ca="1">'Electrification Scenario'!B84*(1-'Electrification Scenario'!B$8*('Electrification Scenario'!B84-'Electrification Scenario'!B$4)/('Electrification Scenario'!B$5-'Electrification Scenario'!B$4))*VLOOKUP(B$3,'Static Parameters'!$A$3:$B$9,2)*VLOOKUP($A78,'Growth Scenarios'!$E$3:$I$80,MATCH('Scenario Picker'!$B$3,'Growth Scenarios'!$F$2:$I$2,0)+1)/1000000000*VLOOKUP($A78,'Growth Scenarios'!$A$3:$D$80,MATCH('Scenario Picker'!$B$2,'Growth Scenarios'!$B$2:$D$2,0)+1)</f>
        <v>8.3350147458109909</v>
      </c>
      <c r="C78" s="21">
        <f ca="1">'Electrification Scenario'!C84*(1-'Electrification Scenario'!C$8*('Electrification Scenario'!C84-'Electrification Scenario'!C$4)/('Electrification Scenario'!C$5-'Electrification Scenario'!C$4))*VLOOKUP(C$3,'Static Parameters'!$A$3:$B$9,2)*VLOOKUP($A78,'Growth Scenarios'!$E$3:$I$80,MATCH('Scenario Picker'!$B$3,'Growth Scenarios'!$F$2:$I$2,0)+1)/1000000000*VLOOKUP($A78,'Growth Scenarios'!$A$3:$D$80,MATCH('Scenario Picker'!$B$2,'Growth Scenarios'!$B$2:$D$2,0)+1)</f>
        <v>50.936201224400513</v>
      </c>
      <c r="D78" s="21">
        <f ca="1">'Electrification Scenario'!D84*(1-'Electrification Scenario'!D$8*('Electrification Scenario'!D84-'Electrification Scenario'!D$4)/('Electrification Scenario'!D$5-'Electrification Scenario'!D$4))*VLOOKUP(D$3,'Static Parameters'!$A$3:$B$9,2)*VLOOKUP($A78,'Growth Scenarios'!$E$3:$I$80,MATCH('Scenario Picker'!$B$3,'Growth Scenarios'!$F$2:$I$2,0)+1)/1000000000*VLOOKUP($A78,'Growth Scenarios'!$A$3:$D$80,MATCH('Scenario Picker'!$B$2,'Growth Scenarios'!$B$2:$D$2,0)+1)</f>
        <v>0.34729228107545801</v>
      </c>
      <c r="E78" s="21">
        <f ca="1">'Electrification Scenario'!E84*(1-'Electrification Scenario'!E$8*('Electrification Scenario'!E84-'Electrification Scenario'!E$4)/('Electrification Scenario'!E$5-'Electrification Scenario'!E$4))*VLOOKUP(E$3,'Static Parameters'!$A$3:$B$9,2)*VLOOKUP($A78,'Growth Scenarios'!$E$3:$I$80,MATCH('Scenario Picker'!$B$3,'Growth Scenarios'!$F$2:$I$2,0)+1)/1000000000*VLOOKUP($A78,'Growth Scenarios'!$A$3:$D$80,MATCH('Scenario Picker'!$B$2,'Growth Scenarios'!$B$2:$D$2,0)+1)</f>
        <v>195.06249787071562</v>
      </c>
      <c r="F78" s="21">
        <f ca="1">'Electrification Scenario'!F84*(1-'Electrification Scenario'!F$8*('Electrification Scenario'!F84-'Electrification Scenario'!F$4)/('Electrification Scenario'!F$5-'Electrification Scenario'!F$4))*VLOOKUP(F$3,'Static Parameters'!$A$3:$B$9,2)*VLOOKUP($A78,'Growth Scenarios'!$E$3:$I$80,MATCH('Scenario Picker'!$B$3,'Growth Scenarios'!$F$2:$I$2,0)+1)/1000000000*VLOOKUP($A78,'Growth Scenarios'!$A$3:$D$80,MATCH('Scenario Picker'!$B$2,'Growth Scenarios'!$B$2:$D$2,0)+1)</f>
        <v>7.3799609728534836</v>
      </c>
      <c r="G78" s="21">
        <f ca="1">'Electrification Scenario'!G84*(1-'Electrification Scenario'!G$8*('Electrification Scenario'!G84-'Electrification Scenario'!G$4)/('Electrification Scenario'!G$5-'Electrification Scenario'!G$4))*VLOOKUP(G$3,'Static Parameters'!$A$3:$B$9,2)*VLOOKUP($A78,'Growth Scenarios'!$E$3:$I$80,MATCH('Scenario Picker'!$B$3,'Growth Scenarios'!$F$2:$I$2,0)+1)/1000000000*VLOOKUP($A78,'Growth Scenarios'!$A$3:$D$80,MATCH('Scenario Picker'!$B$2,'Growth Scenarios'!$B$2:$D$2,0)+1)</f>
        <v>130.23460540329677</v>
      </c>
      <c r="H78" s="21">
        <f ca="1">'Electrification Scenario'!H84*(1-'Electrification Scenario'!H$8*('Electrification Scenario'!H84-'Electrification Scenario'!H$4)/('Electrification Scenario'!H$5-'Electrification Scenario'!H$4))*VLOOKUP(H$3,'Static Parameters'!$A$3:$B$9,2)*VLOOKUP($A78,'Growth Scenarios'!$E$3:$I$80,MATCH('Scenario Picker'!$B$3,'Growth Scenarios'!$F$2:$I$2,0)+1)/1000000000*VLOOKUP($A78,'Growth Scenarios'!$A$3:$D$80,MATCH('Scenario Picker'!$B$2,'Growth Scenarios'!$B$2:$D$2,0)+1)</f>
        <v>83.567205133782082</v>
      </c>
      <c r="I78" s="28">
        <f t="shared" ca="1" si="3"/>
        <v>475.86277763193488</v>
      </c>
      <c r="J78" s="25">
        <f ca="1">(1-'Electrification Scenario'!B84)*VLOOKUP(B$3,'Static Parameters'!$A$3:$B$9,2)*VLOOKUP($A78,'Growth Scenarios'!$E$3:$I$80,MATCH('Scenario Picker'!$B$3,'Growth Scenarios'!$F$2:$I$2,0)+1)/1000000000*VLOOKUP($A78,'Growth Scenarios'!$A$3:$D$80,MATCH('Scenario Picker'!$B$2,'Growth Scenarios'!$B$2:$D$2,0)+1)</f>
        <v>6.9458456215091608</v>
      </c>
      <c r="K78" s="21">
        <f ca="1">(1-'Electrification Scenario'!C84)*VLOOKUP(C$3,'Static Parameters'!$A$3:$B$9,2)*VLOOKUP($A78,'Growth Scenarios'!$E$3:$I$80,MATCH('Scenario Picker'!$B$3,'Growth Scenarios'!$F$2:$I$2,0)+1)/1000000000*VLOOKUP($A78,'Growth Scenarios'!$A$3:$D$80,MATCH('Scenario Picker'!$B$2,'Growth Scenarios'!$B$2:$D$2,0)+1)</f>
        <v>0</v>
      </c>
      <c r="L78" s="21">
        <f ca="1">(1-'Electrification Scenario'!D84)*VLOOKUP(D$3,'Static Parameters'!$A$3:$B$9,2)*VLOOKUP($A78,'Growth Scenarios'!$E$3:$I$80,MATCH('Scenario Picker'!$B$3,'Growth Scenarios'!$F$2:$I$2,0)+1)/1000000000*VLOOKUP($A78,'Growth Scenarios'!$A$3:$D$80,MATCH('Scenario Picker'!$B$2,'Growth Scenarios'!$B$2:$D$2,0)+1)</f>
        <v>0.28941023422954837</v>
      </c>
      <c r="M78" s="21">
        <f ca="1">(1-'Electrification Scenario'!E84)*VLOOKUP(E$3,'Static Parameters'!$A$3:$B$9,2)*VLOOKUP($A78,'Growth Scenarios'!$E$3:$I$80,MATCH('Scenario Picker'!$B$3,'Growth Scenarios'!$F$2:$I$2,0)+1)/1000000000*VLOOKUP($A78,'Growth Scenarios'!$A$3:$D$80,MATCH('Scenario Picker'!$B$2,'Growth Scenarios'!$B$2:$D$2,0)+1)</f>
        <v>0</v>
      </c>
      <c r="N78" s="21">
        <f ca="1">(1-'Electrification Scenario'!F84)*VLOOKUP(F$3,'Static Parameters'!$A$3:$B$9,2)*VLOOKUP($A78,'Growth Scenarios'!$E$3:$I$80,MATCH('Scenario Picker'!$B$3,'Growth Scenarios'!$F$2:$I$2,0)+1)/1000000000*VLOOKUP($A78,'Growth Scenarios'!$A$3:$D$80,MATCH('Scenario Picker'!$B$2,'Growth Scenarios'!$B$2:$D$2,0)+1)</f>
        <v>3.0749837386889514</v>
      </c>
      <c r="O78" s="21">
        <f ca="1">(1-'Electrification Scenario'!G84)*VLOOKUP(G$3,'Static Parameters'!$A$3:$B$9,2)*VLOOKUP($A78,'Growth Scenarios'!$E$3:$I$80,MATCH('Scenario Picker'!$B$3,'Growth Scenarios'!$F$2:$I$2,0)+1)/1000000000*VLOOKUP($A78,'Growth Scenarios'!$A$3:$D$80,MATCH('Scenario Picker'!$B$2,'Growth Scenarios'!$B$2:$D$2,0)+1)</f>
        <v>0</v>
      </c>
      <c r="P78" s="21">
        <f ca="1">(1-'Electrification Scenario'!H84)*VLOOKUP(H$3,'Static Parameters'!$A$3:$B$9,2)*VLOOKUP($A78,'Growth Scenarios'!$E$3:$I$80,MATCH('Scenario Picker'!$B$3,'Growth Scenarios'!$F$2:$I$2,0)+1)/1000000000*VLOOKUP($A78,'Growth Scenarios'!$A$3:$D$80,MATCH('Scenario Picker'!$B$2,'Growth Scenarios'!$B$2:$D$2,0)+1)</f>
        <v>55.711470089188055</v>
      </c>
      <c r="Q78" s="28">
        <f t="shared" ca="1" si="4"/>
        <v>66.021709683615711</v>
      </c>
      <c r="R78" s="28">
        <f t="shared" ca="1" si="5"/>
        <v>541.88448731555059</v>
      </c>
    </row>
    <row r="79" spans="1:18" ht="15" x14ac:dyDescent="0.35">
      <c r="A79" s="31">
        <v>2097</v>
      </c>
      <c r="B79" s="25">
        <f ca="1">'Electrification Scenario'!B85*(1-'Electrification Scenario'!B$8*('Electrification Scenario'!B85-'Electrification Scenario'!B$4)/('Electrification Scenario'!B$5-'Electrification Scenario'!B$4))*VLOOKUP(B$3,'Static Parameters'!$A$3:$B$9,2)*VLOOKUP($A79,'Growth Scenarios'!$E$3:$I$80,MATCH('Scenario Picker'!$B$3,'Growth Scenarios'!$F$2:$I$2,0)+1)/1000000000*VLOOKUP($A79,'Growth Scenarios'!$A$3:$D$80,MATCH('Scenario Picker'!$B$2,'Growth Scenarios'!$B$2:$D$2,0)+1)</f>
        <v>8.3377380224629309</v>
      </c>
      <c r="C79" s="21">
        <f ca="1">'Electrification Scenario'!C85*(1-'Electrification Scenario'!C$8*('Electrification Scenario'!C85-'Electrification Scenario'!C$4)/('Electrification Scenario'!C$5-'Electrification Scenario'!C$4))*VLOOKUP(C$3,'Static Parameters'!$A$3:$B$9,2)*VLOOKUP($A79,'Growth Scenarios'!$E$3:$I$80,MATCH('Scenario Picker'!$B$3,'Growth Scenarios'!$F$2:$I$2,0)+1)/1000000000*VLOOKUP($A79,'Growth Scenarios'!$A$3:$D$80,MATCH('Scenario Picker'!$B$2,'Growth Scenarios'!$B$2:$D$2,0)+1)</f>
        <v>50.952843470606801</v>
      </c>
      <c r="D79" s="21">
        <f ca="1">'Electrification Scenario'!D85*(1-'Electrification Scenario'!D$8*('Electrification Scenario'!D85-'Electrification Scenario'!D$4)/('Electrification Scenario'!D$5-'Electrification Scenario'!D$4))*VLOOKUP(D$3,'Static Parameters'!$A$3:$B$9,2)*VLOOKUP($A79,'Growth Scenarios'!$E$3:$I$80,MATCH('Scenario Picker'!$B$3,'Growth Scenarios'!$F$2:$I$2,0)+1)/1000000000*VLOOKUP($A79,'Growth Scenarios'!$A$3:$D$80,MATCH('Scenario Picker'!$B$2,'Growth Scenarios'!$B$2:$D$2,0)+1)</f>
        <v>0.34740575093595549</v>
      </c>
      <c r="E79" s="21">
        <f ca="1">'Electrification Scenario'!E85*(1-'Electrification Scenario'!E$8*('Electrification Scenario'!E85-'Electrification Scenario'!E$4)/('Electrification Scenario'!E$5-'Electrification Scenario'!E$4))*VLOOKUP(E$3,'Static Parameters'!$A$3:$B$9,2)*VLOOKUP($A79,'Growth Scenarios'!$E$3:$I$80,MATCH('Scenario Picker'!$B$3,'Growth Scenarios'!$F$2:$I$2,0)+1)/1000000000*VLOOKUP($A79,'Growth Scenarios'!$A$3:$D$80,MATCH('Scenario Picker'!$B$2,'Growth Scenarios'!$B$2:$D$2,0)+1)</f>
        <v>195.12623010902831</v>
      </c>
      <c r="F79" s="21">
        <f ca="1">'Electrification Scenario'!F85*(1-'Electrification Scenario'!F$8*('Electrification Scenario'!F85-'Electrification Scenario'!F$4)/('Electrification Scenario'!F$5-'Electrification Scenario'!F$4))*VLOOKUP(F$3,'Static Parameters'!$A$3:$B$9,2)*VLOOKUP($A79,'Growth Scenarios'!$E$3:$I$80,MATCH('Scenario Picker'!$B$3,'Growth Scenarios'!$F$2:$I$2,0)+1)/1000000000*VLOOKUP($A79,'Growth Scenarios'!$A$3:$D$80,MATCH('Scenario Picker'!$B$2,'Growth Scenarios'!$B$2:$D$2,0)+1)</f>
        <v>7.3823722073890554</v>
      </c>
      <c r="G79" s="21">
        <f ca="1">'Electrification Scenario'!G85*(1-'Electrification Scenario'!G$8*('Electrification Scenario'!G85-'Electrification Scenario'!G$4)/('Electrification Scenario'!G$5-'Electrification Scenario'!G$4))*VLOOKUP(G$3,'Static Parameters'!$A$3:$B$9,2)*VLOOKUP($A79,'Growth Scenarios'!$E$3:$I$80,MATCH('Scenario Picker'!$B$3,'Growth Scenarios'!$F$2:$I$2,0)+1)/1000000000*VLOOKUP($A79,'Growth Scenarios'!$A$3:$D$80,MATCH('Scenario Picker'!$B$2,'Growth Scenarios'!$B$2:$D$2,0)+1)</f>
        <v>130.27715660098332</v>
      </c>
      <c r="H79" s="21">
        <f ca="1">'Electrification Scenario'!H85*(1-'Electrification Scenario'!H$8*('Electrification Scenario'!H85-'Electrification Scenario'!H$4)/('Electrification Scenario'!H$5-'Electrification Scenario'!H$4))*VLOOKUP(H$3,'Static Parameters'!$A$3:$B$9,2)*VLOOKUP($A79,'Growth Scenarios'!$E$3:$I$80,MATCH('Scenario Picker'!$B$3,'Growth Scenarios'!$F$2:$I$2,0)+1)/1000000000*VLOOKUP($A79,'Growth Scenarios'!$A$3:$D$80,MATCH('Scenario Picker'!$B$2,'Growth Scenarios'!$B$2:$D$2,0)+1)</f>
        <v>83.594508818964272</v>
      </c>
      <c r="I79" s="28">
        <f t="shared" ca="1" si="3"/>
        <v>476.01825498037067</v>
      </c>
      <c r="J79" s="25">
        <f ca="1">(1-'Electrification Scenario'!B85)*VLOOKUP(B$3,'Static Parameters'!$A$3:$B$9,2)*VLOOKUP($A79,'Growth Scenarios'!$E$3:$I$80,MATCH('Scenario Picker'!$B$3,'Growth Scenarios'!$F$2:$I$2,0)+1)/1000000000*VLOOKUP($A79,'Growth Scenarios'!$A$3:$D$80,MATCH('Scenario Picker'!$B$2,'Growth Scenarios'!$B$2:$D$2,0)+1)</f>
        <v>6.9481150187191103</v>
      </c>
      <c r="K79" s="21">
        <f ca="1">(1-'Electrification Scenario'!C85)*VLOOKUP(C$3,'Static Parameters'!$A$3:$B$9,2)*VLOOKUP($A79,'Growth Scenarios'!$E$3:$I$80,MATCH('Scenario Picker'!$B$3,'Growth Scenarios'!$F$2:$I$2,0)+1)/1000000000*VLOOKUP($A79,'Growth Scenarios'!$A$3:$D$80,MATCH('Scenario Picker'!$B$2,'Growth Scenarios'!$B$2:$D$2,0)+1)</f>
        <v>0</v>
      </c>
      <c r="L79" s="21">
        <f ca="1">(1-'Electrification Scenario'!D85)*VLOOKUP(D$3,'Static Parameters'!$A$3:$B$9,2)*VLOOKUP($A79,'Growth Scenarios'!$E$3:$I$80,MATCH('Scenario Picker'!$B$3,'Growth Scenarios'!$F$2:$I$2,0)+1)/1000000000*VLOOKUP($A79,'Growth Scenarios'!$A$3:$D$80,MATCH('Scenario Picker'!$B$2,'Growth Scenarios'!$B$2:$D$2,0)+1)</f>
        <v>0.28950479244662958</v>
      </c>
      <c r="M79" s="21">
        <f ca="1">(1-'Electrification Scenario'!E85)*VLOOKUP(E$3,'Static Parameters'!$A$3:$B$9,2)*VLOOKUP($A79,'Growth Scenarios'!$E$3:$I$80,MATCH('Scenario Picker'!$B$3,'Growth Scenarios'!$F$2:$I$2,0)+1)/1000000000*VLOOKUP($A79,'Growth Scenarios'!$A$3:$D$80,MATCH('Scenario Picker'!$B$2,'Growth Scenarios'!$B$2:$D$2,0)+1)</f>
        <v>0</v>
      </c>
      <c r="N79" s="21">
        <f ca="1">(1-'Electrification Scenario'!F85)*VLOOKUP(F$3,'Static Parameters'!$A$3:$B$9,2)*VLOOKUP($A79,'Growth Scenarios'!$E$3:$I$80,MATCH('Scenario Picker'!$B$3,'Growth Scenarios'!$F$2:$I$2,0)+1)/1000000000*VLOOKUP($A79,'Growth Scenarios'!$A$3:$D$80,MATCH('Scenario Picker'!$B$2,'Growth Scenarios'!$B$2:$D$2,0)+1)</f>
        <v>3.075988419745439</v>
      </c>
      <c r="O79" s="21">
        <f ca="1">(1-'Electrification Scenario'!G85)*VLOOKUP(G$3,'Static Parameters'!$A$3:$B$9,2)*VLOOKUP($A79,'Growth Scenarios'!$E$3:$I$80,MATCH('Scenario Picker'!$B$3,'Growth Scenarios'!$F$2:$I$2,0)+1)/1000000000*VLOOKUP($A79,'Growth Scenarios'!$A$3:$D$80,MATCH('Scenario Picker'!$B$2,'Growth Scenarios'!$B$2:$D$2,0)+1)</f>
        <v>0</v>
      </c>
      <c r="P79" s="21">
        <f ca="1">(1-'Electrification Scenario'!H85)*VLOOKUP(H$3,'Static Parameters'!$A$3:$B$9,2)*VLOOKUP($A79,'Growth Scenarios'!$E$3:$I$80,MATCH('Scenario Picker'!$B$3,'Growth Scenarios'!$F$2:$I$2,0)+1)/1000000000*VLOOKUP($A79,'Growth Scenarios'!$A$3:$D$80,MATCH('Scenario Picker'!$B$2,'Growth Scenarios'!$B$2:$D$2,0)+1)</f>
        <v>55.729672545976193</v>
      </c>
      <c r="Q79" s="28">
        <f t="shared" ca="1" si="4"/>
        <v>66.043280776887372</v>
      </c>
      <c r="R79" s="28">
        <f t="shared" ca="1" si="5"/>
        <v>542.06153575725807</v>
      </c>
    </row>
    <row r="80" spans="1:18" ht="15" x14ac:dyDescent="0.35">
      <c r="A80" s="31">
        <v>2098</v>
      </c>
      <c r="B80" s="25">
        <f ca="1">'Electrification Scenario'!B86*(1-'Electrification Scenario'!B$8*('Electrification Scenario'!B86-'Electrification Scenario'!B$4)/('Electrification Scenario'!B$5-'Electrification Scenario'!B$4))*VLOOKUP(B$3,'Static Parameters'!$A$3:$B$9,2)*VLOOKUP($A80,'Growth Scenarios'!$E$3:$I$80,MATCH('Scenario Picker'!$B$3,'Growth Scenarios'!$F$2:$I$2,0)+1)/1000000000*VLOOKUP($A80,'Growth Scenarios'!$A$3:$D$80,MATCH('Scenario Picker'!$B$2,'Growth Scenarios'!$B$2:$D$2,0)+1)</f>
        <v>8.3388682673984658</v>
      </c>
      <c r="C80" s="21">
        <f ca="1">'Electrification Scenario'!C86*(1-'Electrification Scenario'!C$8*('Electrification Scenario'!C86-'Electrification Scenario'!C$4)/('Electrification Scenario'!C$5-'Electrification Scenario'!C$4))*VLOOKUP(C$3,'Static Parameters'!$A$3:$B$9,2)*VLOOKUP($A80,'Growth Scenarios'!$E$3:$I$80,MATCH('Scenario Picker'!$B$3,'Growth Scenarios'!$F$2:$I$2,0)+1)/1000000000*VLOOKUP($A80,'Growth Scenarios'!$A$3:$D$80,MATCH('Scenario Picker'!$B$2,'Growth Scenarios'!$B$2:$D$2,0)+1)</f>
        <v>50.959750522990632</v>
      </c>
      <c r="D80" s="21">
        <f ca="1">'Electrification Scenario'!D86*(1-'Electrification Scenario'!D$8*('Electrification Scenario'!D86-'Electrification Scenario'!D$4)/('Electrification Scenario'!D$5-'Electrification Scenario'!D$4))*VLOOKUP(D$3,'Static Parameters'!$A$3:$B$9,2)*VLOOKUP($A80,'Growth Scenarios'!$E$3:$I$80,MATCH('Scenario Picker'!$B$3,'Growth Scenarios'!$F$2:$I$2,0)+1)/1000000000*VLOOKUP($A80,'Growth Scenarios'!$A$3:$D$80,MATCH('Scenario Picker'!$B$2,'Growth Scenarios'!$B$2:$D$2,0)+1)</f>
        <v>0.34745284447493602</v>
      </c>
      <c r="E80" s="21">
        <f ca="1">'Electrification Scenario'!E86*(1-'Electrification Scenario'!E$8*('Electrification Scenario'!E86-'Electrification Scenario'!E$4)/('Electrification Scenario'!E$5-'Electrification Scenario'!E$4))*VLOOKUP(E$3,'Static Parameters'!$A$3:$B$9,2)*VLOOKUP($A80,'Growth Scenarios'!$E$3:$I$80,MATCH('Scenario Picker'!$B$3,'Growth Scenarios'!$F$2:$I$2,0)+1)/1000000000*VLOOKUP($A80,'Growth Scenarios'!$A$3:$D$80,MATCH('Scenario Picker'!$B$2,'Growth Scenarios'!$B$2:$D$2,0)+1)</f>
        <v>195.15268098008909</v>
      </c>
      <c r="F80" s="21">
        <f ca="1">'Electrification Scenario'!F86*(1-'Electrification Scenario'!F$8*('Electrification Scenario'!F86-'Electrification Scenario'!F$4)/('Electrification Scenario'!F$5-'Electrification Scenario'!F$4))*VLOOKUP(F$3,'Static Parameters'!$A$3:$B$9,2)*VLOOKUP($A80,'Growth Scenarios'!$E$3:$I$80,MATCH('Scenario Picker'!$B$3,'Growth Scenarios'!$F$2:$I$2,0)+1)/1000000000*VLOOKUP($A80,'Growth Scenarios'!$A$3:$D$80,MATCH('Scenario Picker'!$B$2,'Growth Scenarios'!$B$2:$D$2,0)+1)</f>
        <v>7.3833729450923933</v>
      </c>
      <c r="G80" s="21">
        <f ca="1">'Electrification Scenario'!G86*(1-'Electrification Scenario'!G$8*('Electrification Scenario'!G86-'Electrification Scenario'!G$4)/('Electrification Scenario'!G$5-'Electrification Scenario'!G$4))*VLOOKUP(G$3,'Static Parameters'!$A$3:$B$9,2)*VLOOKUP($A80,'Growth Scenarios'!$E$3:$I$80,MATCH('Scenario Picker'!$B$3,'Growth Scenarios'!$F$2:$I$2,0)+1)/1000000000*VLOOKUP($A80,'Growth Scenarios'!$A$3:$D$80,MATCH('Scenario Picker'!$B$2,'Growth Scenarios'!$B$2:$D$2,0)+1)</f>
        <v>130.29481667810106</v>
      </c>
      <c r="H80" s="21">
        <f ca="1">'Electrification Scenario'!H86*(1-'Electrification Scenario'!H$8*('Electrification Scenario'!H86-'Electrification Scenario'!H$4)/('Electrification Scenario'!H$5-'Electrification Scenario'!H$4))*VLOOKUP(H$3,'Static Parameters'!$A$3:$B$9,2)*VLOOKUP($A80,'Growth Scenarios'!$E$3:$I$80,MATCH('Scenario Picker'!$B$3,'Growth Scenarios'!$F$2:$I$2,0)+1)/1000000000*VLOOKUP($A80,'Growth Scenarios'!$A$3:$D$80,MATCH('Scenario Picker'!$B$2,'Growth Scenarios'!$B$2:$D$2,0)+1)</f>
        <v>83.605840701781474</v>
      </c>
      <c r="I80" s="28">
        <f t="shared" ca="1" si="3"/>
        <v>476.08278293992799</v>
      </c>
      <c r="J80" s="25">
        <f ca="1">(1-'Electrification Scenario'!B86)*VLOOKUP(B$3,'Static Parameters'!$A$3:$B$9,2)*VLOOKUP($A80,'Growth Scenarios'!$E$3:$I$80,MATCH('Scenario Picker'!$B$3,'Growth Scenarios'!$F$2:$I$2,0)+1)/1000000000*VLOOKUP($A80,'Growth Scenarios'!$A$3:$D$80,MATCH('Scenario Picker'!$B$2,'Growth Scenarios'!$B$2:$D$2,0)+1)</f>
        <v>6.9490568894987215</v>
      </c>
      <c r="K80" s="21">
        <f ca="1">(1-'Electrification Scenario'!C86)*VLOOKUP(C$3,'Static Parameters'!$A$3:$B$9,2)*VLOOKUP($A80,'Growth Scenarios'!$E$3:$I$80,MATCH('Scenario Picker'!$B$3,'Growth Scenarios'!$F$2:$I$2,0)+1)/1000000000*VLOOKUP($A80,'Growth Scenarios'!$A$3:$D$80,MATCH('Scenario Picker'!$B$2,'Growth Scenarios'!$B$2:$D$2,0)+1)</f>
        <v>0</v>
      </c>
      <c r="L80" s="21">
        <f ca="1">(1-'Electrification Scenario'!D86)*VLOOKUP(D$3,'Static Parameters'!$A$3:$B$9,2)*VLOOKUP($A80,'Growth Scenarios'!$E$3:$I$80,MATCH('Scenario Picker'!$B$3,'Growth Scenarios'!$F$2:$I$2,0)+1)/1000000000*VLOOKUP($A80,'Growth Scenarios'!$A$3:$D$80,MATCH('Scenario Picker'!$B$2,'Growth Scenarios'!$B$2:$D$2,0)+1)</f>
        <v>0.28954403706244675</v>
      </c>
      <c r="M80" s="21">
        <f ca="1">(1-'Electrification Scenario'!E86)*VLOOKUP(E$3,'Static Parameters'!$A$3:$B$9,2)*VLOOKUP($A80,'Growth Scenarios'!$E$3:$I$80,MATCH('Scenario Picker'!$B$3,'Growth Scenarios'!$F$2:$I$2,0)+1)/1000000000*VLOOKUP($A80,'Growth Scenarios'!$A$3:$D$80,MATCH('Scenario Picker'!$B$2,'Growth Scenarios'!$B$2:$D$2,0)+1)</f>
        <v>0</v>
      </c>
      <c r="N80" s="21">
        <f ca="1">(1-'Electrification Scenario'!F86)*VLOOKUP(F$3,'Static Parameters'!$A$3:$B$9,2)*VLOOKUP($A80,'Growth Scenarios'!$E$3:$I$80,MATCH('Scenario Picker'!$B$3,'Growth Scenarios'!$F$2:$I$2,0)+1)/1000000000*VLOOKUP($A80,'Growth Scenarios'!$A$3:$D$80,MATCH('Scenario Picker'!$B$2,'Growth Scenarios'!$B$2:$D$2,0)+1)</f>
        <v>3.0764053937884963</v>
      </c>
      <c r="O80" s="21">
        <f ca="1">(1-'Electrification Scenario'!G86)*VLOOKUP(G$3,'Static Parameters'!$A$3:$B$9,2)*VLOOKUP($A80,'Growth Scenarios'!$E$3:$I$80,MATCH('Scenario Picker'!$B$3,'Growth Scenarios'!$F$2:$I$2,0)+1)/1000000000*VLOOKUP($A80,'Growth Scenarios'!$A$3:$D$80,MATCH('Scenario Picker'!$B$2,'Growth Scenarios'!$B$2:$D$2,0)+1)</f>
        <v>0</v>
      </c>
      <c r="P80" s="21">
        <f ca="1">(1-'Electrification Scenario'!H86)*VLOOKUP(H$3,'Static Parameters'!$A$3:$B$9,2)*VLOOKUP($A80,'Growth Scenarios'!$E$3:$I$80,MATCH('Scenario Picker'!$B$3,'Growth Scenarios'!$F$2:$I$2,0)+1)/1000000000*VLOOKUP($A80,'Growth Scenarios'!$A$3:$D$80,MATCH('Scenario Picker'!$B$2,'Growth Scenarios'!$B$2:$D$2,0)+1)</f>
        <v>55.737227134520992</v>
      </c>
      <c r="Q80" s="28">
        <f t="shared" ca="1" si="4"/>
        <v>66.05223345487066</v>
      </c>
      <c r="R80" s="28">
        <f t="shared" ca="1" si="5"/>
        <v>542.13501639479864</v>
      </c>
    </row>
    <row r="81" spans="1:18" ht="15" x14ac:dyDescent="0.35">
      <c r="A81" s="31">
        <v>2099</v>
      </c>
      <c r="B81" s="25">
        <f ca="1">'Electrification Scenario'!B87*(1-'Electrification Scenario'!B$8*('Electrification Scenario'!B87-'Electrification Scenario'!B$4)/('Electrification Scenario'!B$5-'Electrification Scenario'!B$4))*VLOOKUP(B$3,'Static Parameters'!$A$3:$B$9,2)*VLOOKUP($A81,'Growth Scenarios'!$E$3:$I$80,MATCH('Scenario Picker'!$B$3,'Growth Scenarios'!$F$2:$I$2,0)+1)/1000000000*VLOOKUP($A81,'Growth Scenarios'!$A$3:$D$80,MATCH('Scenario Picker'!$B$2,'Growth Scenarios'!$B$2:$D$2,0)+1)</f>
        <v>8.3384667116092555</v>
      </c>
      <c r="C81" s="21">
        <f ca="1">'Electrification Scenario'!C87*(1-'Electrification Scenario'!C$8*('Electrification Scenario'!C87-'Electrification Scenario'!C$4)/('Electrification Scenario'!C$5-'Electrification Scenario'!C$4))*VLOOKUP(C$3,'Static Parameters'!$A$3:$B$9,2)*VLOOKUP($A81,'Growth Scenarios'!$E$3:$I$80,MATCH('Scenario Picker'!$B$3,'Growth Scenarios'!$F$2:$I$2,0)+1)/1000000000*VLOOKUP($A81,'Growth Scenarios'!$A$3:$D$80,MATCH('Scenario Picker'!$B$2,'Growth Scenarios'!$B$2:$D$2,0)+1)</f>
        <v>50.957296570945459</v>
      </c>
      <c r="D81" s="21">
        <f ca="1">'Electrification Scenario'!D87*(1-'Electrification Scenario'!D$8*('Electrification Scenario'!D87-'Electrification Scenario'!D$4)/('Electrification Scenario'!D$5-'Electrification Scenario'!D$4))*VLOOKUP(D$3,'Static Parameters'!$A$3:$B$9,2)*VLOOKUP($A81,'Growth Scenarios'!$E$3:$I$80,MATCH('Scenario Picker'!$B$3,'Growth Scenarios'!$F$2:$I$2,0)+1)/1000000000*VLOOKUP($A81,'Growth Scenarios'!$A$3:$D$80,MATCH('Scenario Picker'!$B$2,'Growth Scenarios'!$B$2:$D$2,0)+1)</f>
        <v>0.34743611298371907</v>
      </c>
      <c r="E81" s="21">
        <f ca="1">'Electrification Scenario'!E87*(1-'Electrification Scenario'!E$8*('Electrification Scenario'!E87-'Electrification Scenario'!E$4)/('Electrification Scenario'!E$5-'Electrification Scenario'!E$4))*VLOOKUP(E$3,'Static Parameters'!$A$3:$B$9,2)*VLOOKUP($A81,'Growth Scenarios'!$E$3:$I$80,MATCH('Scenario Picker'!$B$3,'Growth Scenarios'!$F$2:$I$2,0)+1)/1000000000*VLOOKUP($A81,'Growth Scenarios'!$A$3:$D$80,MATCH('Scenario Picker'!$B$2,'Growth Scenarios'!$B$2:$D$2,0)+1)</f>
        <v>195.14328345918886</v>
      </c>
      <c r="F81" s="21">
        <f ca="1">'Electrification Scenario'!F87*(1-'Electrification Scenario'!F$8*('Electrification Scenario'!F87-'Electrification Scenario'!F$4)/('Electrification Scenario'!F$5-'Electrification Scenario'!F$4))*VLOOKUP(F$3,'Static Parameters'!$A$3:$B$9,2)*VLOOKUP($A81,'Growth Scenarios'!$E$3:$I$80,MATCH('Scenario Picker'!$B$3,'Growth Scenarios'!$F$2:$I$2,0)+1)/1000000000*VLOOKUP($A81,'Growth Scenarios'!$A$3:$D$80,MATCH('Scenario Picker'!$B$2,'Growth Scenarios'!$B$2:$D$2,0)+1)</f>
        <v>7.3830174009040306</v>
      </c>
      <c r="G81" s="21">
        <f ca="1">'Electrification Scenario'!G87*(1-'Electrification Scenario'!G$8*('Electrification Scenario'!G87-'Electrification Scenario'!G$4)/('Electrification Scenario'!G$5-'Electrification Scenario'!G$4))*VLOOKUP(G$3,'Static Parameters'!$A$3:$B$9,2)*VLOOKUP($A81,'Growth Scenarios'!$E$3:$I$80,MATCH('Scenario Picker'!$B$3,'Growth Scenarios'!$F$2:$I$2,0)+1)/1000000000*VLOOKUP($A81,'Growth Scenarios'!$A$3:$D$80,MATCH('Scenario Picker'!$B$2,'Growth Scenarios'!$B$2:$D$2,0)+1)</f>
        <v>130.28854236889467</v>
      </c>
      <c r="H81" s="21">
        <f ca="1">'Electrification Scenario'!H87*(1-'Electrification Scenario'!H$8*('Electrification Scenario'!H87-'Electrification Scenario'!H$4)/('Electrification Scenario'!H$5-'Electrification Scenario'!H$4))*VLOOKUP(H$3,'Static Parameters'!$A$3:$B$9,2)*VLOOKUP($A81,'Growth Scenarios'!$E$3:$I$80,MATCH('Scenario Picker'!$B$3,'Growth Scenarios'!$F$2:$I$2,0)+1)/1000000000*VLOOKUP($A81,'Growth Scenarios'!$A$3:$D$80,MATCH('Scenario Picker'!$B$2,'Growth Scenarios'!$B$2:$D$2,0)+1)</f>
        <v>83.601814686707385</v>
      </c>
      <c r="I81" s="28">
        <f t="shared" ca="1" si="3"/>
        <v>476.05985731123337</v>
      </c>
      <c r="J81" s="25">
        <f ca="1">(1-'Electrification Scenario'!B87)*VLOOKUP(B$3,'Static Parameters'!$A$3:$B$9,2)*VLOOKUP($A81,'Growth Scenarios'!$E$3:$I$80,MATCH('Scenario Picker'!$B$3,'Growth Scenarios'!$F$2:$I$2,0)+1)/1000000000*VLOOKUP($A81,'Growth Scenarios'!$A$3:$D$80,MATCH('Scenario Picker'!$B$2,'Growth Scenarios'!$B$2:$D$2,0)+1)</f>
        <v>6.9487222596743807</v>
      </c>
      <c r="K81" s="21">
        <f ca="1">(1-'Electrification Scenario'!C87)*VLOOKUP(C$3,'Static Parameters'!$A$3:$B$9,2)*VLOOKUP($A81,'Growth Scenarios'!$E$3:$I$80,MATCH('Scenario Picker'!$B$3,'Growth Scenarios'!$F$2:$I$2,0)+1)/1000000000*VLOOKUP($A81,'Growth Scenarios'!$A$3:$D$80,MATCH('Scenario Picker'!$B$2,'Growth Scenarios'!$B$2:$D$2,0)+1)</f>
        <v>0</v>
      </c>
      <c r="L81" s="21">
        <f ca="1">(1-'Electrification Scenario'!D87)*VLOOKUP(D$3,'Static Parameters'!$A$3:$B$9,2)*VLOOKUP($A81,'Growth Scenarios'!$E$3:$I$80,MATCH('Scenario Picker'!$B$3,'Growth Scenarios'!$F$2:$I$2,0)+1)/1000000000*VLOOKUP($A81,'Growth Scenarios'!$A$3:$D$80,MATCH('Scenario Picker'!$B$2,'Growth Scenarios'!$B$2:$D$2,0)+1)</f>
        <v>0.28953009415309922</v>
      </c>
      <c r="M81" s="21">
        <f ca="1">(1-'Electrification Scenario'!E87)*VLOOKUP(E$3,'Static Parameters'!$A$3:$B$9,2)*VLOOKUP($A81,'Growth Scenarios'!$E$3:$I$80,MATCH('Scenario Picker'!$B$3,'Growth Scenarios'!$F$2:$I$2,0)+1)/1000000000*VLOOKUP($A81,'Growth Scenarios'!$A$3:$D$80,MATCH('Scenario Picker'!$B$2,'Growth Scenarios'!$B$2:$D$2,0)+1)</f>
        <v>0</v>
      </c>
      <c r="N81" s="21">
        <f ca="1">(1-'Electrification Scenario'!F87)*VLOOKUP(F$3,'Static Parameters'!$A$3:$B$9,2)*VLOOKUP($A81,'Growth Scenarios'!$E$3:$I$80,MATCH('Scenario Picker'!$B$3,'Growth Scenarios'!$F$2:$I$2,0)+1)/1000000000*VLOOKUP($A81,'Growth Scenarios'!$A$3:$D$80,MATCH('Scenario Picker'!$B$2,'Growth Scenarios'!$B$2:$D$2,0)+1)</f>
        <v>3.0762572503766785</v>
      </c>
      <c r="O81" s="21">
        <f ca="1">(1-'Electrification Scenario'!G87)*VLOOKUP(G$3,'Static Parameters'!$A$3:$B$9,2)*VLOOKUP($A81,'Growth Scenarios'!$E$3:$I$80,MATCH('Scenario Picker'!$B$3,'Growth Scenarios'!$F$2:$I$2,0)+1)/1000000000*VLOOKUP($A81,'Growth Scenarios'!$A$3:$D$80,MATCH('Scenario Picker'!$B$2,'Growth Scenarios'!$B$2:$D$2,0)+1)</f>
        <v>0</v>
      </c>
      <c r="P81" s="21">
        <f ca="1">(1-'Electrification Scenario'!H87)*VLOOKUP(H$3,'Static Parameters'!$A$3:$B$9,2)*VLOOKUP($A81,'Growth Scenarios'!$E$3:$I$80,MATCH('Scenario Picker'!$B$3,'Growth Scenarios'!$F$2:$I$2,0)+1)/1000000000*VLOOKUP($A81,'Growth Scenarios'!$A$3:$D$80,MATCH('Scenario Picker'!$B$2,'Growth Scenarios'!$B$2:$D$2,0)+1)</f>
        <v>55.7345431244716</v>
      </c>
      <c r="Q81" s="28">
        <f t="shared" ca="1" si="4"/>
        <v>66.049052728675761</v>
      </c>
      <c r="R81" s="28">
        <f t="shared" ca="1" si="5"/>
        <v>542.10891003990912</v>
      </c>
    </row>
    <row r="82" spans="1:18" ht="15.6" thickBot="1" x14ac:dyDescent="0.4">
      <c r="A82" s="32">
        <v>2100</v>
      </c>
      <c r="B82" s="26">
        <f ca="1">'Electrification Scenario'!B88*(1-'Electrification Scenario'!B$8*('Electrification Scenario'!B88-'Electrification Scenario'!B$4)/('Electrification Scenario'!B$5-'Electrification Scenario'!B$4))*VLOOKUP(B$3,'Static Parameters'!$A$3:$B$9,2)*VLOOKUP($A82,'Growth Scenarios'!$E$3:$I$80,MATCH('Scenario Picker'!$B$3,'Growth Scenarios'!$F$2:$I$2,0)+1)/1000000000*VLOOKUP($A82,'Growth Scenarios'!$A$3:$D$80,MATCH('Scenario Picker'!$B$2,'Growth Scenarios'!$B$2:$D$2,0)+1)</f>
        <v>8.3366231179563695</v>
      </c>
      <c r="C82" s="24">
        <f ca="1">'Electrification Scenario'!C88*(1-'Electrification Scenario'!C$8*('Electrification Scenario'!C88-'Electrification Scenario'!C$4)/('Electrification Scenario'!C$5-'Electrification Scenario'!C$4))*VLOOKUP(C$3,'Static Parameters'!$A$3:$B$9,2)*VLOOKUP($A82,'Growth Scenarios'!$E$3:$I$80,MATCH('Scenario Picker'!$B$3,'Growth Scenarios'!$F$2:$I$2,0)+1)/1000000000*VLOOKUP($A82,'Growth Scenarios'!$A$3:$D$80,MATCH('Scenario Picker'!$B$2,'Growth Scenarios'!$B$2:$D$2,0)+1)</f>
        <v>50.946030165288931</v>
      </c>
      <c r="D82" s="24">
        <f ca="1">'Electrification Scenario'!D88*(1-'Electrification Scenario'!D$8*('Electrification Scenario'!D88-'Electrification Scenario'!D$4)/('Electrification Scenario'!D$5-'Electrification Scenario'!D$4))*VLOOKUP(D$3,'Static Parameters'!$A$3:$B$9,2)*VLOOKUP($A82,'Growth Scenarios'!$E$3:$I$80,MATCH('Scenario Picker'!$B$3,'Growth Scenarios'!$F$2:$I$2,0)+1)/1000000000*VLOOKUP($A82,'Growth Scenarios'!$A$3:$D$80,MATCH('Scenario Picker'!$B$2,'Growth Scenarios'!$B$2:$D$2,0)+1)</f>
        <v>0.34735929658151538</v>
      </c>
      <c r="E82" s="24">
        <f ca="1">'Electrification Scenario'!E88*(1-'Electrification Scenario'!E$8*('Electrification Scenario'!E88-'Electrification Scenario'!E$4)/('Electrification Scenario'!E$5-'Electrification Scenario'!E$4))*VLOOKUP(E$3,'Static Parameters'!$A$3:$B$9,2)*VLOOKUP($A82,'Growth Scenarios'!$E$3:$I$80,MATCH('Scenario Picker'!$B$3,'Growth Scenarios'!$F$2:$I$2,0)+1)/1000000000*VLOOKUP($A82,'Growth Scenarios'!$A$3:$D$80,MATCH('Scenario Picker'!$B$2,'Growth Scenarios'!$B$2:$D$2,0)+1)</f>
        <v>195.10013824661783</v>
      </c>
      <c r="F82" s="24">
        <f ca="1">'Electrification Scenario'!F88*(1-'Electrification Scenario'!F$8*('Electrification Scenario'!F88-'Electrification Scenario'!F$4)/('Electrification Scenario'!F$5-'Electrification Scenario'!F$4))*VLOOKUP(F$3,'Static Parameters'!$A$3:$B$9,2)*VLOOKUP($A82,'Growth Scenarios'!$E$3:$I$80,MATCH('Scenario Picker'!$B$3,'Growth Scenarios'!$F$2:$I$2,0)+1)/1000000000*VLOOKUP($A82,'Growth Scenarios'!$A$3:$D$80,MATCH('Scenario Picker'!$B$2,'Growth Scenarios'!$B$2:$D$2,0)+1)</f>
        <v>7.3813850523572047</v>
      </c>
      <c r="G82" s="24">
        <f ca="1">'Electrification Scenario'!G88*(1-'Electrification Scenario'!G$8*('Electrification Scenario'!G88-'Electrification Scenario'!G$4)/('Electrification Scenario'!G$5-'Electrification Scenario'!G$4))*VLOOKUP(G$3,'Static Parameters'!$A$3:$B$9,2)*VLOOKUP($A82,'Growth Scenarios'!$E$3:$I$80,MATCH('Scenario Picker'!$B$3,'Growth Scenarios'!$F$2:$I$2,0)+1)/1000000000*VLOOKUP($A82,'Growth Scenarios'!$A$3:$D$80,MATCH('Scenario Picker'!$B$2,'Growth Scenarios'!$B$2:$D$2,0)+1)</f>
        <v>130.25973621806827</v>
      </c>
      <c r="H82" s="24">
        <f ca="1">'Electrification Scenario'!H88*(1-'Electrification Scenario'!H$8*('Electrification Scenario'!H88-'Electrification Scenario'!H$4)/('Electrification Scenario'!H$5-'Electrification Scenario'!H$4))*VLOOKUP(H$3,'Static Parameters'!$A$3:$B$9,2)*VLOOKUP($A82,'Growth Scenarios'!$E$3:$I$80,MATCH('Scenario Picker'!$B$3,'Growth Scenarios'!$F$2:$I$2,0)+1)/1000000000*VLOOKUP($A82,'Growth Scenarios'!$A$3:$D$80,MATCH('Scenario Picker'!$B$2,'Growth Scenarios'!$B$2:$D$2,0)+1)</f>
        <v>83.583330739927135</v>
      </c>
      <c r="I82" s="29">
        <f t="shared" ca="1" si="3"/>
        <v>475.95460283679728</v>
      </c>
      <c r="J82" s="26">
        <f ca="1">(1-'Electrification Scenario'!B88)*VLOOKUP(B$3,'Static Parameters'!$A$3:$B$9,2)*VLOOKUP($A82,'Growth Scenarios'!$E$3:$I$80,MATCH('Scenario Picker'!$B$3,'Growth Scenarios'!$F$2:$I$2,0)+1)/1000000000*VLOOKUP($A82,'Growth Scenarios'!$A$3:$D$80,MATCH('Scenario Picker'!$B$2,'Growth Scenarios'!$B$2:$D$2,0)+1)</f>
        <v>6.9471859316303082</v>
      </c>
      <c r="K82" s="24">
        <f ca="1">(1-'Electrification Scenario'!C88)*VLOOKUP(C$3,'Static Parameters'!$A$3:$B$9,2)*VLOOKUP($A82,'Growth Scenarios'!$E$3:$I$80,MATCH('Scenario Picker'!$B$3,'Growth Scenarios'!$F$2:$I$2,0)+1)/1000000000*VLOOKUP($A82,'Growth Scenarios'!$A$3:$D$80,MATCH('Scenario Picker'!$B$2,'Growth Scenarios'!$B$2:$D$2,0)+1)</f>
        <v>0</v>
      </c>
      <c r="L82" s="24">
        <f ca="1">(1-'Electrification Scenario'!D88)*VLOOKUP(D$3,'Static Parameters'!$A$3:$B$9,2)*VLOOKUP($A82,'Growth Scenarios'!$E$3:$I$80,MATCH('Scenario Picker'!$B$3,'Growth Scenarios'!$F$2:$I$2,0)+1)/1000000000*VLOOKUP($A82,'Growth Scenarios'!$A$3:$D$80,MATCH('Scenario Picker'!$B$2,'Growth Scenarios'!$B$2:$D$2,0)+1)</f>
        <v>0.28946608048459616</v>
      </c>
      <c r="M82" s="24">
        <f ca="1">(1-'Electrification Scenario'!E88)*VLOOKUP(E$3,'Static Parameters'!$A$3:$B$9,2)*VLOOKUP($A82,'Growth Scenarios'!$E$3:$I$80,MATCH('Scenario Picker'!$B$3,'Growth Scenarios'!$F$2:$I$2,0)+1)/1000000000*VLOOKUP($A82,'Growth Scenarios'!$A$3:$D$80,MATCH('Scenario Picker'!$B$2,'Growth Scenarios'!$B$2:$D$2,0)+1)</f>
        <v>0</v>
      </c>
      <c r="N82" s="24">
        <f ca="1">(1-'Electrification Scenario'!F88)*VLOOKUP(F$3,'Static Parameters'!$A$3:$B$9,2)*VLOOKUP($A82,'Growth Scenarios'!$E$3:$I$80,MATCH('Scenario Picker'!$B$3,'Growth Scenarios'!$F$2:$I$2,0)+1)/1000000000*VLOOKUP($A82,'Growth Scenarios'!$A$3:$D$80,MATCH('Scenario Picker'!$B$2,'Growth Scenarios'!$B$2:$D$2,0)+1)</f>
        <v>3.0755771051488345</v>
      </c>
      <c r="O82" s="24">
        <f ca="1">(1-'Electrification Scenario'!G88)*VLOOKUP(G$3,'Static Parameters'!$A$3:$B$9,2)*VLOOKUP($A82,'Growth Scenarios'!$E$3:$I$80,MATCH('Scenario Picker'!$B$3,'Growth Scenarios'!$F$2:$I$2,0)+1)/1000000000*VLOOKUP($A82,'Growth Scenarios'!$A$3:$D$80,MATCH('Scenario Picker'!$B$2,'Growth Scenarios'!$B$2:$D$2,0)+1)</f>
        <v>0</v>
      </c>
      <c r="P82" s="24">
        <f ca="1">(1-'Electrification Scenario'!H88)*VLOOKUP(H$3,'Static Parameters'!$A$3:$B$9,2)*VLOOKUP($A82,'Growth Scenarios'!$E$3:$I$80,MATCH('Scenario Picker'!$B$3,'Growth Scenarios'!$F$2:$I$2,0)+1)/1000000000*VLOOKUP($A82,'Growth Scenarios'!$A$3:$D$80,MATCH('Scenario Picker'!$B$2,'Growth Scenarios'!$B$2:$D$2,0)+1)</f>
        <v>55.722220493284759</v>
      </c>
      <c r="Q82" s="29">
        <f t="shared" ca="1" si="4"/>
        <v>66.034449610548492</v>
      </c>
      <c r="R82" s="28">
        <f t="shared" ca="1" si="5"/>
        <v>541.98905244734578</v>
      </c>
    </row>
  </sheetData>
  <mergeCells count="6">
    <mergeCell ref="J1:P1"/>
    <mergeCell ref="A2:A3"/>
    <mergeCell ref="J2:Q2"/>
    <mergeCell ref="B2:I2"/>
    <mergeCell ref="B4:I4"/>
    <mergeCell ref="J4:Q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62385-030F-4131-8208-8C03115F290B}">
  <dimension ref="A2:AO82"/>
  <sheetViews>
    <sheetView topLeftCell="E1" zoomScale="94" zoomScaleNormal="85" workbookViewId="0">
      <selection activeCell="H18" sqref="H18"/>
    </sheetView>
  </sheetViews>
  <sheetFormatPr defaultRowHeight="15" x14ac:dyDescent="0.35"/>
  <cols>
    <col min="1" max="4" width="8.88671875" style="46"/>
    <col min="5" max="16" width="13.21875" style="46" customWidth="1"/>
    <col min="17" max="19" width="8.88671875" style="46"/>
    <col min="20" max="20" width="10.44140625" style="46" bestFit="1" customWidth="1"/>
    <col min="21" max="22" width="9.44140625" style="46" bestFit="1" customWidth="1"/>
    <col min="23" max="31" width="8.88671875" style="46"/>
    <col min="32" max="33" width="20.88671875" style="46" customWidth="1"/>
    <col min="34" max="35" width="18.109375" style="46" customWidth="1"/>
    <col min="36" max="39" width="9.44140625" style="46" customWidth="1"/>
    <col min="40" max="41" width="20.5546875" style="46" customWidth="1"/>
    <col min="42" max="16384" width="8.88671875" style="46"/>
  </cols>
  <sheetData>
    <row r="2" spans="1:41" ht="15" customHeight="1" x14ac:dyDescent="0.35">
      <c r="A2" s="83"/>
      <c r="B2" s="58"/>
      <c r="C2" s="58"/>
      <c r="D2" s="58"/>
      <c r="E2" s="87" t="s">
        <v>78</v>
      </c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8"/>
      <c r="W2" s="33" t="s">
        <v>77</v>
      </c>
      <c r="X2" s="33"/>
      <c r="Y2" s="33"/>
      <c r="Z2" s="33"/>
      <c r="AA2" s="33"/>
      <c r="AB2" s="33"/>
      <c r="AC2" s="33"/>
      <c r="AD2" s="33"/>
      <c r="AE2" s="33"/>
      <c r="AF2" s="33"/>
      <c r="AG2" s="33"/>
      <c r="AH2" s="87"/>
      <c r="AI2" s="88"/>
      <c r="AJ2" s="34"/>
      <c r="AK2" s="34"/>
      <c r="AL2" s="34"/>
      <c r="AM2" s="34"/>
      <c r="AN2" s="34"/>
      <c r="AO2" s="34"/>
    </row>
    <row r="3" spans="1:41" x14ac:dyDescent="0.35">
      <c r="A3" s="83"/>
      <c r="B3" s="3" t="s">
        <v>2</v>
      </c>
      <c r="C3" s="3" t="s">
        <v>0</v>
      </c>
      <c r="D3" s="3" t="s">
        <v>1</v>
      </c>
      <c r="E3" s="3" t="s">
        <v>2</v>
      </c>
      <c r="F3" s="3" t="s">
        <v>0</v>
      </c>
      <c r="G3" s="3" t="s">
        <v>1</v>
      </c>
      <c r="H3" s="3" t="s">
        <v>13</v>
      </c>
      <c r="I3" s="3" t="s">
        <v>2</v>
      </c>
      <c r="J3" s="3" t="s">
        <v>0</v>
      </c>
      <c r="K3" s="3" t="s">
        <v>1</v>
      </c>
      <c r="L3" s="3" t="s">
        <v>13</v>
      </c>
      <c r="M3" s="3" t="s">
        <v>2</v>
      </c>
      <c r="N3" s="3" t="s">
        <v>0</v>
      </c>
      <c r="O3" s="3" t="s">
        <v>1</v>
      </c>
      <c r="P3" s="3" t="s">
        <v>13</v>
      </c>
      <c r="Q3" s="3" t="s">
        <v>2</v>
      </c>
      <c r="R3" s="3" t="s">
        <v>0</v>
      </c>
      <c r="S3" s="3" t="s">
        <v>1</v>
      </c>
      <c r="T3" s="3" t="s">
        <v>2</v>
      </c>
      <c r="U3" s="3" t="s">
        <v>0</v>
      </c>
      <c r="V3" s="3" t="s">
        <v>1</v>
      </c>
      <c r="W3" s="3" t="s">
        <v>7</v>
      </c>
      <c r="X3" s="3" t="s">
        <v>6</v>
      </c>
      <c r="Y3" s="3" t="s">
        <v>8</v>
      </c>
      <c r="Z3" s="3" t="s">
        <v>7</v>
      </c>
      <c r="AA3" s="3" t="s">
        <v>6</v>
      </c>
      <c r="AB3" s="3" t="s">
        <v>8</v>
      </c>
      <c r="AC3" s="3" t="s">
        <v>7</v>
      </c>
      <c r="AD3" s="3" t="s">
        <v>6</v>
      </c>
      <c r="AE3" s="3" t="s">
        <v>8</v>
      </c>
      <c r="AF3" s="33" t="s">
        <v>119</v>
      </c>
      <c r="AG3" s="33"/>
      <c r="AH3" s="87" t="s">
        <v>9</v>
      </c>
      <c r="AI3" s="88"/>
      <c r="AJ3" s="34" t="s">
        <v>105</v>
      </c>
      <c r="AK3" s="34"/>
      <c r="AL3" s="34"/>
      <c r="AM3" s="34"/>
      <c r="AN3" s="34"/>
      <c r="AO3" s="34"/>
    </row>
    <row r="4" spans="1:41" x14ac:dyDescent="0.35">
      <c r="A4" s="3" t="s">
        <v>3</v>
      </c>
      <c r="B4" s="34" t="s">
        <v>79</v>
      </c>
      <c r="C4" s="34"/>
      <c r="D4" s="34"/>
      <c r="E4" s="34" t="s">
        <v>102</v>
      </c>
      <c r="F4" s="34"/>
      <c r="G4" s="34"/>
      <c r="H4" s="34"/>
      <c r="I4" s="34" t="s">
        <v>70</v>
      </c>
      <c r="J4" s="34"/>
      <c r="K4" s="34"/>
      <c r="L4" s="34"/>
      <c r="M4" s="34" t="s">
        <v>71</v>
      </c>
      <c r="N4" s="34"/>
      <c r="O4" s="34"/>
      <c r="P4" s="34"/>
      <c r="Q4" s="34" t="s">
        <v>72</v>
      </c>
      <c r="R4" s="34"/>
      <c r="S4" s="34"/>
      <c r="T4" s="34" t="s">
        <v>80</v>
      </c>
      <c r="U4" s="34"/>
      <c r="V4" s="34"/>
      <c r="W4" s="34" t="s">
        <v>74</v>
      </c>
      <c r="X4" s="34"/>
      <c r="Y4" s="34"/>
      <c r="Z4" s="34" t="s">
        <v>75</v>
      </c>
      <c r="AA4" s="34"/>
      <c r="AB4" s="34"/>
      <c r="AC4" s="34" t="s">
        <v>76</v>
      </c>
      <c r="AD4" s="34"/>
      <c r="AE4" s="34"/>
      <c r="AF4" s="17" t="s">
        <v>95</v>
      </c>
      <c r="AG4" s="17" t="s">
        <v>96</v>
      </c>
      <c r="AH4" s="17" t="s">
        <v>97</v>
      </c>
      <c r="AI4" s="17" t="s">
        <v>98</v>
      </c>
      <c r="AJ4" s="17" t="s">
        <v>2</v>
      </c>
      <c r="AK4" s="17" t="s">
        <v>0</v>
      </c>
      <c r="AL4" s="17" t="s">
        <v>1</v>
      </c>
      <c r="AM4" s="17" t="s">
        <v>13</v>
      </c>
      <c r="AN4" s="17" t="s">
        <v>106</v>
      </c>
      <c r="AO4" s="17" t="s">
        <v>107</v>
      </c>
    </row>
    <row r="5" spans="1:41" x14ac:dyDescent="0.35">
      <c r="A5" s="13">
        <v>2023</v>
      </c>
      <c r="B5" s="12">
        <f>'Static Parameters'!C14</f>
        <v>0.82</v>
      </c>
      <c r="C5" s="12">
        <f>'Static Parameters'!D14</f>
        <v>7.0000000000000007E-2</v>
      </c>
      <c r="D5" s="12">
        <f>'Static Parameters'!E14</f>
        <v>0.61</v>
      </c>
      <c r="E5" s="12">
        <f ca="1">B5*('Model - Scarcity &amp; Growth Rates'!$D5*(1-'Model - Scarcity &amp; Growth Rates'!$I5)-'Model - Scarcity &amp; Growth Rates'!$I5)+(1-'Model - Supply'!B5)*('Model - Scarcity &amp; Growth Rates'!$E5*(1-'Model - Scarcity &amp; Growth Rates'!$I5)-'Model - Scarcity &amp; Growth Rates'!$I5)</f>
        <v>-3.4786331853879998E-2</v>
      </c>
      <c r="F5" s="12">
        <f ca="1">C5*('Model - Scarcity &amp; Growth Rates'!$D5*(1-'Model - Scarcity &amp; Growth Rates'!$I5)-'Model - Scarcity &amp; Growth Rates'!$I5)+(1-'Model - Supply'!C5)*('Model - Scarcity &amp; Growth Rates'!$E5*(1-'Model - Scarcity &amp; Growth Rates'!$I5)-'Model - Scarcity &amp; Growth Rates'!$I5)</f>
        <v>7.6573454513106487E-2</v>
      </c>
      <c r="G5" s="12">
        <f ca="1">D5*('Model - Scarcity &amp; Growth Rates'!$D5*(1-'Model - Scarcity &amp; Growth Rates'!$I5)-'Model - Scarcity &amp; Growth Rates'!$I5)+(1-'Model - Supply'!D5)*('Model - Scarcity &amp; Growth Rates'!$E5*(1-'Model - Scarcity &amp; Growth Rates'!$I5)-'Model - Scarcity &amp; Growth Rates'!$I5)</f>
        <v>-3.6055916711237868E-3</v>
      </c>
      <c r="H5" s="12">
        <f ca="1">'Model - Scarcity &amp; Growth Rates'!J5</f>
        <v>-6.094937568364011E-2</v>
      </c>
      <c r="I5" s="21">
        <f>'Static Parameters'!C16</f>
        <v>175</v>
      </c>
      <c r="J5" s="21">
        <f>'Static Parameters'!D16</f>
        <v>159</v>
      </c>
      <c r="K5" s="21">
        <f>'Static Parameters'!E16</f>
        <v>138</v>
      </c>
      <c r="L5" s="21">
        <f>'Static Parameters'!F16</f>
        <v>9.6999999999999993</v>
      </c>
      <c r="M5" s="21">
        <f>I5*B5*'Static Parameters'!C$15</f>
        <v>33.005000000000003</v>
      </c>
      <c r="N5" s="21">
        <f>J5*C5*'Static Parameters'!D$15</f>
        <v>2.5599000000000003</v>
      </c>
      <c r="O5" s="21">
        <f>K5*D5*'Static Parameters'!E$15</f>
        <v>20.203199999999999</v>
      </c>
      <c r="P5" s="84">
        <f>L5</f>
        <v>9.6999999999999993</v>
      </c>
      <c r="Q5" s="54">
        <f>I5*(1-B5)</f>
        <v>31.500000000000007</v>
      </c>
      <c r="R5" s="54">
        <f t="shared" ref="R5:S5" si="0">J5*(1-C5)</f>
        <v>147.86999999999998</v>
      </c>
      <c r="S5" s="54">
        <f t="shared" si="0"/>
        <v>53.82</v>
      </c>
      <c r="T5" s="85">
        <f>I5*'Static Parameters'!C$19/(44/12)/1000</f>
        <v>4.5961363636363641</v>
      </c>
      <c r="U5" s="85">
        <f>J5*'Static Parameters'!D$19/(44/12)/1000</f>
        <v>3.1785545454545452</v>
      </c>
      <c r="V5" s="85">
        <f>K5*'Static Parameters'!E$19/(44/12)/1000</f>
        <v>2.1114000000000002</v>
      </c>
      <c r="W5" s="18"/>
      <c r="X5" s="18"/>
      <c r="Y5" s="18"/>
      <c r="Z5" s="85">
        <f>AC5</f>
        <v>4.7</v>
      </c>
      <c r="AA5" s="85">
        <f t="shared" ref="AA5:AB5" si="1">AD5</f>
        <v>7.6</v>
      </c>
      <c r="AB5" s="85">
        <f t="shared" si="1"/>
        <v>16.100000000000001</v>
      </c>
      <c r="AC5" s="85">
        <f>'Static Parameters'!C24</f>
        <v>4.7</v>
      </c>
      <c r="AD5" s="85">
        <f>'Static Parameters'!D24</f>
        <v>7.6</v>
      </c>
      <c r="AE5" s="85">
        <f>'Static Parameters'!E24</f>
        <v>16.100000000000001</v>
      </c>
      <c r="AF5" s="85">
        <f>AG5*'Static Parameters'!C34</f>
        <v>78.599999999999994</v>
      </c>
      <c r="AG5" s="85">
        <f>'Static Parameters'!C32</f>
        <v>39.299999999999997</v>
      </c>
      <c r="AH5" s="85">
        <f>SUM(M5:P5,AC5:AE5)</f>
        <v>93.868099999999998</v>
      </c>
      <c r="AI5" s="85">
        <f>SUM(Q5:S5,AG5)</f>
        <v>272.48999999999995</v>
      </c>
      <c r="AJ5" s="85">
        <f>Q5+M5</f>
        <v>64.50500000000001</v>
      </c>
      <c r="AK5" s="85">
        <f t="shared" ref="AK5:AL5" si="2">R5+N5</f>
        <v>150.42989999999998</v>
      </c>
      <c r="AL5" s="85">
        <f t="shared" si="2"/>
        <v>74.023200000000003</v>
      </c>
      <c r="AM5" s="85">
        <f>P5</f>
        <v>9.6999999999999993</v>
      </c>
      <c r="AN5" s="85">
        <f>SUM(AC5:AE5)</f>
        <v>28.400000000000002</v>
      </c>
      <c r="AO5" s="85">
        <f>AG5</f>
        <v>39.299999999999997</v>
      </c>
    </row>
    <row r="6" spans="1:41" x14ac:dyDescent="0.35">
      <c r="A6" s="13">
        <v>2024</v>
      </c>
      <c r="B6" s="12">
        <f ca="1">MAX(0,MIN(1,B5*(1+'Model - Scarcity &amp; Growth Rates'!$D5-'Model - Scarcity &amp; Growth Rates'!$E5)))</f>
        <v>0.69817355398297687</v>
      </c>
      <c r="C6" s="12">
        <f ca="1">MAX(0,MIN(1,C5*(1+'Model - Scarcity &amp; Growth Rates'!$D5-'Model - Scarcity &amp; Growth Rates'!$E5)))</f>
        <v>5.9600181437571204E-2</v>
      </c>
      <c r="D6" s="12">
        <f ca="1">MAX(0,MIN(1,D5*(1+'Model - Scarcity &amp; Growth Rates'!$D5-'Model - Scarcity &amp; Growth Rates'!$E5)))</f>
        <v>0.51937300967026323</v>
      </c>
      <c r="E6" s="12">
        <f ca="1">B6*('Model - Scarcity &amp; Growth Rates'!$D6*(1-'Model - Scarcity &amp; Growth Rates'!$I6)-'Model - Scarcity &amp; Growth Rates'!$I6)+(1-'Model - Supply'!B6)*('Model - Scarcity &amp; Growth Rates'!$E6*(1-'Model - Scarcity &amp; Growth Rates'!$I6)-'Model - Scarcity &amp; Growth Rates'!$I6)</f>
        <v>4.8887897113015513E-2</v>
      </c>
      <c r="F6" s="12">
        <f ca="1">C6*('Model - Scarcity &amp; Growth Rates'!$D6*(1-'Model - Scarcity &amp; Growth Rates'!$I6)-'Model - Scarcity &amp; Growth Rates'!$I6)+(1-'Model - Supply'!C6)*('Model - Scarcity &amp; Growth Rates'!$E6*(1-'Model - Scarcity &amp; Growth Rates'!$I6)-'Model - Scarcity &amp; Growth Rates'!$I6)</f>
        <v>-0.10454664533297431</v>
      </c>
      <c r="G6" s="12">
        <f ca="1">D6*('Model - Scarcity &amp; Growth Rates'!$D6*(1-'Model - Scarcity &amp; Growth Rates'!$I6)-'Model - Scarcity &amp; Growth Rates'!$I6)+(1-'Model - Supply'!D6)*('Model - Scarcity &amp; Growth Rates'!$E6*(1-'Model - Scarcity &amp; Growth Rates'!$I6)-'Model - Scarcity &amp; Growth Rates'!$I6)</f>
        <v>5.9262252281383487E-3</v>
      </c>
      <c r="H6" s="12">
        <f ca="1">'Model - Scarcity &amp; Growth Rates'!J6</f>
        <v>0.15614857349407377</v>
      </c>
      <c r="I6" s="21">
        <f ca="1">(1+E5)*I5*(1-(SUM(I$5:I5)/'Static Parameters'!C$17)^2)</f>
        <v>168.90425124284482</v>
      </c>
      <c r="J6" s="21">
        <f ca="1">(1+F5)*J5*(1-(SUM(J$5:J5)/'Static Parameters'!D$17)^2)</f>
        <v>171.12535932584774</v>
      </c>
      <c r="K6" s="21">
        <f ca="1">(1+G5)*K5*(1-(SUM(K$5:K5)/'Static Parameters'!E$17)^2)</f>
        <v>137.44858839853208</v>
      </c>
      <c r="L6" s="21">
        <f ca="1">(1+H5)*L5*(1-(SUM(L$5:L5)/'Static Parameters'!F$17)^2)</f>
        <v>9.1082512182833728</v>
      </c>
      <c r="M6" s="21">
        <f ca="1">I6*B6*'Static Parameters'!C$15</f>
        <v>27.122630715801641</v>
      </c>
      <c r="N6" s="21">
        <f ca="1">J6*C6*'Static Parameters'!D$15</f>
        <v>2.3457935668097214</v>
      </c>
      <c r="O6" s="21">
        <f ca="1">K6*D6*'Static Parameters'!E$15</f>
        <v>17.132900887553959</v>
      </c>
      <c r="P6" s="84">
        <f ca="1">L6</f>
        <v>9.1082512182833728</v>
      </c>
      <c r="Q6" s="54">
        <f ca="1">I6*(1-B6)</f>
        <v>50.979769869794218</v>
      </c>
      <c r="R6" s="54">
        <f t="shared" ref="R6" ca="1" si="3">J6*(1-C6)</f>
        <v>160.92625686145766</v>
      </c>
      <c r="S6" s="54">
        <f t="shared" ref="S6" ca="1" si="4">K6*(1-D6)</f>
        <v>66.061501367057247</v>
      </c>
      <c r="T6" s="85">
        <f ca="1">I6*'Static Parameters'!C$19/(44/12)/1000</f>
        <v>4.4360398349143519</v>
      </c>
      <c r="U6" s="85">
        <f ca="1">J6*'Static Parameters'!D$19/(44/12)/1000</f>
        <v>3.4209515014321741</v>
      </c>
      <c r="V6" s="85">
        <f ca="1">K6*'Static Parameters'!E$19/(44/12)/1000</f>
        <v>2.1029634024975405</v>
      </c>
      <c r="W6" s="85">
        <f ca="1">MAX(0,AC5*'Model - Scarcity &amp; Growth Rates'!$J5*(1-'Model - Supply'!Z5/'Static Parameters'!C$25)+'Model - Supply'!Z5/'Static Parameters'!C$27)</f>
        <v>0</v>
      </c>
      <c r="X6" s="85">
        <f ca="1">MAX(0,AD5*'Model - Scarcity &amp; Growth Rates'!$J5*(1-'Model - Supply'!AA5/'Static Parameters'!D$25)+'Model - Supply'!AA5/'Static Parameters'!D$27)</f>
        <v>0</v>
      </c>
      <c r="Y6" s="85">
        <f ca="1">MAX(0,AE5*'Model - Scarcity &amp; Growth Rates'!$J5*(1-'Model - Supply'!AB5/'Static Parameters'!E$25)+'Model - Supply'!AB5/'Static Parameters'!E$27)</f>
        <v>0</v>
      </c>
      <c r="Z6" s="85">
        <f ca="1">Z5+W6-Z5/'Static Parameters'!C$27</f>
        <v>4.5120000000000005</v>
      </c>
      <c r="AA6" s="85">
        <f ca="1">AA5+X6-AA5/'Static Parameters'!D$27</f>
        <v>7.2959999999999994</v>
      </c>
      <c r="AB6" s="85">
        <f ca="1">AB5+Y6-AB5/'Static Parameters'!E$27</f>
        <v>15.885333333333335</v>
      </c>
      <c r="AC6" s="85">
        <f ca="1">Z6-W6*'Static Parameters'!C$27/'Static Parameters'!C$26</f>
        <v>4.5120000000000005</v>
      </c>
      <c r="AD6" s="85">
        <f ca="1">AA6-X6*'Static Parameters'!D$27/'Static Parameters'!D$26</f>
        <v>7.2959999999999994</v>
      </c>
      <c r="AE6" s="85">
        <f ca="1">AB6-Y6*'Static Parameters'!E$27/'Static Parameters'!E$26</f>
        <v>15.885333333333335</v>
      </c>
      <c r="AF6" s="85">
        <f ca="1">AG5*'Model - Scarcity &amp; Growth Rates'!K5*(1-'Model - Supply'!AF5/'Static Parameters'!C$33)+'Model - Supply'!AF5</f>
        <v>80.690171002251986</v>
      </c>
      <c r="AG6" s="85">
        <f ca="1">AF6-AF6/'Static Parameters'!$C$34</f>
        <v>40.345085501125993</v>
      </c>
      <c r="AH6" s="85">
        <f ca="1">SUM(M6:P6,AC6:AE6)</f>
        <v>83.402909721782038</v>
      </c>
      <c r="AI6" s="85">
        <f ca="1">SUM(Q6:S6,AG6)</f>
        <v>318.31261359943511</v>
      </c>
      <c r="AJ6" s="85">
        <f t="shared" ref="AJ6:AJ69" ca="1" si="5">Q6+M6</f>
        <v>78.102400585595859</v>
      </c>
      <c r="AK6" s="85">
        <f t="shared" ref="AK6:AK69" ca="1" si="6">R6+N6</f>
        <v>163.27205042826739</v>
      </c>
      <c r="AL6" s="85">
        <f t="shared" ref="AL6:AL69" ca="1" si="7">S6+O6</f>
        <v>83.194402254611205</v>
      </c>
      <c r="AM6" s="85">
        <f t="shared" ref="AM6:AM69" ca="1" si="8">P6</f>
        <v>9.1082512182833728</v>
      </c>
      <c r="AN6" s="85">
        <f t="shared" ref="AN6:AN69" ca="1" si="9">SUM(AC6:AE6)</f>
        <v>27.693333333333335</v>
      </c>
      <c r="AO6" s="85">
        <f t="shared" ref="AO6:AO69" ca="1" si="10">AG6</f>
        <v>40.345085501125993</v>
      </c>
    </row>
    <row r="7" spans="1:41" x14ac:dyDescent="0.35">
      <c r="A7" s="13">
        <v>2025</v>
      </c>
      <c r="B7" s="12">
        <f ca="1">MAX(0,MIN(1,B6*(1+'Model - Scarcity &amp; Growth Rates'!$D6-'Model - Scarcity &amp; Growth Rates'!$E6)))</f>
        <v>0.87112532117716268</v>
      </c>
      <c r="C7" s="12">
        <f ca="1">MAX(0,MIN(1,C6*(1+'Model - Scarcity &amp; Growth Rates'!$D6-'Model - Scarcity &amp; Growth Rates'!$E6)))</f>
        <v>7.4364356685855365E-2</v>
      </c>
      <c r="D7" s="12">
        <f ca="1">MAX(0,MIN(1,D6*(1+'Model - Scarcity &amp; Growth Rates'!$D6-'Model - Scarcity &amp; Growth Rates'!$E6)))</f>
        <v>0.64803225111959661</v>
      </c>
      <c r="E7" s="12">
        <f ca="1">B7*('Model - Scarcity &amp; Growth Rates'!$D7*(1-'Model - Scarcity &amp; Growth Rates'!$I7)-'Model - Scarcity &amp; Growth Rates'!$I7)+(1-'Model - Supply'!B7)*('Model - Scarcity &amp; Growth Rates'!$E7*(1-'Model - Scarcity &amp; Growth Rates'!$I7)-'Model - Scarcity &amp; Growth Rates'!$I7)</f>
        <v>5.7507784645246134E-2</v>
      </c>
      <c r="F7" s="12">
        <f ca="1">C7*('Model - Scarcity &amp; Growth Rates'!$D7*(1-'Model - Scarcity &amp; Growth Rates'!$I7)-'Model - Scarcity &amp; Growth Rates'!$I7)+(1-'Model - Supply'!C7)*('Model - Scarcity &amp; Growth Rates'!$E7*(1-'Model - Scarcity &amp; Growth Rates'!$I7)-'Model - Scarcity &amp; Growth Rates'!$I7)</f>
        <v>5.1865013851390959E-2</v>
      </c>
      <c r="G7" s="12">
        <f ca="1">D7*('Model - Scarcity &amp; Growth Rates'!$D7*(1-'Model - Scarcity &amp; Growth Rates'!$I7)-'Model - Scarcity &amp; Growth Rates'!$I7)+(1-'Model - Supply'!D7)*('Model - Scarcity &amp; Growth Rates'!$E7*(1-'Model - Scarcity &amp; Growth Rates'!$I7)-'Model - Scarcity &amp; Growth Rates'!$I7)</f>
        <v>5.5927808822966683E-2</v>
      </c>
      <c r="H7" s="12">
        <f ca="1">'Model - Scarcity &amp; Growth Rates'!J7</f>
        <v>0.1202601108774182</v>
      </c>
      <c r="I7" s="21">
        <f ca="1">(1+E6)*I6*(1-(SUM(I$5:I6)/'Static Parameters'!C$17)^2)</f>
        <v>177.12865117820641</v>
      </c>
      <c r="J7" s="21">
        <f ca="1">(1+F6)*J6*(1-(SUM(J$5:J6)/'Static Parameters'!D$17)^2)</f>
        <v>153.04251957723832</v>
      </c>
      <c r="K7" s="21">
        <f ca="1">(1+G6)*K6*(1-(SUM(K$5:K6)/'Static Parameters'!E$17)^2)</f>
        <v>138.04745285910764</v>
      </c>
      <c r="L7" s="21">
        <f ca="1">(1+H6)*L6*(1-(SUM(L$5:L6)/'Static Parameters'!F$17)^2)</f>
        <v>10.528145240391121</v>
      </c>
      <c r="M7" s="21">
        <f ca="1">I7*B7*'Static Parameters'!C$15</f>
        <v>35.489288223877317</v>
      </c>
      <c r="N7" s="21">
        <f ca="1">J7*C7*'Static Parameters'!D$15</f>
        <v>2.6176089582070632</v>
      </c>
      <c r="O7" s="21">
        <f ca="1">K7*D7*'Static Parameters'!E$15</f>
        <v>21.470208393027338</v>
      </c>
      <c r="P7" s="84">
        <f t="shared" ref="P7:P70" ca="1" si="11">L7</f>
        <v>10.528145240391121</v>
      </c>
      <c r="Q7" s="54">
        <f t="shared" ref="Q7:Q70" ca="1" si="12">I7*(1-B7)</f>
        <v>22.827398030913738</v>
      </c>
      <c r="R7" s="54">
        <f t="shared" ref="R7:R70" ca="1" si="13">J7*(1-C7)</f>
        <v>141.66161106329457</v>
      </c>
      <c r="S7" s="54">
        <f t="shared" ref="S7:S70" ca="1" si="14">K7*(1-D7)</f>
        <v>48.588251221493721</v>
      </c>
      <c r="T7" s="85">
        <f ca="1">I7*'Static Parameters'!C$19/(44/12)/1000</f>
        <v>4.6520424841258023</v>
      </c>
      <c r="U7" s="85">
        <f ca="1">J7*'Static Parameters'!D$19/(44/12)/1000</f>
        <v>3.0594590959122461</v>
      </c>
      <c r="V7" s="85">
        <f ca="1">K7*'Static Parameters'!E$19/(44/12)/1000</f>
        <v>2.1121260287443469</v>
      </c>
      <c r="W7" s="85">
        <f ca="1">MAX(0,AC6*'Model - Scarcity &amp; Growth Rates'!$J6*(1-'Model - Supply'!Z6/'Static Parameters'!C$25)+'Model - Supply'!Z6/'Static Parameters'!C$27)</f>
        <v>0.86912788788232631</v>
      </c>
      <c r="X7" s="85">
        <f ca="1">MAX(0,AD6*'Model - Scarcity &amp; Growth Rates'!$J6*(1-'Model - Supply'!AA6/'Static Parameters'!D$25)+'Model - Supply'!AA6/'Static Parameters'!D$27)</f>
        <v>1.419225648065356</v>
      </c>
      <c r="Y7" s="85">
        <f ca="1">MAX(0,AE6*'Model - Scarcity &amp; Growth Rates'!$J6*(1-'Model - Supply'!AB6/'Static Parameters'!E$25)+'Model - Supply'!AB6/'Static Parameters'!E$27)</f>
        <v>1.9042140487292585</v>
      </c>
      <c r="Z7" s="85">
        <f ca="1">Z6+W7-Z6/'Static Parameters'!C$27</f>
        <v>5.2006478878823268</v>
      </c>
      <c r="AA7" s="85">
        <f ca="1">AA6+X7-AA6/'Static Parameters'!D$27</f>
        <v>8.4233856480653557</v>
      </c>
      <c r="AB7" s="85">
        <f ca="1">AB6+Y7-AB6/'Static Parameters'!E$27</f>
        <v>17.577742937618151</v>
      </c>
      <c r="AC7" s="85">
        <f ca="1">Z7-W7*'Static Parameters'!C$27/'Static Parameters'!C$26</f>
        <v>3.7521014080784498</v>
      </c>
      <c r="AD7" s="85">
        <f ca="1">AA7-X7*'Static Parameters'!D$27/'Static Parameters'!D$26</f>
        <v>6.6493535879836605</v>
      </c>
      <c r="AE7" s="85">
        <f ca="1">AB7-Y7*'Static Parameters'!E$27/'Static Parameters'!E$26</f>
        <v>15.537513599693945</v>
      </c>
      <c r="AF7" s="85">
        <f ca="1">AG6*'Model - Scarcity &amp; Growth Rates'!K6*(1-'Model - Supply'!AF6/'Static Parameters'!C$33)+'Model - Supply'!AF6</f>
        <v>78.486238427740915</v>
      </c>
      <c r="AG7" s="85">
        <f ca="1">AF7-AF7/'Static Parameters'!$C$34</f>
        <v>39.243119213870457</v>
      </c>
      <c r="AH7" s="85">
        <f t="shared" ref="AH7:AH70" ca="1" si="15">SUM(M7:P7,AC7:AE7)</f>
        <v>96.044219411258894</v>
      </c>
      <c r="AI7" s="85">
        <f t="shared" ref="AI7:AI70" ca="1" si="16">SUM(Q7:S7,AG7)</f>
        <v>252.32037952957251</v>
      </c>
      <c r="AJ7" s="85">
        <f t="shared" ca="1" si="5"/>
        <v>58.316686254791051</v>
      </c>
      <c r="AK7" s="85">
        <f t="shared" ca="1" si="6"/>
        <v>144.27922002150163</v>
      </c>
      <c r="AL7" s="85">
        <f t="shared" ca="1" si="7"/>
        <v>70.058459614521055</v>
      </c>
      <c r="AM7" s="85">
        <f t="shared" ca="1" si="8"/>
        <v>10.528145240391121</v>
      </c>
      <c r="AN7" s="85">
        <f t="shared" ca="1" si="9"/>
        <v>25.938968595756055</v>
      </c>
      <c r="AO7" s="85">
        <f t="shared" ca="1" si="10"/>
        <v>39.243119213870457</v>
      </c>
    </row>
    <row r="8" spans="1:41" x14ac:dyDescent="0.35">
      <c r="A8" s="13">
        <v>2026</v>
      </c>
      <c r="B8" s="12">
        <f ca="1">MAX(0,MIN(1,B7*(1+'Model - Scarcity &amp; Growth Rates'!$D7-'Model - Scarcity &amp; Growth Rates'!$E7)))</f>
        <v>0.87765520765591509</v>
      </c>
      <c r="C8" s="12">
        <f ca="1">MAX(0,MIN(1,C7*(1+'Model - Scarcity &amp; Growth Rates'!$D7-'Model - Scarcity &amp; Growth Rates'!$E7)))</f>
        <v>7.4921786019407396E-2</v>
      </c>
      <c r="D8" s="12">
        <f ca="1">MAX(0,MIN(1,D7*(1+'Model - Scarcity &amp; Growth Rates'!$D7-'Model - Scarcity &amp; Growth Rates'!$E7)))</f>
        <v>0.65288984959769292</v>
      </c>
      <c r="E8" s="12">
        <f ca="1">B8*('Model - Scarcity &amp; Growth Rates'!$D8*(1-'Model - Scarcity &amp; Growth Rates'!$I8)-'Model - Scarcity &amp; Growth Rates'!$I8)+(1-'Model - Supply'!B8)*('Model - Scarcity &amp; Growth Rates'!$E8*(1-'Model - Scarcity &amp; Growth Rates'!$I8)-'Model - Scarcity &amp; Growth Rates'!$I8)</f>
        <v>2.7802626306963181E-2</v>
      </c>
      <c r="F8" s="12">
        <f ca="1">C8*('Model - Scarcity &amp; Growth Rates'!$D8*(1-'Model - Scarcity &amp; Growth Rates'!$I8)-'Model - Scarcity &amp; Growth Rates'!$I8)+(1-'Model - Supply'!C8)*('Model - Scarcity &amp; Growth Rates'!$E8*(1-'Model - Scarcity &amp; Growth Rates'!$I8)-'Model - Scarcity &amp; Growth Rates'!$I8)</f>
        <v>-2.476854962426564E-2</v>
      </c>
      <c r="G8" s="12">
        <f ca="1">D8*('Model - Scarcity &amp; Growth Rates'!$D8*(1-'Model - Scarcity &amp; Growth Rates'!$I8)-'Model - Scarcity &amp; Growth Rates'!$I8)+(1-'Model - Supply'!D8)*('Model - Scarcity &amp; Growth Rates'!$E8*(1-'Model - Scarcity &amp; Growth Rates'!$I8)-'Model - Scarcity &amp; Growth Rates'!$I8)</f>
        <v>1.3082697046219107E-2</v>
      </c>
      <c r="H8" s="12">
        <f ca="1">'Model - Scarcity &amp; Growth Rates'!J8</f>
        <v>0.12358181301334956</v>
      </c>
      <c r="I8" s="21">
        <f ca="1">(1+E7)*I7*(1-(SUM(I$5:I7)/'Static Parameters'!C$17)^2)</f>
        <v>187.23490246342922</v>
      </c>
      <c r="J8" s="21">
        <f ca="1">(1+F7)*J7*(1-(SUM(J$5:J7)/'Static Parameters'!D$17)^2)</f>
        <v>160.54742228015365</v>
      </c>
      <c r="K8" s="21">
        <f ca="1">(1+G7)*K7*(1-(SUM(K$5:K7)/'Static Parameters'!E$17)^2)</f>
        <v>145.25570626495355</v>
      </c>
      <c r="L8" s="21">
        <f ca="1">(1+H7)*L7*(1-(SUM(L$5:L7)/'Static Parameters'!F$17)^2)</f>
        <v>11.787867587903333</v>
      </c>
      <c r="M8" s="21">
        <f ca="1">I8*B8*'Static Parameters'!C$15</f>
        <v>37.795368056454478</v>
      </c>
      <c r="N8" s="21">
        <f ca="1">J8*C8*'Static Parameters'!D$15</f>
        <v>2.7665549121494557</v>
      </c>
      <c r="O8" s="21">
        <f ca="1">K8*D8*'Static Parameters'!E$15</f>
        <v>22.760634291967722</v>
      </c>
      <c r="P8" s="84">
        <f t="shared" ca="1" si="11"/>
        <v>11.787867587903333</v>
      </c>
      <c r="Q8" s="54">
        <f t="shared" ca="1" si="12"/>
        <v>22.907215261453238</v>
      </c>
      <c r="R8" s="54">
        <f t="shared" ca="1" si="13"/>
        <v>148.51892266211254</v>
      </c>
      <c r="S8" s="54">
        <f t="shared" ca="1" si="14"/>
        <v>50.419730048421364</v>
      </c>
      <c r="T8" s="85">
        <f ca="1">I8*'Static Parameters'!C$19/(44/12)/1000</f>
        <v>4.9174693928804274</v>
      </c>
      <c r="U8" s="85">
        <f ca="1">J8*'Static Parameters'!D$19/(44/12)/1000</f>
        <v>3.2094889235823443</v>
      </c>
      <c r="V8" s="85">
        <f ca="1">K8*'Static Parameters'!E$19/(44/12)/1000</f>
        <v>2.2224123058537892</v>
      </c>
      <c r="W8" s="85">
        <f ca="1">MAX(0,AC7*'Model - Scarcity &amp; Growth Rates'!$J7*(1-'Model - Supply'!Z7/'Static Parameters'!C$25)+'Model - Supply'!Z7/'Static Parameters'!C$27)</f>
        <v>0.64752065373260237</v>
      </c>
      <c r="X8" s="85">
        <f ca="1">MAX(0,AD7*'Model - Scarcity &amp; Growth Rates'!$J7*(1-'Model - Supply'!AA7/'Static Parameters'!D$25)+'Model - Supply'!AA7/'Static Parameters'!D$27)</f>
        <v>1.1269648868507232</v>
      </c>
      <c r="Y8" s="85">
        <f ca="1">MAX(0,AE7*'Model - Scarcity &amp; Growth Rates'!$J7*(1-'Model - Supply'!AB7/'Static Parameters'!E$25)+'Model - Supply'!AB7/'Static Parameters'!E$27)</f>
        <v>1.4460176055969467</v>
      </c>
      <c r="Z8" s="85">
        <f ca="1">Z7+W8-Z7/'Static Parameters'!C$27</f>
        <v>5.6401426260996361</v>
      </c>
      <c r="AA8" s="85">
        <f ca="1">AA7+X8-AA7/'Static Parameters'!D$27</f>
        <v>9.2134151089934644</v>
      </c>
      <c r="AB8" s="85">
        <f ca="1">AB7+Y8-AB7/'Static Parameters'!E$27</f>
        <v>18.789390637380187</v>
      </c>
      <c r="AC8" s="85">
        <f ca="1">Z8-W8*'Static Parameters'!C$27/'Static Parameters'!C$26</f>
        <v>4.5609415365452985</v>
      </c>
      <c r="AD8" s="85">
        <f ca="1">AA8-X8*'Static Parameters'!D$27/'Static Parameters'!D$26</f>
        <v>7.8047090004300603</v>
      </c>
      <c r="AE8" s="85">
        <f ca="1">AB8-Y8*'Static Parameters'!E$27/'Static Parameters'!E$26</f>
        <v>17.240086059954887</v>
      </c>
      <c r="AF8" s="85">
        <f ca="1">AG7*'Model - Scarcity &amp; Growth Rates'!K7*(1-'Model - Supply'!AF7/'Static Parameters'!C$33)+'Model - Supply'!AF7</f>
        <v>81.174863187519747</v>
      </c>
      <c r="AG8" s="85">
        <f ca="1">AF8-AF8/'Static Parameters'!$C$34</f>
        <v>40.587431593759874</v>
      </c>
      <c r="AH8" s="85">
        <f t="shared" ca="1" si="15"/>
        <v>104.71616144540525</v>
      </c>
      <c r="AI8" s="85">
        <f t="shared" ca="1" si="16"/>
        <v>262.43329956574701</v>
      </c>
      <c r="AJ8" s="85">
        <f t="shared" ca="1" si="5"/>
        <v>60.702583317907717</v>
      </c>
      <c r="AK8" s="85">
        <f t="shared" ca="1" si="6"/>
        <v>151.28547757426199</v>
      </c>
      <c r="AL8" s="85">
        <f t="shared" ca="1" si="7"/>
        <v>73.18036434038909</v>
      </c>
      <c r="AM8" s="85">
        <f t="shared" ca="1" si="8"/>
        <v>11.787867587903333</v>
      </c>
      <c r="AN8" s="85">
        <f t="shared" ca="1" si="9"/>
        <v>29.605736596930246</v>
      </c>
      <c r="AO8" s="85">
        <f t="shared" ca="1" si="10"/>
        <v>40.587431593759874</v>
      </c>
    </row>
    <row r="9" spans="1:41" x14ac:dyDescent="0.35">
      <c r="A9" s="13">
        <v>2027</v>
      </c>
      <c r="B9" s="12">
        <f ca="1">MAX(0,MIN(1,B8*(1+'Model - Scarcity &amp; Growth Rates'!$D8-'Model - Scarcity &amp; Growth Rates'!$E8)))</f>
        <v>0.94000324409705793</v>
      </c>
      <c r="C9" s="12">
        <f ca="1">MAX(0,MIN(1,C8*(1+'Model - Scarcity &amp; Growth Rates'!$D8-'Model - Scarcity &amp; Growth Rates'!$E8)))</f>
        <v>8.0244179374139107E-2</v>
      </c>
      <c r="D9" s="12">
        <f ca="1">MAX(0,MIN(1,D8*(1+'Model - Scarcity &amp; Growth Rates'!$D8-'Model - Scarcity &amp; Growth Rates'!$E8)))</f>
        <v>0.69927070597464069</v>
      </c>
      <c r="E9" s="12">
        <f ca="1">B9*('Model - Scarcity &amp; Growth Rates'!$D9*(1-'Model - Scarcity &amp; Growth Rates'!$I9)-'Model - Scarcity &amp; Growth Rates'!$I9)+(1-'Model - Supply'!B9)*('Model - Scarcity &amp; Growth Rates'!$E9*(1-'Model - Scarcity &amp; Growth Rates'!$I9)-'Model - Scarcity &amp; Growth Rates'!$I9)</f>
        <v>4.9463624901291527E-3</v>
      </c>
      <c r="F9" s="12">
        <f ca="1">C9*('Model - Scarcity &amp; Growth Rates'!$D9*(1-'Model - Scarcity &amp; Growth Rates'!$I9)-'Model - Scarcity &amp; Growth Rates'!$I9)+(1-'Model - Supply'!C9)*('Model - Scarcity &amp; Growth Rates'!$E9*(1-'Model - Scarcity &amp; Growth Rates'!$I9)-'Model - Scarcity &amp; Growth Rates'!$I9)</f>
        <v>-4.3474227363638441E-3</v>
      </c>
      <c r="G9" s="12">
        <f ca="1">D9*('Model - Scarcity &amp; Growth Rates'!$D9*(1-'Model - Scarcity &amp; Growth Rates'!$I9)-'Model - Scarcity &amp; Growth Rates'!$I9)+(1-'Model - Supply'!D9)*('Model - Scarcity &amp; Growth Rates'!$E9*(1-'Model - Scarcity &amp; Growth Rates'!$I9)-'Model - Scarcity &amp; Growth Rates'!$I9)</f>
        <v>2.3441026267111134E-3</v>
      </c>
      <c r="H9" s="12">
        <f ca="1">'Model - Scarcity &amp; Growth Rates'!J9</f>
        <v>0.12104974440260127</v>
      </c>
      <c r="I9" s="21">
        <f ca="1">(1+E8)*I8*(1-(SUM(I$5:I8)/'Static Parameters'!C$17)^2)</f>
        <v>192.28860455763549</v>
      </c>
      <c r="J9" s="21">
        <f ca="1">(1+F8)*J8*(1-(SUM(J$5:J8)/'Static Parameters'!D$17)^2)</f>
        <v>155.82398788920344</v>
      </c>
      <c r="K9" s="21">
        <f ca="1">(1+G8)*K8*(1-(SUM(K$5:K8)/'Static Parameters'!E$17)^2)</f>
        <v>146.21143382983752</v>
      </c>
      <c r="L9" s="21">
        <f ca="1">(1+H8)*L8*(1-(SUM(L$5:L8)/'Static Parameters'!F$17)^2)</f>
        <v>13.23052467158807</v>
      </c>
      <c r="M9" s="21">
        <f ca="1">I9*B9*'Static Parameters'!C$15</f>
        <v>41.57293978002695</v>
      </c>
      <c r="N9" s="21">
        <f ca="1">J9*C9*'Static Parameters'!D$15</f>
        <v>2.8759126480442321</v>
      </c>
      <c r="O9" s="21">
        <f ca="1">K9*D9*'Static Parameters'!E$15</f>
        <v>24.537929413381185</v>
      </c>
      <c r="P9" s="84">
        <f t="shared" ca="1" si="11"/>
        <v>13.23052467158807</v>
      </c>
      <c r="Q9" s="54">
        <f t="shared" ca="1" si="12"/>
        <v>11.53669247056181</v>
      </c>
      <c r="R9" s="54">
        <f t="shared" ca="1" si="13"/>
        <v>143.32001985422852</v>
      </c>
      <c r="S9" s="54">
        <f t="shared" ca="1" si="14"/>
        <v>43.970061274082575</v>
      </c>
      <c r="T9" s="85">
        <f ca="1">I9*'Static Parameters'!C$19/(44/12)/1000</f>
        <v>5.0501979869728082</v>
      </c>
      <c r="U9" s="85">
        <f ca="1">J9*'Static Parameters'!D$19/(44/12)/1000</f>
        <v>3.115063176075985</v>
      </c>
      <c r="V9" s="85">
        <f ca="1">K9*'Static Parameters'!E$19/(44/12)/1000</f>
        <v>2.2370349375965137</v>
      </c>
      <c r="W9" s="85">
        <f ca="1">MAX(0,AC8*'Model - Scarcity &amp; Growth Rates'!$J8*(1-'Model - Supply'!Z8/'Static Parameters'!C$25)+'Model - Supply'!Z8/'Static Parameters'!C$27)</f>
        <v>0.7733598134619678</v>
      </c>
      <c r="X9" s="85">
        <f ca="1">MAX(0,AD8*'Model - Scarcity &amp; Growth Rates'!$J8*(1-'Model - Supply'!AA8/'Static Parameters'!D$25)+'Model - Supply'!AA8/'Static Parameters'!D$27)</f>
        <v>1.3203616584536255</v>
      </c>
      <c r="Y9" s="85">
        <f ca="1">MAX(0,AE8*'Model - Scarcity &amp; Growth Rates'!$J8*(1-'Model - Supply'!AB8/'Static Parameters'!E$25)+'Model - Supply'!AB8/'Static Parameters'!E$27)</f>
        <v>1.5804474076828618</v>
      </c>
      <c r="Z9" s="85">
        <f ca="1">Z8+W9-Z8/'Static Parameters'!C$27</f>
        <v>6.1878967345176186</v>
      </c>
      <c r="AA9" s="85">
        <f ca="1">AA8+X9-AA8/'Static Parameters'!D$27</f>
        <v>10.165240163087352</v>
      </c>
      <c r="AB9" s="85">
        <f ca="1">AB8+Y9-AB8/'Static Parameters'!E$27</f>
        <v>20.119312836564646</v>
      </c>
      <c r="AC9" s="85">
        <f ca="1">Z9-W9*'Static Parameters'!C$27/'Static Parameters'!C$26</f>
        <v>4.8989637120810059</v>
      </c>
      <c r="AD9" s="85">
        <f ca="1">AA9-X9*'Static Parameters'!D$27/'Static Parameters'!D$26</f>
        <v>8.5147880900203212</v>
      </c>
      <c r="AE9" s="85">
        <f ca="1">AB9-Y9*'Static Parameters'!E$27/'Static Parameters'!E$26</f>
        <v>18.425976328333007</v>
      </c>
      <c r="AF9" s="85">
        <f ca="1">AG8*'Model - Scarcity &amp; Growth Rates'!K8*(1-'Model - Supply'!AF8/'Static Parameters'!C$33)+'Model - Supply'!AF8</f>
        <v>82.441874532024912</v>
      </c>
      <c r="AG9" s="85">
        <f ca="1">AF9-AF9/'Static Parameters'!$C$34</f>
        <v>41.220937266012456</v>
      </c>
      <c r="AH9" s="85">
        <f t="shared" ca="1" si="15"/>
        <v>114.05703464347476</v>
      </c>
      <c r="AI9" s="85">
        <f t="shared" ca="1" si="16"/>
        <v>240.04771086488535</v>
      </c>
      <c r="AJ9" s="85">
        <f t="shared" ca="1" si="5"/>
        <v>53.10963225058876</v>
      </c>
      <c r="AK9" s="85">
        <f t="shared" ca="1" si="6"/>
        <v>146.19593250227274</v>
      </c>
      <c r="AL9" s="85">
        <f t="shared" ca="1" si="7"/>
        <v>68.50799068746376</v>
      </c>
      <c r="AM9" s="85">
        <f t="shared" ca="1" si="8"/>
        <v>13.23052467158807</v>
      </c>
      <c r="AN9" s="85">
        <f t="shared" ca="1" si="9"/>
        <v>31.839728130434334</v>
      </c>
      <c r="AO9" s="85">
        <f t="shared" ca="1" si="10"/>
        <v>41.220937266012456</v>
      </c>
    </row>
    <row r="10" spans="1:41" x14ac:dyDescent="0.35">
      <c r="A10" s="13">
        <v>2028</v>
      </c>
      <c r="B10" s="12">
        <f ca="1">MAX(0,MIN(1,B9*(1+'Model - Scarcity &amp; Growth Rates'!$D9-'Model - Scarcity &amp; Growth Rates'!$E9)))</f>
        <v>0.95133108230161723</v>
      </c>
      <c r="C10" s="12">
        <f ca="1">MAX(0,MIN(1,C9*(1+'Model - Scarcity &amp; Growth Rates'!$D9-'Model - Scarcity &amp; Growth Rates'!$E9)))</f>
        <v>8.1211189952577104E-2</v>
      </c>
      <c r="D10" s="12">
        <f ca="1">MAX(0,MIN(1,D9*(1+'Model - Scarcity &amp; Growth Rates'!$D9-'Model - Scarcity &amp; Growth Rates'!$E9)))</f>
        <v>0.70769751244388601</v>
      </c>
      <c r="E10" s="12">
        <f ca="1">B10*('Model - Scarcity &amp; Growth Rates'!$D10*(1-'Model - Scarcity &amp; Growth Rates'!$I10)-'Model - Scarcity &amp; Growth Rates'!$I10)+(1-'Model - Supply'!B10)*('Model - Scarcity &amp; Growth Rates'!$E10*(1-'Model - Scarcity &amp; Growth Rates'!$I10)-'Model - Scarcity &amp; Growth Rates'!$I10)</f>
        <v>-1.1228959175122774E-3</v>
      </c>
      <c r="F10" s="12">
        <f ca="1">C10*('Model - Scarcity &amp; Growth Rates'!$D10*(1-'Model - Scarcity &amp; Growth Rates'!$I10)-'Model - Scarcity &amp; Growth Rates'!$I10)+(1-'Model - Supply'!C10)*('Model - Scarcity &amp; Growth Rates'!$E10*(1-'Model - Scarcity &amp; Growth Rates'!$I10)-'Model - Scarcity &amp; Growth Rates'!$I10)</f>
        <v>-3.9649385080774334E-2</v>
      </c>
      <c r="G10" s="12">
        <f ca="1">D10*('Model - Scarcity &amp; Growth Rates'!$D10*(1-'Model - Scarcity &amp; Growth Rates'!$I10)-'Model - Scarcity &amp; Growth Rates'!$I10)+(1-'Model - Supply'!D10)*('Model - Scarcity &amp; Growth Rates'!$E10*(1-'Model - Scarcity &amp; Growth Rates'!$I10)-'Model - Scarcity &amp; Growth Rates'!$I10)</f>
        <v>-1.1910312883225652E-2</v>
      </c>
      <c r="H10" s="12">
        <f ca="1">'Model - Scarcity &amp; Growth Rates'!J10</f>
        <v>0.14952254109000659</v>
      </c>
      <c r="I10" s="21">
        <f ca="1">(1+E9)*I9*(1-(SUM(I$5:I9)/'Static Parameters'!C$17)^2)</f>
        <v>192.99310620279275</v>
      </c>
      <c r="J10" s="21">
        <f ca="1">(1+F9)*J9*(1-(SUM(J$5:J9)/'Static Parameters'!D$17)^2)</f>
        <v>154.00475542275072</v>
      </c>
      <c r="K10" s="21">
        <f ca="1">(1+G9)*K9*(1-(SUM(K$5:K9)/'Static Parameters'!E$17)^2)</f>
        <v>145.05666730099776</v>
      </c>
      <c r="L10" s="21">
        <f ca="1">(1+H9)*L9*(1-(SUM(L$5:L9)/'Static Parameters'!F$17)^2)</f>
        <v>14.804474559872075</v>
      </c>
      <c r="M10" s="21">
        <f ca="1">I10*B10*'Static Parameters'!C$15</f>
        <v>42.228078338150368</v>
      </c>
      <c r="N10" s="21">
        <f ca="1">J10*C10*'Static Parameters'!D$15</f>
        <v>2.8765891726345534</v>
      </c>
      <c r="O10" s="21">
        <f ca="1">K10*D10*'Static Parameters'!E$15</f>
        <v>24.637498226955955</v>
      </c>
      <c r="P10" s="84">
        <f t="shared" ca="1" si="11"/>
        <v>14.804474559872075</v>
      </c>
      <c r="Q10" s="54">
        <f t="shared" ca="1" si="12"/>
        <v>9.3927656021389669</v>
      </c>
      <c r="R10" s="54">
        <f t="shared" ca="1" si="13"/>
        <v>141.49784597651353</v>
      </c>
      <c r="S10" s="54">
        <f t="shared" ca="1" si="14"/>
        <v>42.400424688681262</v>
      </c>
      <c r="T10" s="85">
        <f ca="1">I10*'Static Parameters'!C$19/(44/12)/1000</f>
        <v>5.0687007619988025</v>
      </c>
      <c r="U10" s="85">
        <f ca="1">J10*'Static Parameters'!D$19/(44/12)/1000</f>
        <v>3.0786950652238985</v>
      </c>
      <c r="V10" s="85">
        <f ca="1">K10*'Static Parameters'!E$19/(44/12)/1000</f>
        <v>2.219367009705266</v>
      </c>
      <c r="W10" s="85">
        <f ca="1">MAX(0,AC9*'Model - Scarcity &amp; Growth Rates'!$J9*(1-'Model - Supply'!Z9/'Static Parameters'!C$25)+'Model - Supply'!Z9/'Static Parameters'!C$27)</f>
        <v>0.82218649439491132</v>
      </c>
      <c r="X10" s="85">
        <f ca="1">MAX(0,AD9*'Model - Scarcity &amp; Growth Rates'!$J9*(1-'Model - Supply'!AA9/'Static Parameters'!D$25)+'Model - Supply'!AA9/'Static Parameters'!D$27)</f>
        <v>1.4223547507617529</v>
      </c>
      <c r="Y10" s="85">
        <f ca="1">MAX(0,AE9*'Model - Scarcity &amp; Growth Rates'!$J9*(1-'Model - Supply'!AB9/'Static Parameters'!E$25)+'Model - Supply'!AB9/'Static Parameters'!E$27)</f>
        <v>1.6012108899029323</v>
      </c>
      <c r="Z10" s="85">
        <f ca="1">Z9+W10-Z9/'Static Parameters'!C$27</f>
        <v>6.7625673595318245</v>
      </c>
      <c r="AA10" s="85">
        <f ca="1">AA9+X10-AA9/'Static Parameters'!D$27</f>
        <v>11.180985307325612</v>
      </c>
      <c r="AB10" s="85">
        <f ca="1">AB9+Y10-AB9/'Static Parameters'!E$27</f>
        <v>21.45226622198005</v>
      </c>
      <c r="AC10" s="85">
        <f ca="1">Z10-W10*'Static Parameters'!C$27/'Static Parameters'!C$26</f>
        <v>5.3922565355403052</v>
      </c>
      <c r="AD10" s="85">
        <f ca="1">AA10-X10*'Static Parameters'!D$27/'Static Parameters'!D$26</f>
        <v>9.4030418688734212</v>
      </c>
      <c r="AE10" s="85">
        <f ca="1">AB10-Y10*'Static Parameters'!E$27/'Static Parameters'!E$26</f>
        <v>19.736683125655478</v>
      </c>
      <c r="AF10" s="85">
        <f ca="1">AG9*'Model - Scarcity &amp; Growth Rates'!K9*(1-'Model - Supply'!AF9/'Static Parameters'!C$33)+'Model - Supply'!AF9</f>
        <v>85.082839324037721</v>
      </c>
      <c r="AG10" s="85">
        <f ca="1">AF10-AF10/'Static Parameters'!$C$34</f>
        <v>42.54141966201886</v>
      </c>
      <c r="AH10" s="85">
        <f t="shared" ca="1" si="15"/>
        <v>119.07862182768214</v>
      </c>
      <c r="AI10" s="85">
        <f t="shared" ca="1" si="16"/>
        <v>235.83245592935262</v>
      </c>
      <c r="AJ10" s="85">
        <f t="shared" ca="1" si="5"/>
        <v>51.620843940289333</v>
      </c>
      <c r="AK10" s="85">
        <f t="shared" ca="1" si="6"/>
        <v>144.3744351491481</v>
      </c>
      <c r="AL10" s="85">
        <f t="shared" ca="1" si="7"/>
        <v>67.037922915637211</v>
      </c>
      <c r="AM10" s="85">
        <f t="shared" ca="1" si="8"/>
        <v>14.804474559872075</v>
      </c>
      <c r="AN10" s="85">
        <f t="shared" ca="1" si="9"/>
        <v>34.531981530069203</v>
      </c>
      <c r="AO10" s="85">
        <f t="shared" ca="1" si="10"/>
        <v>42.54141966201886</v>
      </c>
    </row>
    <row r="11" spans="1:41" x14ac:dyDescent="0.35">
      <c r="A11" s="13">
        <v>2029</v>
      </c>
      <c r="B11" s="12">
        <f ca="1">MAX(0,MIN(1,B10*(1+'Model - Scarcity &amp; Growth Rates'!$D10-'Model - Scarcity &amp; Growth Rates'!$E10)))</f>
        <v>0.99970168983637997</v>
      </c>
      <c r="C11" s="12">
        <f ca="1">MAX(0,MIN(1,C10*(1+'Model - Scarcity &amp; Growth Rates'!$D10-'Model - Scarcity &amp; Growth Rates'!$E10)))</f>
        <v>8.534038815676416E-2</v>
      </c>
      <c r="D11" s="12">
        <f ca="1">MAX(0,MIN(1,D10*(1+'Model - Scarcity &amp; Growth Rates'!$D10-'Model - Scarcity &amp; Growth Rates'!$E10)))</f>
        <v>0.74368052536608753</v>
      </c>
      <c r="E11" s="12">
        <f ca="1">B11*('Model - Scarcity &amp; Growth Rates'!$D11*(1-'Model - Scarcity &amp; Growth Rates'!$I11)-'Model - Scarcity &amp; Growth Rates'!$I11)+(1-'Model - Supply'!B11)*('Model - Scarcity &amp; Growth Rates'!$E11*(1-'Model - Scarcity &amp; Growth Rates'!$I11)-'Model - Scarcity &amp; Growth Rates'!$I11)</f>
        <v>-2.0557869147565092E-2</v>
      </c>
      <c r="F11" s="12">
        <f ca="1">C11*('Model - Scarcity &amp; Growth Rates'!$D11*(1-'Model - Scarcity &amp; Growth Rates'!$I11)-'Model - Scarcity &amp; Growth Rates'!$I11)+(1-'Model - Supply'!C11)*('Model - Scarcity &amp; Growth Rates'!$E11*(1-'Model - Scarcity &amp; Growth Rates'!$I11)-'Model - Scarcity &amp; Growth Rates'!$I11)</f>
        <v>-2.1880517894055339E-2</v>
      </c>
      <c r="G11" s="12">
        <f ca="1">D11*('Model - Scarcity &amp; Growth Rates'!$D11*(1-'Model - Scarcity &amp; Growth Rates'!$I11)-'Model - Scarcity &amp; Growth Rates'!$I11)+(1-'Model - Supply'!D11)*('Model - Scarcity &amp; Growth Rates'!$E11*(1-'Model - Scarcity &amp; Growth Rates'!$I11)-'Model - Scarcity &amp; Growth Rates'!$I11)</f>
        <v>-2.0928210796582358E-2</v>
      </c>
      <c r="H11" s="12">
        <f ca="1">'Model - Scarcity &amp; Growth Rates'!J11</f>
        <v>0.15875819775298464</v>
      </c>
      <c r="I11" s="21">
        <f ca="1">(1+E10)*I10*(1-(SUM(I$5:I10)/'Static Parameters'!C$17)^2)</f>
        <v>192.41360614125128</v>
      </c>
      <c r="J11" s="21">
        <f ca="1">(1+F10)*J10*(1-(SUM(J$5:J10)/'Static Parameters'!D$17)^2)</f>
        <v>146.35040941607033</v>
      </c>
      <c r="K11" s="21">
        <f ca="1">(1+G10)*K10*(1-(SUM(K$5:K10)/'Static Parameters'!E$17)^2)</f>
        <v>141.19973889996933</v>
      </c>
      <c r="L11" s="21">
        <f ca="1">(1+H10)*L10*(1-(SUM(L$5:L10)/'Static Parameters'!F$17)^2)</f>
        <v>16.9668064129458</v>
      </c>
      <c r="M11" s="21">
        <f ca="1">I11*B11*'Static Parameters'!C$15</f>
        <v>44.241927657591731</v>
      </c>
      <c r="N11" s="21">
        <f ca="1">J11*C11*'Static Parameters'!D$15</f>
        <v>2.8726081716878231</v>
      </c>
      <c r="O11" s="21">
        <f ca="1">K11*D11*'Static Parameters'!E$15</f>
        <v>25.201799041604058</v>
      </c>
      <c r="P11" s="84">
        <f t="shared" ca="1" si="11"/>
        <v>16.9668064129458</v>
      </c>
      <c r="Q11" s="54">
        <f t="shared" ca="1" si="12"/>
        <v>5.739893433071673E-2</v>
      </c>
      <c r="R11" s="54">
        <f t="shared" ca="1" si="13"/>
        <v>133.86080866960154</v>
      </c>
      <c r="S11" s="54">
        <f t="shared" ca="1" si="14"/>
        <v>36.192242893285751</v>
      </c>
      <c r="T11" s="85">
        <f ca="1">I11*'Static Parameters'!C$19/(44/12)/1000</f>
        <v>5.0534809831097718</v>
      </c>
      <c r="U11" s="85">
        <f ca="1">J11*'Static Parameters'!D$19/(44/12)/1000</f>
        <v>2.9256777300539878</v>
      </c>
      <c r="V11" s="85">
        <f ca="1">K11*'Static Parameters'!E$19/(44/12)/1000</f>
        <v>2.1603560051695307</v>
      </c>
      <c r="W11" s="85">
        <f ca="1">MAX(0,AC10*'Model - Scarcity &amp; Growth Rates'!$J10*(1-'Model - Supply'!Z10/'Static Parameters'!C$25)+'Model - Supply'!Z10/'Static Parameters'!C$27)</f>
        <v>1.0495045241380909</v>
      </c>
      <c r="X11" s="85">
        <f ca="1">MAX(0,AD10*'Model - Scarcity &amp; Growth Rates'!$J10*(1-'Model - Supply'!AA10/'Static Parameters'!D$25)+'Model - Supply'!AA10/'Static Parameters'!D$27)</f>
        <v>1.830748850539607</v>
      </c>
      <c r="Y11" s="85">
        <f ca="1">MAX(0,AE10*'Model - Scarcity &amp; Growth Rates'!$J10*(1-'Model - Supply'!AB10/'Static Parameters'!E$25)+'Model - Supply'!AB10/'Static Parameters'!E$27)</f>
        <v>1.9709625770768606</v>
      </c>
      <c r="Z11" s="85">
        <f ca="1">Z10+W11-Z10/'Static Parameters'!C$27</f>
        <v>7.5415691892886425</v>
      </c>
      <c r="AA11" s="85">
        <f ca="1">AA10+X11-AA10/'Static Parameters'!D$27</f>
        <v>12.564494745572194</v>
      </c>
      <c r="AB11" s="85">
        <f ca="1">AB10+Y11-AB10/'Static Parameters'!E$27</f>
        <v>23.137198582763844</v>
      </c>
      <c r="AC11" s="85">
        <f ca="1">Z11-W11*'Static Parameters'!C$27/'Static Parameters'!C$26</f>
        <v>5.7923949823918246</v>
      </c>
      <c r="AD11" s="85">
        <f ca="1">AA11-X11*'Static Parameters'!D$27/'Static Parameters'!D$26</f>
        <v>10.276058682397686</v>
      </c>
      <c r="AE11" s="85">
        <f ca="1">AB11-Y11*'Static Parameters'!E$27/'Static Parameters'!E$26</f>
        <v>21.025452964467206</v>
      </c>
      <c r="AF11" s="85">
        <f ca="1">AG10*'Model - Scarcity &amp; Growth Rates'!K10*(1-'Model - Supply'!AF10/'Static Parameters'!C$33)+'Model - Supply'!AF10</f>
        <v>87.494878529682723</v>
      </c>
      <c r="AG11" s="85">
        <f ca="1">AF11-AF11/'Static Parameters'!$C$34</f>
        <v>43.747439264841361</v>
      </c>
      <c r="AH11" s="85">
        <f t="shared" ca="1" si="15"/>
        <v>126.37704791308613</v>
      </c>
      <c r="AI11" s="85">
        <f t="shared" ca="1" si="16"/>
        <v>213.85788976205936</v>
      </c>
      <c r="AJ11" s="85">
        <f t="shared" ca="1" si="5"/>
        <v>44.299326591922444</v>
      </c>
      <c r="AK11" s="85">
        <f t="shared" ca="1" si="6"/>
        <v>136.73341684128937</v>
      </c>
      <c r="AL11" s="85">
        <f t="shared" ca="1" si="7"/>
        <v>61.394041934889813</v>
      </c>
      <c r="AM11" s="85">
        <f t="shared" ca="1" si="8"/>
        <v>16.9668064129458</v>
      </c>
      <c r="AN11" s="85">
        <f t="shared" ca="1" si="9"/>
        <v>37.093906629256715</v>
      </c>
      <c r="AO11" s="85">
        <f t="shared" ca="1" si="10"/>
        <v>43.747439264841361</v>
      </c>
    </row>
    <row r="12" spans="1:41" x14ac:dyDescent="0.35">
      <c r="A12" s="13">
        <v>2030</v>
      </c>
      <c r="B12" s="12">
        <f ca="1">MAX(0,MIN(1,B11*(1+'Model - Scarcity &amp; Growth Rates'!$D11-'Model - Scarcity &amp; Growth Rates'!$E11)))</f>
        <v>1</v>
      </c>
      <c r="C12" s="12">
        <f ca="1">MAX(0,MIN(1,C11*(1+'Model - Scarcity &amp; Growth Rates'!$D11-'Model - Scarcity &amp; Growth Rates'!$E11)))</f>
        <v>8.5486436000118141E-2</v>
      </c>
      <c r="D12" s="12">
        <f ca="1">MAX(0,MIN(1,D11*(1+'Model - Scarcity &amp; Growth Rates'!$D11-'Model - Scarcity &amp; Growth Rates'!$E11)))</f>
        <v>0.74495322800102937</v>
      </c>
      <c r="E12" s="12">
        <f ca="1">B12*('Model - Scarcity &amp; Growth Rates'!$D12*(1-'Model - Scarcity &amp; Growth Rates'!$I12)-'Model - Scarcity &amp; Growth Rates'!$I12)+(1-'Model - Supply'!B12)*('Model - Scarcity &amp; Growth Rates'!$E12*(1-'Model - Scarcity &amp; Growth Rates'!$I12)-'Model - Scarcity &amp; Growth Rates'!$I12)</f>
        <v>-2.5586835872668301E-2</v>
      </c>
      <c r="F12" s="12">
        <f ca="1">C12*('Model - Scarcity &amp; Growth Rates'!$D12*(1-'Model - Scarcity &amp; Growth Rates'!$I12)-'Model - Scarcity &amp; Growth Rates'!$I12)+(1-'Model - Supply'!C12)*('Model - Scarcity &amp; Growth Rates'!$E12*(1-'Model - Scarcity &amp; Growth Rates'!$I12)-'Model - Scarcity &amp; Growth Rates'!$I12)</f>
        <v>-5.4936696817859225E-2</v>
      </c>
      <c r="G12" s="12">
        <f ca="1">D12*('Model - Scarcity &amp; Growth Rates'!$D12*(1-'Model - Scarcity &amp; Growth Rates'!$I12)-'Model - Scarcity &amp; Growth Rates'!$I12)+(1-'Model - Supply'!D12)*('Model - Scarcity &amp; Growth Rates'!$E12*(1-'Model - Scarcity &amp; Growth Rates'!$I12)-'Model - Scarcity &amp; Growth Rates'!$I12)</f>
        <v>-3.3772157105028469E-2</v>
      </c>
      <c r="H12" s="12">
        <f ca="1">'Model - Scarcity &amp; Growth Rates'!J12</f>
        <v>0.18669405566721642</v>
      </c>
      <c r="I12" s="21">
        <f ca="1">(1+E11)*I11*(1-(SUM(I$5:I11)/'Static Parameters'!C$17)^2)</f>
        <v>187.96754232522704</v>
      </c>
      <c r="J12" s="21">
        <f ca="1">(1+F11)*J11*(1-(SUM(J$5:J11)/'Static Parameters'!D$17)^2)</f>
        <v>141.15450391696513</v>
      </c>
      <c r="K12" s="21">
        <f ca="1">(1+G11)*K11*(1-(SUM(K$5:K11)/'Static Parameters'!E$17)^2)</f>
        <v>135.45198093072918</v>
      </c>
      <c r="L12" s="21">
        <f ca="1">(1+H11)*L11*(1-(SUM(L$5:L11)/'Static Parameters'!F$17)^2)</f>
        <v>19.568567152118312</v>
      </c>
      <c r="M12" s="21">
        <f ca="1">I12*B12*'Static Parameters'!C$15</f>
        <v>43.232534734802222</v>
      </c>
      <c r="N12" s="21">
        <f ca="1">J12*C12*'Static Parameters'!D$15</f>
        <v>2.7753629570019949</v>
      </c>
      <c r="O12" s="21">
        <f ca="1">K12*D12*'Static Parameters'!E$15</f>
        <v>24.217293704035338</v>
      </c>
      <c r="P12" s="84">
        <f t="shared" ca="1" si="11"/>
        <v>19.568567152118312</v>
      </c>
      <c r="Q12" s="54">
        <f t="shared" ca="1" si="12"/>
        <v>0</v>
      </c>
      <c r="R12" s="54">
        <f t="shared" ca="1" si="13"/>
        <v>129.08770845173905</v>
      </c>
      <c r="S12" s="54">
        <f t="shared" ca="1" si="14"/>
        <v>34.546590497248602</v>
      </c>
      <c r="T12" s="85">
        <f ca="1">I12*'Static Parameters'!C$19/(44/12)/1000</f>
        <v>4.9367111797961893</v>
      </c>
      <c r="U12" s="85">
        <f ca="1">J12*'Static Parameters'!D$19/(44/12)/1000</f>
        <v>2.8218068555764213</v>
      </c>
      <c r="V12" s="85">
        <f ca="1">K12*'Static Parameters'!E$19/(44/12)/1000</f>
        <v>2.0724153082401569</v>
      </c>
      <c r="W12" s="85">
        <f ca="1">MAX(0,AC11*'Model - Scarcity &amp; Growth Rates'!$J11*(1-'Model - Supply'!Z11/'Static Parameters'!C$25)+'Model - Supply'!Z11/'Static Parameters'!C$27)</f>
        <v>1.1865771905035987</v>
      </c>
      <c r="X12" s="85">
        <f ca="1">MAX(0,AD11*'Model - Scarcity &amp; Growth Rates'!$J11*(1-'Model - Supply'!AA11/'Static Parameters'!D$25)+'Model - Supply'!AA11/'Static Parameters'!D$27)</f>
        <v>2.1047057401942002</v>
      </c>
      <c r="Y12" s="85">
        <f ca="1">MAX(0,AE11*'Model - Scarcity &amp; Growth Rates'!$J11*(1-'Model - Supply'!AB11/'Static Parameters'!E$25)+'Model - Supply'!AB11/'Static Parameters'!E$27)</f>
        <v>2.1018367357640706</v>
      </c>
      <c r="Z12" s="85">
        <f ca="1">Z11+W12-Z11/'Static Parameters'!C$27</f>
        <v>8.4264836122206948</v>
      </c>
      <c r="AA12" s="85">
        <f ca="1">AA11+X12-AA11/'Static Parameters'!D$27</f>
        <v>14.166620695943507</v>
      </c>
      <c r="AB12" s="85">
        <f ca="1">AB11+Y12-AB11/'Static Parameters'!E$27</f>
        <v>24.930539337424396</v>
      </c>
      <c r="AC12" s="85">
        <f ca="1">Z12-W12*'Static Parameters'!C$27/'Static Parameters'!C$26</f>
        <v>6.4488549613813637</v>
      </c>
      <c r="AD12" s="85">
        <f ca="1">AA12-X12*'Static Parameters'!D$27/'Static Parameters'!D$26</f>
        <v>11.535738520700757</v>
      </c>
      <c r="AE12" s="85">
        <f ca="1">AB12-Y12*'Static Parameters'!E$27/'Static Parameters'!E$26</f>
        <v>22.678571406248604</v>
      </c>
      <c r="AF12" s="85">
        <f ca="1">AG11*'Model - Scarcity &amp; Growth Rates'!K11*(1-'Model - Supply'!AF11/'Static Parameters'!C$33)+'Model - Supply'!AF11</f>
        <v>91.359652854491799</v>
      </c>
      <c r="AG12" s="85">
        <f ca="1">AF12-AF12/'Static Parameters'!$C$34</f>
        <v>45.679826427245899</v>
      </c>
      <c r="AH12" s="85">
        <f t="shared" ca="1" si="15"/>
        <v>130.4569234362886</v>
      </c>
      <c r="AI12" s="85">
        <f t="shared" ca="1" si="16"/>
        <v>209.31412537623353</v>
      </c>
      <c r="AJ12" s="85">
        <f t="shared" ca="1" si="5"/>
        <v>43.232534734802222</v>
      </c>
      <c r="AK12" s="85">
        <f t="shared" ca="1" si="6"/>
        <v>131.86307140874104</v>
      </c>
      <c r="AL12" s="85">
        <f t="shared" ca="1" si="7"/>
        <v>58.763884201283943</v>
      </c>
      <c r="AM12" s="85">
        <f t="shared" ca="1" si="8"/>
        <v>19.568567152118312</v>
      </c>
      <c r="AN12" s="85">
        <f t="shared" ca="1" si="9"/>
        <v>40.663164888330726</v>
      </c>
      <c r="AO12" s="85">
        <f t="shared" ca="1" si="10"/>
        <v>45.679826427245899</v>
      </c>
    </row>
    <row r="13" spans="1:41" x14ac:dyDescent="0.35">
      <c r="A13" s="13">
        <v>2031</v>
      </c>
      <c r="B13" s="12">
        <f ca="1">MAX(0,MIN(1,B12*(1+'Model - Scarcity &amp; Growth Rates'!$D12-'Model - Scarcity &amp; Growth Rates'!$E12)))</f>
        <v>1</v>
      </c>
      <c r="C13" s="12">
        <f ca="1">MAX(0,MIN(1,C12*(1+'Model - Scarcity &amp; Growth Rates'!$D12-'Model - Scarcity &amp; Growth Rates'!$E12)))</f>
        <v>8.8827684158676645E-2</v>
      </c>
      <c r="D13" s="12">
        <f ca="1">MAX(0,MIN(1,D12*(1+'Model - Scarcity &amp; Growth Rates'!$D12-'Model - Scarcity &amp; Growth Rates'!$E12)))</f>
        <v>0.7740698190970392</v>
      </c>
      <c r="E13" s="12">
        <f ca="1">B13*('Model - Scarcity &amp; Growth Rates'!$D13*(1-'Model - Scarcity &amp; Growth Rates'!$I13)-'Model - Scarcity &amp; Growth Rates'!$I13)+(1-'Model - Supply'!B13)*('Model - Scarcity &amp; Growth Rates'!$E13*(1-'Model - Scarcity &amp; Growth Rates'!$I13)-'Model - Scarcity &amp; Growth Rates'!$I13)</f>
        <v>-3.8856089087806633E-2</v>
      </c>
      <c r="F13" s="12">
        <f ca="1">C13*('Model - Scarcity &amp; Growth Rates'!$D13*(1-'Model - Scarcity &amp; Growth Rates'!$I13)-'Model - Scarcity &amp; Growth Rates'!$I13)+(1-'Model - Supply'!C13)*('Model - Scarcity &amp; Growth Rates'!$E13*(1-'Model - Scarcity &amp; Growth Rates'!$I13)-'Model - Scarcity &amp; Growth Rates'!$I13)</f>
        <v>-5.95191754449673E-2</v>
      </c>
      <c r="G13" s="12">
        <f ca="1">D13*('Model - Scarcity &amp; Growth Rates'!$D13*(1-'Model - Scarcity &amp; Growth Rates'!$I13)-'Model - Scarcity &amp; Growth Rates'!$I13)+(1-'Model - Supply'!D13)*('Model - Scarcity &amp; Growth Rates'!$E13*(1-'Model - Scarcity &amp; Growth Rates'!$I13)-'Model - Scarcity &amp; Growth Rates'!$I13)</f>
        <v>-4.3979614855132285E-2</v>
      </c>
      <c r="H13" s="12">
        <f ca="1">'Model - Scarcity &amp; Growth Rates'!J13</f>
        <v>0.2</v>
      </c>
      <c r="I13" s="21">
        <f ca="1">(1+E12)*I12*(1-(SUM(I$5:I12)/'Static Parameters'!C$17)^2)</f>
        <v>182.53186169925294</v>
      </c>
      <c r="J13" s="21">
        <f ca="1">(1+F12)*J12*(1-(SUM(J$5:J12)/'Static Parameters'!D$17)^2)</f>
        <v>131.03455779193516</v>
      </c>
      <c r="K13" s="21">
        <f ca="1">(1+G12)*K12*(1-(SUM(K$5:K12)/'Static Parameters'!E$17)^2)</f>
        <v>127.46164972088226</v>
      </c>
      <c r="L13" s="21">
        <f ca="1">(1+H12)*L12*(1-(SUM(L$5:L12)/'Static Parameters'!F$17)^2)</f>
        <v>23.058498346720295</v>
      </c>
      <c r="M13" s="21">
        <f ca="1">I13*B13*'Static Parameters'!C$15</f>
        <v>41.982328190828177</v>
      </c>
      <c r="N13" s="21">
        <f ca="1">J13*C13*'Static Parameters'!D$15</f>
        <v>2.6770841520851918</v>
      </c>
      <c r="O13" s="21">
        <f ca="1">K13*D13*'Static Parameters'!E$15</f>
        <v>23.67941187390084</v>
      </c>
      <c r="P13" s="84">
        <f t="shared" ca="1" si="11"/>
        <v>23.058498346720295</v>
      </c>
      <c r="Q13" s="54">
        <f t="shared" ca="1" si="12"/>
        <v>0</v>
      </c>
      <c r="R13" s="54">
        <f t="shared" ca="1" si="13"/>
        <v>119.39506147852128</v>
      </c>
      <c r="S13" s="54">
        <f t="shared" ca="1" si="14"/>
        <v>28.797433579628752</v>
      </c>
      <c r="T13" s="85">
        <f ca="1">I13*'Static Parameters'!C$19/(44/12)/1000</f>
        <v>4.7939504404467437</v>
      </c>
      <c r="U13" s="85">
        <f ca="1">J13*'Static Parameters'!D$19/(44/12)/1000</f>
        <v>2.6194999325860491</v>
      </c>
      <c r="V13" s="85">
        <f ca="1">K13*'Static Parameters'!E$19/(44/12)/1000</f>
        <v>1.9501632407294989</v>
      </c>
      <c r="W13" s="85">
        <f ca="1">MAX(0,AC12*'Model - Scarcity &amp; Growth Rates'!$J12*(1-'Model - Supply'!Z12/'Static Parameters'!C$25)+'Model - Supply'!Z12/'Static Parameters'!C$27)</f>
        <v>1.4902963639473104</v>
      </c>
      <c r="X13" s="85">
        <f ca="1">MAX(0,AD12*'Model - Scarcity &amp; Growth Rates'!$J12*(1-'Model - Supply'!AA12/'Static Parameters'!D$25)+'Model - Supply'!AA12/'Static Parameters'!D$27)</f>
        <v>2.6767329279121661</v>
      </c>
      <c r="Y13" s="85">
        <f ca="1">MAX(0,AE12*'Model - Scarcity &amp; Growth Rates'!$J12*(1-'Model - Supply'!AB12/'Static Parameters'!E$25)+'Model - Supply'!AB12/'Static Parameters'!E$27)</f>
        <v>2.4552662931108133</v>
      </c>
      <c r="Z13" s="85">
        <f ca="1">Z12+W13-Z12/'Static Parameters'!C$27</f>
        <v>9.5797206316791765</v>
      </c>
      <c r="AA13" s="85">
        <f ca="1">AA12+X13-AA12/'Static Parameters'!D$27</f>
        <v>16.276688796017933</v>
      </c>
      <c r="AB13" s="85">
        <f ca="1">AB12+Y13-AB12/'Static Parameters'!E$27</f>
        <v>27.053398439369552</v>
      </c>
      <c r="AC13" s="85">
        <f ca="1">Z13-W13*'Static Parameters'!C$27/'Static Parameters'!C$26</f>
        <v>7.0958933584336599</v>
      </c>
      <c r="AD13" s="85">
        <f ca="1">AA13-X13*'Static Parameters'!D$27/'Static Parameters'!D$26</f>
        <v>12.930772636127724</v>
      </c>
      <c r="AE13" s="85">
        <f ca="1">AB13-Y13*'Static Parameters'!E$27/'Static Parameters'!E$26</f>
        <v>24.422755982465109</v>
      </c>
      <c r="AF13" s="85">
        <f ca="1">AG12*'Model - Scarcity &amp; Growth Rates'!K12*(1-'Model - Supply'!AF12/'Static Parameters'!C$33)+'Model - Supply'!AF12</f>
        <v>95.022326503084457</v>
      </c>
      <c r="AG13" s="85">
        <f ca="1">AF13-AF13/'Static Parameters'!$C$34</f>
        <v>47.511163251542229</v>
      </c>
      <c r="AH13" s="85">
        <f t="shared" ca="1" si="15"/>
        <v>135.84674454056099</v>
      </c>
      <c r="AI13" s="85">
        <f t="shared" ca="1" si="16"/>
        <v>195.70365830969226</v>
      </c>
      <c r="AJ13" s="85">
        <f t="shared" ca="1" si="5"/>
        <v>41.982328190828177</v>
      </c>
      <c r="AK13" s="85">
        <f t="shared" ca="1" si="6"/>
        <v>122.07214563060647</v>
      </c>
      <c r="AL13" s="85">
        <f t="shared" ca="1" si="7"/>
        <v>52.476845453529592</v>
      </c>
      <c r="AM13" s="85">
        <f t="shared" ca="1" si="8"/>
        <v>23.058498346720295</v>
      </c>
      <c r="AN13" s="85">
        <f t="shared" ca="1" si="9"/>
        <v>44.449421977026489</v>
      </c>
      <c r="AO13" s="85">
        <f t="shared" ca="1" si="10"/>
        <v>47.511163251542229</v>
      </c>
    </row>
    <row r="14" spans="1:41" x14ac:dyDescent="0.35">
      <c r="A14" s="13">
        <v>2032</v>
      </c>
      <c r="B14" s="12">
        <f ca="1">MAX(0,MIN(1,B13*(1+'Model - Scarcity &amp; Growth Rates'!$D13-'Model - Scarcity &amp; Growth Rates'!$E13)))</f>
        <v>1</v>
      </c>
      <c r="C14" s="12">
        <f ca="1">MAX(0,MIN(1,C13*(1+'Model - Scarcity &amp; Growth Rates'!$D13-'Model - Scarcity &amp; Growth Rates'!$E13)))</f>
        <v>9.1349887880231004E-2</v>
      </c>
      <c r="D14" s="12">
        <f ca="1">MAX(0,MIN(1,D13*(1+'Model - Scarcity &amp; Growth Rates'!$D13-'Model - Scarcity &amp; Growth Rates'!$E13)))</f>
        <v>0.79604902295629854</v>
      </c>
      <c r="E14" s="12">
        <f ca="1">B14*('Model - Scarcity &amp; Growth Rates'!$D14*(1-'Model - Scarcity &amp; Growth Rates'!$I14)-'Model - Scarcity &amp; Growth Rates'!$I14)+(1-'Model - Supply'!B14)*('Model - Scarcity &amp; Growth Rates'!$E14*(1-'Model - Scarcity &amp; Growth Rates'!$I14)-'Model - Scarcity &amp; Growth Rates'!$I14)</f>
        <v>-5.5522030061279565E-2</v>
      </c>
      <c r="F14" s="12">
        <f ca="1">C14*('Model - Scarcity &amp; Growth Rates'!$D14*(1-'Model - Scarcity &amp; Growth Rates'!$I14)-'Model - Scarcity &amp; Growth Rates'!$I14)+(1-'Model - Supply'!C14)*('Model - Scarcity &amp; Growth Rates'!$E14*(1-'Model - Scarcity &amp; Growth Rates'!$I14)-'Model - Scarcity &amp; Growth Rates'!$I14)</f>
        <v>-6.6390013320851538E-2</v>
      </c>
      <c r="G14" s="12">
        <f ca="1">D14*('Model - Scarcity &amp; Growth Rates'!$D14*(1-'Model - Scarcity &amp; Growth Rates'!$I14)-'Model - Scarcity &amp; Growth Rates'!$I14)+(1-'Model - Supply'!D14)*('Model - Scarcity &amp; Growth Rates'!$E14*(1-'Model - Scarcity &amp; Growth Rates'!$I14)-'Model - Scarcity &amp; Growth Rates'!$I14)</f>
        <v>-5.7961402240647254E-2</v>
      </c>
      <c r="H14" s="12">
        <f ca="1">'Model - Scarcity &amp; Growth Rates'!J14</f>
        <v>0.2</v>
      </c>
      <c r="I14" s="21">
        <f ca="1">(1+E13)*I13*(1-(SUM(I$5:I13)/'Static Parameters'!C$17)^2)</f>
        <v>174.68183349507524</v>
      </c>
      <c r="J14" s="21">
        <f ca="1">(1+F13)*J13*(1-(SUM(J$5:J13)/'Static Parameters'!D$17)^2)</f>
        <v>120.56454324327609</v>
      </c>
      <c r="K14" s="21">
        <f ca="1">(1+G13)*K13*(1-(SUM(K$5:K13)/'Static Parameters'!E$17)^2)</f>
        <v>117.91526476258936</v>
      </c>
      <c r="L14" s="21">
        <f ca="1">(1+H13)*L13*(1-(SUM(L$5:L13)/'Static Parameters'!F$17)^2)</f>
        <v>27.381271897685433</v>
      </c>
      <c r="M14" s="21">
        <f ca="1">I14*B14*'Static Parameters'!C$15</f>
        <v>40.176821703867304</v>
      </c>
      <c r="N14" s="21">
        <f ca="1">J14*C14*'Static Parameters'!D$15</f>
        <v>2.5331182267490426</v>
      </c>
      <c r="O14" s="21">
        <f ca="1">K14*D14*'Static Parameters'!E$15</f>
        <v>22.527919513414204</v>
      </c>
      <c r="P14" s="84">
        <f t="shared" ca="1" si="11"/>
        <v>27.381271897685433</v>
      </c>
      <c r="Q14" s="54">
        <f t="shared" ca="1" si="12"/>
        <v>0</v>
      </c>
      <c r="R14" s="54">
        <f t="shared" ca="1" si="13"/>
        <v>109.55098573567156</v>
      </c>
      <c r="S14" s="54">
        <f t="shared" ca="1" si="14"/>
        <v>24.048933456696844</v>
      </c>
      <c r="T14" s="85">
        <f ca="1">I14*'Static Parameters'!C$19/(44/12)/1000</f>
        <v>4.5877801542479313</v>
      </c>
      <c r="U14" s="85">
        <f ca="1">J14*'Static Parameters'!D$19/(44/12)/1000</f>
        <v>2.4101948235633097</v>
      </c>
      <c r="V14" s="85">
        <f ca="1">K14*'Static Parameters'!E$19/(44/12)/1000</f>
        <v>1.8041035508676173</v>
      </c>
      <c r="W14" s="85">
        <f ca="1">MAX(0,AC13*'Model - Scarcity &amp; Growth Rates'!$J13*(1-'Model - Supply'!Z13/'Static Parameters'!C$25)+'Model - Supply'!Z13/'Static Parameters'!C$27)</f>
        <v>1.7343908209479171</v>
      </c>
      <c r="X14" s="85">
        <f ca="1">MAX(0,AD13*'Model - Scarcity &amp; Growth Rates'!$J13*(1-'Model - Supply'!AA13/'Static Parameters'!D$25)+'Model - Supply'!AA13/'Static Parameters'!D$27)</f>
        <v>3.1770877470404582</v>
      </c>
      <c r="Y14" s="85">
        <f ca="1">MAX(0,AE13*'Model - Scarcity &amp; Growth Rates'!$J13*(1-'Model - Supply'!AB13/'Static Parameters'!E$25)+'Model - Supply'!AB13/'Static Parameters'!E$27)</f>
        <v>2.6023889813601162</v>
      </c>
      <c r="Z14" s="85">
        <f ca="1">Z13+W14-Z13/'Static Parameters'!C$27</f>
        <v>10.930922627359926</v>
      </c>
      <c r="AA14" s="85">
        <f ca="1">AA13+X14-AA13/'Static Parameters'!D$27</f>
        <v>18.802708991217671</v>
      </c>
      <c r="AB14" s="85">
        <f ca="1">AB13+Y14-AB13/'Static Parameters'!E$27</f>
        <v>29.295075441538071</v>
      </c>
      <c r="AC14" s="85">
        <f ca="1">Z14-W14*'Static Parameters'!C$27/'Static Parameters'!C$26</f>
        <v>8.040271259113398</v>
      </c>
      <c r="AD14" s="85">
        <f ca="1">AA14-X14*'Static Parameters'!D$27/'Static Parameters'!D$26</f>
        <v>14.831349307417097</v>
      </c>
      <c r="AE14" s="85">
        <f ca="1">AB14-Y14*'Static Parameters'!E$27/'Static Parameters'!E$26</f>
        <v>26.506801532937946</v>
      </c>
      <c r="AF14" s="85">
        <f ca="1">AG13*'Model - Scarcity &amp; Growth Rates'!K13*(1-'Model - Supply'!AF13/'Static Parameters'!C$33)+'Model - Supply'!AF13</f>
        <v>99.387702753310421</v>
      </c>
      <c r="AG14" s="85">
        <f ca="1">AF14-AF14/'Static Parameters'!$C$34</f>
        <v>49.693851376655211</v>
      </c>
      <c r="AH14" s="85">
        <f t="shared" ca="1" si="15"/>
        <v>141.99755344118444</v>
      </c>
      <c r="AI14" s="85">
        <f t="shared" ca="1" si="16"/>
        <v>183.29377056902362</v>
      </c>
      <c r="AJ14" s="85">
        <f t="shared" ca="1" si="5"/>
        <v>40.176821703867304</v>
      </c>
      <c r="AK14" s="85">
        <f t="shared" ca="1" si="6"/>
        <v>112.0841039624206</v>
      </c>
      <c r="AL14" s="85">
        <f t="shared" ca="1" si="7"/>
        <v>46.576852970111048</v>
      </c>
      <c r="AM14" s="85">
        <f t="shared" ca="1" si="8"/>
        <v>27.381271897685433</v>
      </c>
      <c r="AN14" s="85">
        <f t="shared" ca="1" si="9"/>
        <v>49.378422099468438</v>
      </c>
      <c r="AO14" s="85">
        <f t="shared" ca="1" si="10"/>
        <v>49.693851376655211</v>
      </c>
    </row>
    <row r="15" spans="1:41" x14ac:dyDescent="0.35">
      <c r="A15" s="13">
        <v>2033</v>
      </c>
      <c r="B15" s="12">
        <f ca="1">MAX(0,MIN(1,B14*(1+'Model - Scarcity &amp; Growth Rates'!$D14-'Model - Scarcity &amp; Growth Rates'!$E14)))</f>
        <v>1</v>
      </c>
      <c r="C15" s="12">
        <f ca="1">MAX(0,MIN(1,C14*(1+'Model - Scarcity &amp; Growth Rates'!$D14-'Model - Scarcity &amp; Growth Rates'!$E14)))</f>
        <v>9.2754194610590521E-2</v>
      </c>
      <c r="D15" s="12">
        <f ca="1">MAX(0,MIN(1,D14*(1+'Model - Scarcity &amp; Growth Rates'!$D14-'Model - Scarcity &amp; Growth Rates'!$E14)))</f>
        <v>0.80828655303514574</v>
      </c>
      <c r="E15" s="12">
        <f ca="1">B15*('Model - Scarcity &amp; Growth Rates'!$D15*(1-'Model - Scarcity &amp; Growth Rates'!$I15)-'Model - Scarcity &amp; Growth Rates'!$I15)+(1-'Model - Supply'!B15)*('Model - Scarcity &amp; Growth Rates'!$E15*(1-'Model - Scarcity &amp; Growth Rates'!$I15)-'Model - Scarcity &amp; Growth Rates'!$I15)</f>
        <v>-7.1533217214759526E-2</v>
      </c>
      <c r="F15" s="12">
        <f ca="1">C15*('Model - Scarcity &amp; Growth Rates'!$D15*(1-'Model - Scarcity &amp; Growth Rates'!$I15)-'Model - Scarcity &amp; Growth Rates'!$I15)+(1-'Model - Supply'!C15)*('Model - Scarcity &amp; Growth Rates'!$E15*(1-'Model - Scarcity &amp; Growth Rates'!$I15)-'Model - Scarcity &amp; Growth Rates'!$I15)</f>
        <v>-7.5266522887782461E-2</v>
      </c>
      <c r="G15" s="12">
        <f ca="1">D15*('Model - Scarcity &amp; Growth Rates'!$D15*(1-'Model - Scarcity &amp; Growth Rates'!$I15)-'Model - Scarcity &amp; Growth Rates'!$I15)+(1-'Model - Supply'!D15)*('Model - Scarcity &amp; Growth Rates'!$E15*(1-'Model - Scarcity &amp; Growth Rates'!$I15)-'Model - Scarcity &amp; Growth Rates'!$I15)</f>
        <v>-7.2322115763418529E-2</v>
      </c>
      <c r="H15" s="12">
        <f ca="1">'Model - Scarcity &amp; Growth Rates'!J15</f>
        <v>0.2</v>
      </c>
      <c r="I15" s="21">
        <f ca="1">(1+E14)*I14*(1-(SUM(I$5:I14)/'Static Parameters'!C$17)^2)</f>
        <v>164.11256493794812</v>
      </c>
      <c r="J15" s="21">
        <f ca="1">(1+F14)*J14*(1-(SUM(J$5:J14)/'Static Parameters'!D$17)^2)</f>
        <v>109.67311984030761</v>
      </c>
      <c r="K15" s="21">
        <f ca="1">(1+G14)*K14*(1-(SUM(K$5:K14)/'Static Parameters'!E$17)^2)</f>
        <v>106.78127220793642</v>
      </c>
      <c r="L15" s="21">
        <f ca="1">(1+H14)*L14*(1-(SUM(L$5:L14)/'Static Parameters'!F$17)^2)</f>
        <v>32.352991612446615</v>
      </c>
      <c r="M15" s="21">
        <f ca="1">I15*B15*'Static Parameters'!C$15</f>
        <v>37.745889935728073</v>
      </c>
      <c r="N15" s="21">
        <f ca="1">J15*C15*'Static Parameters'!D$15</f>
        <v>2.3397076372802572</v>
      </c>
      <c r="O15" s="21">
        <f ca="1">K15*D15*'Static Parameters'!E$15</f>
        <v>20.714367945998529</v>
      </c>
      <c r="P15" s="84">
        <f t="shared" ca="1" si="11"/>
        <v>32.352991612446615</v>
      </c>
      <c r="Q15" s="54">
        <f t="shared" ca="1" si="12"/>
        <v>0</v>
      </c>
      <c r="R15" s="54">
        <f t="shared" ca="1" si="13"/>
        <v>99.500477939089095</v>
      </c>
      <c r="S15" s="54">
        <f t="shared" ca="1" si="14"/>
        <v>20.471405766275886</v>
      </c>
      <c r="T15" s="85">
        <f ca="1">I15*'Static Parameters'!C$19/(44/12)/1000</f>
        <v>4.3101927282339281</v>
      </c>
      <c r="U15" s="85">
        <f ca="1">J15*'Static Parameters'!D$19/(44/12)/1000</f>
        <v>2.1924653684439677</v>
      </c>
      <c r="V15" s="85">
        <f ca="1">K15*'Static Parameters'!E$19/(44/12)/1000</f>
        <v>1.6337534647814276</v>
      </c>
      <c r="W15" s="85">
        <f ca="1">MAX(0,AC14*'Model - Scarcity &amp; Growth Rates'!$J14*(1-'Model - Supply'!Z14/'Static Parameters'!C$25)+'Model - Supply'!Z14/'Static Parameters'!C$27)</f>
        <v>1.9574035738807223</v>
      </c>
      <c r="X15" s="85">
        <f ca="1">MAX(0,AD14*'Model - Scarcity &amp; Growth Rates'!$J14*(1-'Model - Supply'!AA14/'Static Parameters'!D$25)+'Model - Supply'!AA14/'Static Parameters'!D$27)</f>
        <v>3.6387012082822805</v>
      </c>
      <c r="Y15" s="85">
        <f ca="1">MAX(0,AE14*'Model - Scarcity &amp; Growth Rates'!$J14*(1-'Model - Supply'!AB14/'Static Parameters'!E$25)+'Model - Supply'!AB14/'Static Parameters'!E$27)</f>
        <v>2.5858863099895872</v>
      </c>
      <c r="Z15" s="85">
        <f ca="1">Z14+W15-Z14/'Static Parameters'!C$27</f>
        <v>12.451089296146252</v>
      </c>
      <c r="AA15" s="85">
        <f ca="1">AA14+X15-AA14/'Static Parameters'!D$27</f>
        <v>21.689301839851247</v>
      </c>
      <c r="AB15" s="85">
        <f ca="1">AB14+Y15-AB14/'Static Parameters'!E$27</f>
        <v>31.490360745640483</v>
      </c>
      <c r="AC15" s="85">
        <f ca="1">Z15-W15*'Static Parameters'!C$27/'Static Parameters'!C$26</f>
        <v>9.1887500063450478</v>
      </c>
      <c r="AD15" s="85">
        <f ca="1">AA15-X15*'Static Parameters'!D$27/'Static Parameters'!D$26</f>
        <v>17.140925329498394</v>
      </c>
      <c r="AE15" s="85">
        <f ca="1">AB15-Y15*'Static Parameters'!E$27/'Static Parameters'!E$26</f>
        <v>28.719768270651642</v>
      </c>
      <c r="AF15" s="85">
        <f ca="1">AG14*'Model - Scarcity &amp; Growth Rates'!K14*(1-'Model - Supply'!AF14/'Static Parameters'!C$33)+'Model - Supply'!AF14</f>
        <v>104.35143672934861</v>
      </c>
      <c r="AG15" s="85">
        <f ca="1">AF15-AF15/'Static Parameters'!$C$34</f>
        <v>52.175718364674303</v>
      </c>
      <c r="AH15" s="85">
        <f t="shared" ca="1" si="15"/>
        <v>148.20240073794855</v>
      </c>
      <c r="AI15" s="85">
        <f t="shared" ca="1" si="16"/>
        <v>172.14760207003928</v>
      </c>
      <c r="AJ15" s="85">
        <f t="shared" ca="1" si="5"/>
        <v>37.745889935728073</v>
      </c>
      <c r="AK15" s="85">
        <f t="shared" ca="1" si="6"/>
        <v>101.84018557636935</v>
      </c>
      <c r="AL15" s="85">
        <f t="shared" ca="1" si="7"/>
        <v>41.185773712274411</v>
      </c>
      <c r="AM15" s="85">
        <f t="shared" ca="1" si="8"/>
        <v>32.352991612446615</v>
      </c>
      <c r="AN15" s="85">
        <f t="shared" ca="1" si="9"/>
        <v>55.049443606495082</v>
      </c>
      <c r="AO15" s="85">
        <f t="shared" ca="1" si="10"/>
        <v>52.175718364674303</v>
      </c>
    </row>
    <row r="16" spans="1:41" x14ac:dyDescent="0.35">
      <c r="A16" s="13">
        <v>2034</v>
      </c>
      <c r="B16" s="12">
        <f ca="1">MAX(0,MIN(1,B15*(1+'Model - Scarcity &amp; Growth Rates'!$D15-'Model - Scarcity &amp; Growth Rates'!$E15)))</f>
        <v>1</v>
      </c>
      <c r="C16" s="12">
        <f ca="1">MAX(0,MIN(1,C15*(1+'Model - Scarcity &amp; Growth Rates'!$D15-'Model - Scarcity &amp; Growth Rates'!$E15)))</f>
        <v>9.3256897036352357E-2</v>
      </c>
      <c r="D16" s="12">
        <f ca="1">MAX(0,MIN(1,D15*(1+'Model - Scarcity &amp; Growth Rates'!$D15-'Model - Scarcity &amp; Growth Rates'!$E15)))</f>
        <v>0.81266724560249881</v>
      </c>
      <c r="E16" s="12">
        <f ca="1">B16*('Model - Scarcity &amp; Growth Rates'!$D16*(1-'Model - Scarcity &amp; Growth Rates'!$I16)-'Model - Scarcity &amp; Growth Rates'!$I16)+(1-'Model - Supply'!B16)*('Model - Scarcity &amp; Growth Rates'!$E16*(1-'Model - Scarcity &amp; Growth Rates'!$I16)-'Model - Scarcity &amp; Growth Rates'!$I16)</f>
        <v>-8.6642676096914228E-2</v>
      </c>
      <c r="F16" s="12">
        <f ca="1">C16*('Model - Scarcity &amp; Growth Rates'!$D16*(1-'Model - Scarcity &amp; Growth Rates'!$I16)-'Model - Scarcity &amp; Growth Rates'!$I16)+(1-'Model - Supply'!C16)*('Model - Scarcity &amp; Growth Rates'!$E16*(1-'Model - Scarcity &amp; Growth Rates'!$I16)-'Model - Scarcity &amp; Growth Rates'!$I16)</f>
        <v>-8.411035206875439E-2</v>
      </c>
      <c r="G16" s="12">
        <f ca="1">D16*('Model - Scarcity &amp; Growth Rates'!$D16*(1-'Model - Scarcity &amp; Growth Rates'!$I16)-'Model - Scarcity &amp; Growth Rates'!$I16)+(1-'Model - Supply'!D16)*('Model - Scarcity &amp; Growth Rates'!$E16*(1-'Model - Scarcity &amp; Growth Rates'!$I16)-'Model - Scarcity &amp; Growth Rates'!$I16)</f>
        <v>-8.6119498987905468E-2</v>
      </c>
      <c r="H16" s="12">
        <f ca="1">'Model - Scarcity &amp; Growth Rates'!J16</f>
        <v>0.2</v>
      </c>
      <c r="I16" s="21">
        <f ca="1">(1+E15)*I15*(1-(SUM(I$5:I15)/'Static Parameters'!C$17)^2)</f>
        <v>151.41844837406475</v>
      </c>
      <c r="J16" s="21">
        <f ca="1">(1+F15)*J15*(1-(SUM(J$5:J15)/'Static Parameters'!D$17)^2)</f>
        <v>98.42073353809856</v>
      </c>
      <c r="K16" s="21">
        <f ca="1">(1+G15)*K15*(1-(SUM(K$5:K15)/'Static Parameters'!E$17)^2)</f>
        <v>94.6044753948471</v>
      </c>
      <c r="L16" s="21">
        <f ca="1">(1+H15)*L15*(1-(SUM(L$5:L15)/'Static Parameters'!F$17)^2)</f>
        <v>37.954791074526817</v>
      </c>
      <c r="M16" s="21">
        <f ca="1">I16*B16*'Static Parameters'!C$15</f>
        <v>34.826243126034896</v>
      </c>
      <c r="N16" s="21">
        <f ca="1">J16*C16*'Static Parameters'!D$15</f>
        <v>2.1110348091750875</v>
      </c>
      <c r="O16" s="21">
        <f ca="1">K16*D16*'Static Parameters'!E$15</f>
        <v>18.451670025791941</v>
      </c>
      <c r="P16" s="84">
        <f t="shared" ca="1" si="11"/>
        <v>37.954791074526817</v>
      </c>
      <c r="Q16" s="54">
        <f t="shared" ca="1" si="12"/>
        <v>0</v>
      </c>
      <c r="R16" s="54">
        <f t="shared" ca="1" si="13"/>
        <v>89.24232132429384</v>
      </c>
      <c r="S16" s="54">
        <f t="shared" ca="1" si="14"/>
        <v>17.722516954047336</v>
      </c>
      <c r="T16" s="85">
        <f ca="1">I16*'Static Parameters'!C$19/(44/12)/1000</f>
        <v>3.9767990668424829</v>
      </c>
      <c r="U16" s="85">
        <f ca="1">J16*'Static Parameters'!D$19/(44/12)/1000</f>
        <v>1.9675199368207159</v>
      </c>
      <c r="V16" s="85">
        <f ca="1">K16*'Static Parameters'!E$19/(44/12)/1000</f>
        <v>1.4474484735411606</v>
      </c>
      <c r="W16" s="85">
        <f ca="1">MAX(0,AC15*'Model - Scarcity &amp; Growth Rates'!$J15*(1-'Model - Supply'!Z15/'Static Parameters'!C$25)+'Model - Supply'!Z15/'Static Parameters'!C$27)</f>
        <v>2.2213836262658933</v>
      </c>
      <c r="X16" s="85">
        <f ca="1">MAX(0,AD15*'Model - Scarcity &amp; Growth Rates'!$J15*(1-'Model - Supply'!AA15/'Static Parameters'!D$25)+'Model - Supply'!AA15/'Static Parameters'!D$27)</f>
        <v>4.1895357956977737</v>
      </c>
      <c r="Y16" s="85">
        <f ca="1">MAX(0,AE15*'Model - Scarcity &amp; Growth Rates'!$J15*(1-'Model - Supply'!AB15/'Static Parameters'!E$25)+'Model - Supply'!AB15/'Static Parameters'!E$27)</f>
        <v>2.5462416772427905</v>
      </c>
      <c r="Z16" s="85">
        <f ca="1">Z15+W16-Z15/'Static Parameters'!C$27</f>
        <v>14.174429350566296</v>
      </c>
      <c r="AA16" s="85">
        <f ca="1">AA15+X16-AA15/'Static Parameters'!D$27</f>
        <v>25.011265561954968</v>
      </c>
      <c r="AB16" s="85">
        <f ca="1">AB15+Y16-AB15/'Static Parameters'!E$27</f>
        <v>33.616730946274735</v>
      </c>
      <c r="AC16" s="85">
        <f ca="1">Z16-W16*'Static Parameters'!C$27/'Static Parameters'!C$26</f>
        <v>10.472123306789808</v>
      </c>
      <c r="AD16" s="85">
        <f ca="1">AA16-X16*'Static Parameters'!D$27/'Static Parameters'!D$26</f>
        <v>19.774345817332751</v>
      </c>
      <c r="AE16" s="85">
        <f ca="1">AB16-Y16*'Static Parameters'!E$27/'Static Parameters'!E$26</f>
        <v>30.888614863514604</v>
      </c>
      <c r="AF16" s="85">
        <f ca="1">AG15*'Model - Scarcity &amp; Growth Rates'!K15*(1-'Model - Supply'!AF15/'Static Parameters'!C$33)+'Model - Supply'!AF15</f>
        <v>109.34196922854385</v>
      </c>
      <c r="AG16" s="85">
        <f ca="1">AF16-AF16/'Static Parameters'!$C$34</f>
        <v>54.670984614271923</v>
      </c>
      <c r="AH16" s="85">
        <f t="shared" ca="1" si="15"/>
        <v>154.47882302316589</v>
      </c>
      <c r="AI16" s="85">
        <f t="shared" ca="1" si="16"/>
        <v>161.63582289261311</v>
      </c>
      <c r="AJ16" s="85">
        <f t="shared" ca="1" si="5"/>
        <v>34.826243126034896</v>
      </c>
      <c r="AK16" s="85">
        <f t="shared" ca="1" si="6"/>
        <v>91.353356133468921</v>
      </c>
      <c r="AL16" s="85">
        <f t="shared" ca="1" si="7"/>
        <v>36.174186979839277</v>
      </c>
      <c r="AM16" s="85">
        <f t="shared" ca="1" si="8"/>
        <v>37.954791074526817</v>
      </c>
      <c r="AN16" s="85">
        <f t="shared" ca="1" si="9"/>
        <v>61.135083987637159</v>
      </c>
      <c r="AO16" s="85">
        <f t="shared" ca="1" si="10"/>
        <v>54.670984614271923</v>
      </c>
    </row>
    <row r="17" spans="1:41" x14ac:dyDescent="0.35">
      <c r="A17" s="13">
        <v>2035</v>
      </c>
      <c r="B17" s="12">
        <f ca="1">MAX(0,MIN(1,B16*(1+'Model - Scarcity &amp; Growth Rates'!$D16-'Model - Scarcity &amp; Growth Rates'!$E16)))</f>
        <v>0.99623789986539235</v>
      </c>
      <c r="C17" s="12">
        <f ca="1">MAX(0,MIN(1,C16*(1+'Model - Scarcity &amp; Growth Rates'!$D16-'Model - Scarcity &amp; Growth Rates'!$E16)))</f>
        <v>9.29060552514588E-2</v>
      </c>
      <c r="D17" s="12">
        <f ca="1">MAX(0,MIN(1,D16*(1+'Model - Scarcity &amp; Growth Rates'!$D16-'Model - Scarcity &amp; Growth Rates'!$E16)))</f>
        <v>0.80960991004842642</v>
      </c>
      <c r="E17" s="12">
        <f ca="1">B17*('Model - Scarcity &amp; Growth Rates'!$D17*(1-'Model - Scarcity &amp; Growth Rates'!$I17)-'Model - Scarcity &amp; Growth Rates'!$I17)+(1-'Model - Supply'!B17)*('Model - Scarcity &amp; Growth Rates'!$E17*(1-'Model - Scarcity &amp; Growth Rates'!$I17)-'Model - Scarcity &amp; Growth Rates'!$I17)</f>
        <v>-0.10144350911551232</v>
      </c>
      <c r="F17" s="12">
        <f ca="1">C17*('Model - Scarcity &amp; Growth Rates'!$D17*(1-'Model - Scarcity &amp; Growth Rates'!$I17)-'Model - Scarcity &amp; Growth Rates'!$I17)+(1-'Model - Supply'!C17)*('Model - Scarcity &amp; Growth Rates'!$E17*(1-'Model - Scarcity &amp; Growth Rates'!$I17)-'Model - Scarcity &amp; Growth Rates'!$I17)</f>
        <v>-9.4855895152794259E-2</v>
      </c>
      <c r="G17" s="12">
        <f ca="1">D17*('Model - Scarcity &amp; Growth Rates'!$D17*(1-'Model - Scarcity &amp; Growth Rates'!$I17)-'Model - Scarcity &amp; Growth Rates'!$I17)+(1-'Model - Supply'!D17)*('Model - Scarcity &amp; Growth Rates'!$E17*(1-'Model - Scarcity &amp; Growth Rates'!$I17)-'Model - Scarcity &amp; Growth Rates'!$I17)</f>
        <v>-0.10008251076381834</v>
      </c>
      <c r="H17" s="12">
        <f ca="1">'Model - Scarcity &amp; Growth Rates'!J17</f>
        <v>0.2</v>
      </c>
      <c r="I17" s="21">
        <f ca="1">(1+E16)*I16*(1-(SUM(I$5:I16)/'Static Parameters'!C$17)^2)</f>
        <v>137.29620759061504</v>
      </c>
      <c r="J17" s="21">
        <f ca="1">(1+F16)*J16*(1-(SUM(J$5:J16)/'Static Parameters'!D$17)^2)</f>
        <v>87.140779381544164</v>
      </c>
      <c r="K17" s="21">
        <f ca="1">(1+G16)*K16*(1-(SUM(K$5:K16)/'Static Parameters'!E$17)^2)</f>
        <v>82.056357371819345</v>
      </c>
      <c r="L17" s="21">
        <f ca="1">(1+H16)*L16*(1-(SUM(L$5:L16)/'Static Parameters'!F$17)^2)</f>
        <v>44.074719549477827</v>
      </c>
      <c r="M17" s="21">
        <f ca="1">I17*B17*'Static Parameters'!C$15</f>
        <v>31.459327667198171</v>
      </c>
      <c r="N17" s="21">
        <f ca="1">J17*C17*'Static Parameters'!D$15</f>
        <v>1.8620583946916927</v>
      </c>
      <c r="O17" s="21">
        <f ca="1">K17*D17*'Static Parameters'!E$15</f>
        <v>15.944073626568047</v>
      </c>
      <c r="P17" s="84">
        <f t="shared" ca="1" si="11"/>
        <v>44.074719549477827</v>
      </c>
      <c r="Q17" s="54">
        <f t="shared" ca="1" si="12"/>
        <v>0.51652208105777253</v>
      </c>
      <c r="R17" s="54">
        <f t="shared" ca="1" si="13"/>
        <v>79.044873317667239</v>
      </c>
      <c r="S17" s="54">
        <f t="shared" ca="1" si="14"/>
        <v>15.622717261119153</v>
      </c>
      <c r="T17" s="85">
        <f ca="1">I17*'Static Parameters'!C$19/(44/12)/1000</f>
        <v>3.605897670266244</v>
      </c>
      <c r="U17" s="85">
        <f ca="1">J17*'Static Parameters'!D$19/(44/12)/1000</f>
        <v>1.7420233987274145</v>
      </c>
      <c r="V17" s="85">
        <f ca="1">K17*'Static Parameters'!E$19/(44/12)/1000</f>
        <v>1.2554622677888361</v>
      </c>
      <c r="W17" s="85">
        <f ca="1">MAX(0,AC16*'Model - Scarcity &amp; Growth Rates'!$J16*(1-'Model - Supply'!Z16/'Static Parameters'!C$25)+'Model - Supply'!Z16/'Static Parameters'!C$27)</f>
        <v>2.5129654634181029</v>
      </c>
      <c r="X17" s="85">
        <f ca="1">MAX(0,AD16*'Model - Scarcity &amp; Growth Rates'!$J16*(1-'Model - Supply'!AA16/'Static Parameters'!D$25)+'Model - Supply'!AA16/'Static Parameters'!D$27)</f>
        <v>4.8140108103586794</v>
      </c>
      <c r="Y17" s="85">
        <f ca="1">MAX(0,AE16*'Model - Scarcity &amp; Growth Rates'!$J16*(1-'Model - Supply'!AB16/'Static Parameters'!E$25)+'Model - Supply'!AB16/'Static Parameters'!E$27)</f>
        <v>2.4724490313070913</v>
      </c>
      <c r="Z17" s="85">
        <f ca="1">Z16+W17-Z16/'Static Parameters'!C$27</f>
        <v>16.120417639961747</v>
      </c>
      <c r="AA17" s="85">
        <f ca="1">AA16+X17-AA16/'Static Parameters'!D$27</f>
        <v>28.824825749835448</v>
      </c>
      <c r="AB17" s="85">
        <f ca="1">AB16+Y17-AB16/'Static Parameters'!E$27</f>
        <v>35.640956898298164</v>
      </c>
      <c r="AC17" s="85">
        <f ca="1">Z17-W17*'Static Parameters'!C$27/'Static Parameters'!C$26</f>
        <v>11.932141867598244</v>
      </c>
      <c r="AD17" s="85">
        <f ca="1">AA17-X17*'Static Parameters'!D$27/'Static Parameters'!D$26</f>
        <v>22.8073122368871</v>
      </c>
      <c r="AE17" s="85">
        <f ca="1">AB17-Y17*'Static Parameters'!E$27/'Static Parameters'!E$26</f>
        <v>32.991904364754852</v>
      </c>
      <c r="AF17" s="85">
        <f ca="1">AG16*'Model - Scarcity &amp; Growth Rates'!K16*(1-'Model - Supply'!AF16/'Static Parameters'!C$33)+'Model - Supply'!AF16</f>
        <v>114.29833303401031</v>
      </c>
      <c r="AG17" s="85">
        <f ca="1">AF17-AF17/'Static Parameters'!$C$34</f>
        <v>57.149166517005156</v>
      </c>
      <c r="AH17" s="85">
        <f t="shared" ca="1" si="15"/>
        <v>161.07153770717591</v>
      </c>
      <c r="AI17" s="85">
        <f t="shared" ca="1" si="16"/>
        <v>152.33327917684932</v>
      </c>
      <c r="AJ17" s="85">
        <f t="shared" ca="1" si="5"/>
        <v>31.975849748255943</v>
      </c>
      <c r="AK17" s="85">
        <f t="shared" ca="1" si="6"/>
        <v>80.906931712358926</v>
      </c>
      <c r="AL17" s="85">
        <f t="shared" ca="1" si="7"/>
        <v>31.566790887687198</v>
      </c>
      <c r="AM17" s="85">
        <f t="shared" ca="1" si="8"/>
        <v>44.074719549477827</v>
      </c>
      <c r="AN17" s="85">
        <f t="shared" ca="1" si="9"/>
        <v>67.731358469240206</v>
      </c>
      <c r="AO17" s="85">
        <f t="shared" ca="1" si="10"/>
        <v>57.149166517005156</v>
      </c>
    </row>
    <row r="18" spans="1:41" x14ac:dyDescent="0.35">
      <c r="A18" s="13">
        <v>2036</v>
      </c>
      <c r="B18" s="12">
        <f ca="1">MAX(0,MIN(1,B17*(1+'Model - Scarcity &amp; Growth Rates'!$D17-'Model - Scarcity &amp; Growth Rates'!$E17)))</f>
        <v>0.98624802604713246</v>
      </c>
      <c r="C18" s="12">
        <f ca="1">MAX(0,MIN(1,C17*(1+'Model - Scarcity &amp; Growth Rates'!$D17-'Model - Scarcity &amp; Growth Rates'!$E17)))</f>
        <v>9.1974430617383182E-2</v>
      </c>
      <c r="D18" s="12">
        <f ca="1">MAX(0,MIN(1,D17*(1+'Model - Scarcity &amp; Growth Rates'!$D17-'Model - Scarcity &amp; Growth Rates'!$E17)))</f>
        <v>0.80149146680862471</v>
      </c>
      <c r="E18" s="12">
        <f ca="1">B18*('Model - Scarcity &amp; Growth Rates'!$D18*(1-'Model - Scarcity &amp; Growth Rates'!$I18)-'Model - Scarcity &amp; Growth Rates'!$I18)+(1-'Model - Supply'!B18)*('Model - Scarcity &amp; Growth Rates'!$E18*(1-'Model - Scarcity &amp; Growth Rates'!$I18)-'Model - Scarcity &amp; Growth Rates'!$I18)</f>
        <v>-0.11594610872579986</v>
      </c>
      <c r="F18" s="12">
        <f ca="1">C18*('Model - Scarcity &amp; Growth Rates'!$D18*(1-'Model - Scarcity &amp; Growth Rates'!$I18)-'Model - Scarcity &amp; Growth Rates'!$I18)+(1-'Model - Supply'!C18)*('Model - Scarcity &amp; Growth Rates'!$E18*(1-'Model - Scarcity &amp; Growth Rates'!$I18)-'Model - Scarcity &amp; Growth Rates'!$I18)</f>
        <v>-0.10730222210967912</v>
      </c>
      <c r="G18" s="12">
        <f ca="1">D18*('Model - Scarcity &amp; Growth Rates'!$D18*(1-'Model - Scarcity &amp; Growth Rates'!$I18)-'Model - Scarcity &amp; Growth Rates'!$I18)+(1-'Model - Supply'!D18)*('Model - Scarcity &amp; Growth Rates'!$E18*(1-'Model - Scarcity &amp; Growth Rates'!$I18)-'Model - Scarcity &amp; Growth Rates'!$I18)</f>
        <v>-0.11416028528451308</v>
      </c>
      <c r="H18" s="12">
        <f ca="1">'Model - Scarcity &amp; Growth Rates'!J18</f>
        <v>0.2</v>
      </c>
      <c r="I18" s="21">
        <f ca="1">(1+E17)*I17*(1-(SUM(I$5:I17)/'Static Parameters'!C$17)^2)</f>
        <v>122.35563384552046</v>
      </c>
      <c r="J18" s="21">
        <f ca="1">(1+F17)*J17*(1-(SUM(J$5:J17)/'Static Parameters'!D$17)^2)</f>
        <v>75.972374835665022</v>
      </c>
      <c r="K18" s="21">
        <f ca="1">(1+G17)*K17*(1-(SUM(K$5:K17)/'Static Parameters'!E$17)^2)</f>
        <v>69.682886370628253</v>
      </c>
      <c r="L18" s="21">
        <f ca="1">(1+H17)*L17*(1-(SUM(L$5:L17)/'Static Parameters'!F$17)^2)</f>
        <v>50.45174852831137</v>
      </c>
      <c r="M18" s="21">
        <f ca="1">I18*B18*'Static Parameters'!C$15</f>
        <v>27.75479054185476</v>
      </c>
      <c r="N18" s="21">
        <f ca="1">J18*C18*'Static Parameters'!D$15</f>
        <v>1.6071286611769613</v>
      </c>
      <c r="O18" s="21">
        <f ca="1">K18*D18*'Static Parameters'!E$15</f>
        <v>13.404057314076855</v>
      </c>
      <c r="P18" s="84">
        <f t="shared" ca="1" si="11"/>
        <v>50.45174852831137</v>
      </c>
      <c r="Q18" s="54">
        <f t="shared" ca="1" si="12"/>
        <v>1.6826314896301948</v>
      </c>
      <c r="R18" s="54">
        <f t="shared" ca="1" si="13"/>
        <v>68.984858917504326</v>
      </c>
      <c r="S18" s="54">
        <f t="shared" ca="1" si="14"/>
        <v>13.832647561974692</v>
      </c>
      <c r="T18" s="85">
        <f ca="1">I18*'Static Parameters'!C$19/(44/12)/1000</f>
        <v>3.2135038743609874</v>
      </c>
      <c r="U18" s="85">
        <f ca="1">J18*'Static Parameters'!D$19/(44/12)/1000</f>
        <v>1.5187568387602488</v>
      </c>
      <c r="V18" s="85">
        <f ca="1">K18*'Static Parameters'!E$19/(44/12)/1000</f>
        <v>1.0661481614706125</v>
      </c>
      <c r="W18" s="85">
        <f ca="1">MAX(0,AC17*'Model - Scarcity &amp; Growth Rates'!$J17*(1-'Model - Supply'!Z17/'Static Parameters'!C$25)+'Model - Supply'!Z17/'Static Parameters'!C$27)</f>
        <v>2.8388939688731623</v>
      </c>
      <c r="X18" s="85">
        <f ca="1">MAX(0,AD17*'Model - Scarcity &amp; Growth Rates'!$J17*(1-'Model - Supply'!AA17/'Static Parameters'!D$25)+'Model - Supply'!AA17/'Static Parameters'!D$27)</f>
        <v>5.5266221056421632</v>
      </c>
      <c r="Y18" s="85">
        <f ca="1">MAX(0,AE17*'Model - Scarcity &amp; Growth Rates'!$J17*(1-'Model - Supply'!AB17/'Static Parameters'!E$25)+'Model - Supply'!AB17/'Static Parameters'!E$27)</f>
        <v>2.3701414657669351</v>
      </c>
      <c r="Z18" s="85">
        <f ca="1">Z17+W18-Z17/'Static Parameters'!C$27</f>
        <v>18.31449490323644</v>
      </c>
      <c r="AA18" s="85">
        <f ca="1">AA17+X18-AA17/'Static Parameters'!D$27</f>
        <v>33.198454825484191</v>
      </c>
      <c r="AB18" s="85">
        <f ca="1">AB17+Y18-AB17/'Static Parameters'!E$27</f>
        <v>37.535885605421122</v>
      </c>
      <c r="AC18" s="85">
        <f ca="1">Z18-W18*'Static Parameters'!C$27/'Static Parameters'!C$26</f>
        <v>13.583004955114504</v>
      </c>
      <c r="AD18" s="85">
        <f ca="1">AA18-X18*'Static Parameters'!D$27/'Static Parameters'!D$26</f>
        <v>26.290177193431486</v>
      </c>
      <c r="AE18" s="85">
        <f ca="1">AB18-Y18*'Static Parameters'!E$27/'Static Parameters'!E$26</f>
        <v>34.996448320670837</v>
      </c>
      <c r="AF18" s="85">
        <f ca="1">AG17*'Model - Scarcity &amp; Growth Rates'!K17*(1-'Model - Supply'!AF17/'Static Parameters'!C$33)+'Model - Supply'!AF17</f>
        <v>119.19611187023457</v>
      </c>
      <c r="AG18" s="85">
        <f ca="1">AF18-AF18/'Static Parameters'!$C$34</f>
        <v>59.598055935117287</v>
      </c>
      <c r="AH18" s="85">
        <f t="shared" ca="1" si="15"/>
        <v>168.08735551463678</v>
      </c>
      <c r="AI18" s="85">
        <f t="shared" ca="1" si="16"/>
        <v>144.09819390422649</v>
      </c>
      <c r="AJ18" s="85">
        <f t="shared" ca="1" si="5"/>
        <v>29.437422031484957</v>
      </c>
      <c r="AK18" s="85">
        <f t="shared" ca="1" si="6"/>
        <v>70.591987578681284</v>
      </c>
      <c r="AL18" s="85">
        <f t="shared" ca="1" si="7"/>
        <v>27.236704876051547</v>
      </c>
      <c r="AM18" s="85">
        <f t="shared" ca="1" si="8"/>
        <v>50.45174852831137</v>
      </c>
      <c r="AN18" s="85">
        <f t="shared" ca="1" si="9"/>
        <v>74.86963046921683</v>
      </c>
      <c r="AO18" s="85">
        <f t="shared" ca="1" si="10"/>
        <v>59.598055935117287</v>
      </c>
    </row>
    <row r="19" spans="1:41" x14ac:dyDescent="0.35">
      <c r="A19" s="13">
        <v>2037</v>
      </c>
      <c r="B19" s="12">
        <f ca="1">MAX(0,MIN(1,B18*(1+'Model - Scarcity &amp; Growth Rates'!$D18-'Model - Scarcity &amp; Growth Rates'!$E18)))</f>
        <v>0.97289516229796802</v>
      </c>
      <c r="C19" s="12">
        <f ca="1">MAX(0,MIN(1,C18*(1+'Model - Scarcity &amp; Growth Rates'!$D18-'Model - Scarcity &amp; Growth Rates'!$E18)))</f>
        <v>9.0729183977586919E-2</v>
      </c>
      <c r="D19" s="12">
        <f ca="1">MAX(0,MIN(1,D18*(1+'Model - Scarcity &amp; Growth Rates'!$D18-'Model - Scarcity &amp; Growth Rates'!$E18)))</f>
        <v>0.79064003180468578</v>
      </c>
      <c r="E19" s="12">
        <f ca="1">B19*('Model - Scarcity &amp; Growth Rates'!$D19*(1-'Model - Scarcity &amp; Growth Rates'!$I19)-'Model - Scarcity &amp; Growth Rates'!$I19)+(1-'Model - Supply'!B19)*('Model - Scarcity &amp; Growth Rates'!$E19*(1-'Model - Scarcity &amp; Growth Rates'!$I19)-'Model - Scarcity &amp; Growth Rates'!$I19)</f>
        <v>-0.1300184093790806</v>
      </c>
      <c r="F19" s="12">
        <f ca="1">C19*('Model - Scarcity &amp; Growth Rates'!$D19*(1-'Model - Scarcity &amp; Growth Rates'!$I19)-'Model - Scarcity &amp; Growth Rates'!$I19)+(1-'Model - Supply'!C19)*('Model - Scarcity &amp; Growth Rates'!$E19*(1-'Model - Scarcity &amp; Growth Rates'!$I19)-'Model - Scarcity &amp; Growth Rates'!$I19)</f>
        <v>-0.11944832335201012</v>
      </c>
      <c r="G19" s="12">
        <f ca="1">D19*('Model - Scarcity &amp; Growth Rates'!$D19*(1-'Model - Scarcity &amp; Growth Rates'!$I19)-'Model - Scarcity &amp; Growth Rates'!$I19)+(1-'Model - Supply'!D19)*('Model - Scarcity &amp; Growth Rates'!$E19*(1-'Model - Scarcity &amp; Growth Rates'!$I19)-'Model - Scarcity &amp; Growth Rates'!$I19)</f>
        <v>-0.1278346339269181</v>
      </c>
      <c r="H19" s="12">
        <f ca="1">'Model - Scarcity &amp; Growth Rates'!J19</f>
        <v>0.2</v>
      </c>
      <c r="I19" s="21">
        <f ca="1">(1+E18)*I18*(1-(SUM(I$5:I18)/'Static Parameters'!C$17)^2)</f>
        <v>107.18329569176286</v>
      </c>
      <c r="J19" s="21">
        <f ca="1">(1+F18)*J18*(1-(SUM(J$5:J18)/'Static Parameters'!D$17)^2)</f>
        <v>65.107977237226308</v>
      </c>
      <c r="K19" s="21">
        <f ca="1">(1+G18)*K18*(1-(SUM(K$5:K18)/'Static Parameters'!E$17)^2)</f>
        <v>57.950555504333657</v>
      </c>
      <c r="L19" s="21">
        <f ca="1">(1+H18)*L18*(1-(SUM(L$5:L18)/'Static Parameters'!F$17)^2)</f>
        <v>56.613463693690861</v>
      </c>
      <c r="M19" s="21">
        <f ca="1">I19*B19*'Static Parameters'!C$15</f>
        <v>23.983965267263809</v>
      </c>
      <c r="N19" s="21">
        <f ca="1">J19*C19*'Static Parameters'!D$15</f>
        <v>1.3586545383879149</v>
      </c>
      <c r="O19" s="21">
        <f ca="1">K19*D19*'Static Parameters'!E$15</f>
        <v>10.996326971290937</v>
      </c>
      <c r="P19" s="84">
        <f t="shared" ca="1" si="11"/>
        <v>56.613463693690861</v>
      </c>
      <c r="Q19" s="54">
        <f t="shared" ca="1" si="12"/>
        <v>2.9051858340941359</v>
      </c>
      <c r="R19" s="54">
        <f t="shared" ca="1" si="13"/>
        <v>59.200783592061462</v>
      </c>
      <c r="S19" s="54">
        <f t="shared" ca="1" si="14"/>
        <v>12.132526457288085</v>
      </c>
      <c r="T19" s="85">
        <f ca="1">I19*'Static Parameters'!C$19/(44/12)/1000</f>
        <v>2.815023102304572</v>
      </c>
      <c r="U19" s="85">
        <f ca="1">J19*'Static Parameters'!D$19/(44/12)/1000</f>
        <v>1.3015676540423697</v>
      </c>
      <c r="V19" s="85">
        <f ca="1">K19*'Static Parameters'!E$19/(44/12)/1000</f>
        <v>0.88664349921630492</v>
      </c>
      <c r="W19" s="85">
        <f ca="1">MAX(0,AC18*'Model - Scarcity &amp; Growth Rates'!$J18*(1-'Model - Supply'!Z18/'Static Parameters'!C$25)+'Model - Supply'!Z18/'Static Parameters'!C$27)</f>
        <v>3.2004149121312784</v>
      </c>
      <c r="X19" s="85">
        <f ca="1">MAX(0,AD18*'Model - Scarcity &amp; Growth Rates'!$J18*(1-'Model - Supply'!AA18/'Static Parameters'!D$25)+'Model - Supply'!AA18/'Static Parameters'!D$27)</f>
        <v>6.336604128874205</v>
      </c>
      <c r="Y19" s="85">
        <f ca="1">MAX(0,AE18*'Model - Scarcity &amp; Growth Rates'!$J18*(1-'Model - Supply'!AB18/'Static Parameters'!E$25)+'Model - Supply'!AB18/'Static Parameters'!E$27)</f>
        <v>2.2452774158301851</v>
      </c>
      <c r="Z19" s="85">
        <f ca="1">Z18+W19-Z18/'Static Parameters'!C$27</f>
        <v>20.782330019238263</v>
      </c>
      <c r="AA19" s="85">
        <f ca="1">AA18+X19-AA18/'Static Parameters'!D$27</f>
        <v>38.207120761339027</v>
      </c>
      <c r="AB19" s="85">
        <f ca="1">AB18+Y19-AB18/'Static Parameters'!E$27</f>
        <v>39.280684546512362</v>
      </c>
      <c r="AC19" s="85">
        <f ca="1">Z19-W19*'Static Parameters'!C$27/'Static Parameters'!C$26</f>
        <v>15.448305165686133</v>
      </c>
      <c r="AD19" s="85">
        <f ca="1">AA19-X19*'Static Parameters'!D$27/'Static Parameters'!D$26</f>
        <v>30.28636560024627</v>
      </c>
      <c r="AE19" s="85">
        <f ca="1">AB19-Y19*'Static Parameters'!E$27/'Static Parameters'!E$26</f>
        <v>36.875030172408593</v>
      </c>
      <c r="AF19" s="85">
        <f ca="1">AG18*'Model - Scarcity &amp; Growth Rates'!K18*(1-'Model - Supply'!AF18/'Static Parameters'!C$33)+'Model - Supply'!AF18</f>
        <v>124.01186651476729</v>
      </c>
      <c r="AG19" s="85">
        <f ca="1">AF19-AF19/'Static Parameters'!$C$34</f>
        <v>62.005933257383646</v>
      </c>
      <c r="AH19" s="85">
        <f t="shared" ca="1" si="15"/>
        <v>175.56211140897452</v>
      </c>
      <c r="AI19" s="85">
        <f t="shared" ca="1" si="16"/>
        <v>136.24442914082732</v>
      </c>
      <c r="AJ19" s="85">
        <f t="shared" ca="1" si="5"/>
        <v>26.889151101357946</v>
      </c>
      <c r="AK19" s="85">
        <f t="shared" ca="1" si="6"/>
        <v>60.559438130449379</v>
      </c>
      <c r="AL19" s="85">
        <f t="shared" ca="1" si="7"/>
        <v>23.128853428579021</v>
      </c>
      <c r="AM19" s="85">
        <f t="shared" ca="1" si="8"/>
        <v>56.613463693690861</v>
      </c>
      <c r="AN19" s="85">
        <f t="shared" ca="1" si="9"/>
        <v>82.609700938341007</v>
      </c>
      <c r="AO19" s="85">
        <f t="shared" ca="1" si="10"/>
        <v>62.005933257383646</v>
      </c>
    </row>
    <row r="20" spans="1:41" x14ac:dyDescent="0.35">
      <c r="A20" s="13">
        <v>2038</v>
      </c>
      <c r="B20" s="12">
        <f ca="1">MAX(0,MIN(1,B19*(1+'Model - Scarcity &amp; Growth Rates'!$D19-'Model - Scarcity &amp; Growth Rates'!$E19)))</f>
        <v>0.9562958148291234</v>
      </c>
      <c r="C20" s="12">
        <f ca="1">MAX(0,MIN(1,C19*(1+'Model - Scarcity &amp; Growth Rates'!$D19-'Model - Scarcity &amp; Growth Rates'!$E19)))</f>
        <v>8.9181180339814245E-2</v>
      </c>
      <c r="D20" s="12">
        <f ca="1">MAX(0,MIN(1,D19*(1+'Model - Scarcity &amp; Growth Rates'!$D19-'Model - Scarcity &amp; Growth Rates'!$E19)))</f>
        <v>0.77715028581838097</v>
      </c>
      <c r="E20" s="12">
        <f ca="1">B20*('Model - Scarcity &amp; Growth Rates'!$D20*(1-'Model - Scarcity &amp; Growth Rates'!$I20)-'Model - Scarcity &amp; Growth Rates'!$I20)+(1-'Model - Supply'!B20)*('Model - Scarcity &amp; Growth Rates'!$E20*(1-'Model - Scarcity &amp; Growth Rates'!$I20)-'Model - Scarcity &amp; Growth Rates'!$I20)</f>
        <v>-0.1424554530548417</v>
      </c>
      <c r="F20" s="12">
        <f ca="1">C20*('Model - Scarcity &amp; Growth Rates'!$D20*(1-'Model - Scarcity &amp; Growth Rates'!$I20)-'Model - Scarcity &amp; Growth Rates'!$I20)+(1-'Model - Supply'!C20)*('Model - Scarcity &amp; Growth Rates'!$E20*(1-'Model - Scarcity &amp; Growth Rates'!$I20)-'Model - Scarcity &amp; Growth Rates'!$I20)</f>
        <v>-0.13195808686947308</v>
      </c>
      <c r="G20" s="12">
        <f ca="1">D20*('Model - Scarcity &amp; Growth Rates'!$D20*(1-'Model - Scarcity &amp; Growth Rates'!$I20)-'Model - Scarcity &amp; Growth Rates'!$I20)+(1-'Model - Supply'!D20)*('Model - Scarcity &amp; Growth Rates'!$E20*(1-'Model - Scarcity &amp; Growth Rates'!$I20)-'Model - Scarcity &amp; Growth Rates'!$I20)</f>
        <v>-0.14028670149224709</v>
      </c>
      <c r="H20" s="12">
        <f ca="1">'Model - Scarcity &amp; Growth Rates'!J20</f>
        <v>0.2</v>
      </c>
      <c r="I20" s="21">
        <f ca="1">(1+E19)*I19*(1-(SUM(I$5:I19)/'Static Parameters'!C$17)^2)</f>
        <v>92.320404279983009</v>
      </c>
      <c r="J20" s="21">
        <f ca="1">(1+F19)*J19*(1-(SUM(J$5:J19)/'Static Parameters'!D$17)^2)</f>
        <v>54.875070401776227</v>
      </c>
      <c r="K20" s="21">
        <f ca="1">(1+G19)*K19*(1-(SUM(K$5:K19)/'Static Parameters'!E$17)^2)</f>
        <v>47.238348614417511</v>
      </c>
      <c r="L20" s="21">
        <f ca="1">(1+H19)*L19*(1-(SUM(L$5:L19)/'Static Parameters'!F$17)^2)</f>
        <v>61.835413479221423</v>
      </c>
      <c r="M20" s="21">
        <f ca="1">I20*B20*'Static Parameters'!C$15</f>
        <v>20.305691734344503</v>
      </c>
      <c r="N20" s="21">
        <f ca="1">J20*C20*'Static Parameters'!D$15</f>
        <v>1.1255794164219861</v>
      </c>
      <c r="O20" s="21">
        <f ca="1">K20*D20*'Static Parameters'!E$15</f>
        <v>8.8107110705478942</v>
      </c>
      <c r="P20" s="84">
        <f t="shared" ca="1" si="11"/>
        <v>61.835413479221423</v>
      </c>
      <c r="Q20" s="54">
        <f t="shared" ca="1" si="12"/>
        <v>4.0347880437025658</v>
      </c>
      <c r="R20" s="54">
        <f t="shared" ca="1" si="13"/>
        <v>49.981246852115419</v>
      </c>
      <c r="S20" s="54">
        <f t="shared" ca="1" si="14"/>
        <v>10.527052487134622</v>
      </c>
      <c r="T20" s="85">
        <f ca="1">I20*'Static Parameters'!C$19/(44/12)/1000</f>
        <v>2.4246695269533722</v>
      </c>
      <c r="U20" s="85">
        <f ca="1">J20*'Static Parameters'!D$19/(44/12)/1000</f>
        <v>1.0970025437591449</v>
      </c>
      <c r="V20" s="85">
        <f ca="1">K20*'Static Parameters'!E$19/(44/12)/1000</f>
        <v>0.72274673380058785</v>
      </c>
      <c r="W20" s="85">
        <f ca="1">MAX(0,AC19*'Model - Scarcity &amp; Growth Rates'!$J19*(1-'Model - Supply'!Z19/'Static Parameters'!C$25)+'Model - Supply'!Z19/'Static Parameters'!C$27)</f>
        <v>3.5999024577155647</v>
      </c>
      <c r="X20" s="85">
        <f ca="1">MAX(0,AD19*'Model - Scarcity &amp; Growth Rates'!$J19*(1-'Model - Supply'!AA19/'Static Parameters'!D$25)+'Model - Supply'!AA19/'Static Parameters'!D$27)</f>
        <v>7.2549422853854804</v>
      </c>
      <c r="Y20" s="85">
        <f ca="1">MAX(0,AE19*'Model - Scarcity &amp; Growth Rates'!$J19*(1-'Model - Supply'!AB19/'Static Parameters'!E$25)+'Model - Supply'!AB19/'Static Parameters'!E$27)</f>
        <v>2.104842783719854</v>
      </c>
      <c r="Z20" s="85">
        <f ca="1">Z19+W20-Z19/'Static Parameters'!C$27</f>
        <v>23.550939276184298</v>
      </c>
      <c r="AA20" s="85">
        <f ca="1">AA19+X20-AA19/'Static Parameters'!D$27</f>
        <v>43.933778216270952</v>
      </c>
      <c r="AB20" s="85">
        <f ca="1">AB19+Y20-AB19/'Static Parameters'!E$27</f>
        <v>40.861784869612052</v>
      </c>
      <c r="AC20" s="85">
        <f ca="1">Z20-W20*'Static Parameters'!C$27/'Static Parameters'!C$26</f>
        <v>17.551101846658355</v>
      </c>
      <c r="AD20" s="85">
        <f ca="1">AA20-X20*'Static Parameters'!D$27/'Static Parameters'!D$26</f>
        <v>34.865100359539099</v>
      </c>
      <c r="AE20" s="85">
        <f ca="1">AB20-Y20*'Static Parameters'!E$27/'Static Parameters'!E$26</f>
        <v>38.606596172769351</v>
      </c>
      <c r="AF20" s="85">
        <f ca="1">AG19*'Model - Scarcity &amp; Growth Rates'!K19*(1-'Model - Supply'!AF19/'Static Parameters'!C$33)+'Model - Supply'!AF19</f>
        <v>128.72358164800579</v>
      </c>
      <c r="AG20" s="85">
        <f ca="1">AF20-AF20/'Static Parameters'!$C$34</f>
        <v>64.361790824002895</v>
      </c>
      <c r="AH20" s="85">
        <f t="shared" ca="1" si="15"/>
        <v>183.10019407950261</v>
      </c>
      <c r="AI20" s="85">
        <f t="shared" ca="1" si="16"/>
        <v>128.90487820695552</v>
      </c>
      <c r="AJ20" s="85">
        <f t="shared" ca="1" si="5"/>
        <v>24.340479778047069</v>
      </c>
      <c r="AK20" s="85">
        <f t="shared" ca="1" si="6"/>
        <v>51.106826268537404</v>
      </c>
      <c r="AL20" s="85">
        <f t="shared" ca="1" si="7"/>
        <v>19.337763557682514</v>
      </c>
      <c r="AM20" s="85">
        <f t="shared" ca="1" si="8"/>
        <v>61.835413479221423</v>
      </c>
      <c r="AN20" s="85">
        <f t="shared" ca="1" si="9"/>
        <v>91.022798378966797</v>
      </c>
      <c r="AO20" s="85">
        <f t="shared" ca="1" si="10"/>
        <v>64.361790824002895</v>
      </c>
    </row>
    <row r="21" spans="1:41" x14ac:dyDescent="0.35">
      <c r="A21" s="13">
        <v>2039</v>
      </c>
      <c r="B21" s="12">
        <f ca="1">MAX(0,MIN(1,B20*(1+'Model - Scarcity &amp; Growth Rates'!$D20-'Model - Scarcity &amp; Growth Rates'!$E20)))</f>
        <v>0.93957043016744723</v>
      </c>
      <c r="C21" s="12">
        <f ca="1">MAX(0,MIN(1,C20*(1+'Model - Scarcity &amp; Growth Rates'!$D20-'Model - Scarcity &amp; Growth Rates'!$E20)))</f>
        <v>8.7621422864526927E-2</v>
      </c>
      <c r="D21" s="12">
        <f ca="1">MAX(0,MIN(1,D20*(1+'Model - Scarcity &amp; Growth Rates'!$D20-'Model - Scarcity &amp; Growth Rates'!$E20)))</f>
        <v>0.76355811353373437</v>
      </c>
      <c r="E21" s="12">
        <f ca="1">B21*('Model - Scarcity &amp; Growth Rates'!$D21*(1-'Model - Scarcity &amp; Growth Rates'!$I21)-'Model - Scarcity &amp; Growth Rates'!$I21)+(1-'Model - Supply'!B21)*('Model - Scarcity &amp; Growth Rates'!$E21*(1-'Model - Scarcity &amp; Growth Rates'!$I21)-'Model - Scarcity &amp; Growth Rates'!$I21)</f>
        <v>-0.15204584942362998</v>
      </c>
      <c r="F21" s="12">
        <f ca="1">C21*('Model - Scarcity &amp; Growth Rates'!$D21*(1-'Model - Scarcity &amp; Growth Rates'!$I21)-'Model - Scarcity &amp; Growth Rates'!$I21)+(1-'Model - Supply'!C21)*('Model - Scarcity &amp; Growth Rates'!$E21*(1-'Model - Scarcity &amp; Growth Rates'!$I21)-'Model - Scarcity &amp; Growth Rates'!$I21)</f>
        <v>-0.1441981475001986</v>
      </c>
      <c r="G21" s="12">
        <f ca="1">D21*('Model - Scarcity &amp; Growth Rates'!$D21*(1-'Model - Scarcity &amp; Growth Rates'!$I21)-'Model - Scarcity &amp; Growth Rates'!$I21)+(1-'Model - Supply'!D21)*('Model - Scarcity &amp; Growth Rates'!$E21*(1-'Model - Scarcity &amp; Growth Rates'!$I21)-'Model - Scarcity &amp; Growth Rates'!$I21)</f>
        <v>-0.15042451741437407</v>
      </c>
      <c r="H21" s="12">
        <f ca="1">'Model - Scarcity &amp; Growth Rates'!J21</f>
        <v>0.2</v>
      </c>
      <c r="I21" s="21">
        <f ca="1">(1+E20)*I20*(1-(SUM(I$5:I20)/'Static Parameters'!C$17)^2)</f>
        <v>78.322859831130501</v>
      </c>
      <c r="J21" s="21">
        <f ca="1">(1+F20)*J20*(1-(SUM(J$5:J20)/'Static Parameters'!D$17)^2)</f>
        <v>45.475637576344852</v>
      </c>
      <c r="K21" s="21">
        <f ca="1">(1+G20)*K20*(1-(SUM(K$5:K20)/'Static Parameters'!E$17)^2)</f>
        <v>37.814010375948854</v>
      </c>
      <c r="L21" s="21">
        <f ca="1">(1+H20)*L20*(1-(SUM(L$5:L20)/'Static Parameters'!F$17)^2)</f>
        <v>65.177808267924306</v>
      </c>
      <c r="M21" s="21">
        <f ca="1">I21*B21*'Static Parameters'!C$15</f>
        <v>16.925663913800392</v>
      </c>
      <c r="N21" s="21">
        <f ca="1">J21*C21*'Static Parameters'!D$15</f>
        <v>0.91646721612550308</v>
      </c>
      <c r="O21" s="21">
        <f ca="1">K21*D21*'Static Parameters'!E$15</f>
        <v>6.9295666626730945</v>
      </c>
      <c r="P21" s="84">
        <f t="shared" ca="1" si="11"/>
        <v>65.177808267924306</v>
      </c>
      <c r="Q21" s="54">
        <f t="shared" ca="1" si="12"/>
        <v>4.7330167276505426</v>
      </c>
      <c r="R21" s="54">
        <f t="shared" ca="1" si="13"/>
        <v>41.490997506233967</v>
      </c>
      <c r="S21" s="54">
        <f t="shared" ca="1" si="14"/>
        <v>8.940815948144289</v>
      </c>
      <c r="T21" s="85">
        <f ca="1">I21*'Static Parameters'!C$19/(44/12)/1000</f>
        <v>2.0570431095648729</v>
      </c>
      <c r="U21" s="85">
        <f ca="1">J21*'Static Parameters'!D$19/(44/12)/1000</f>
        <v>0.90909933663983933</v>
      </c>
      <c r="V21" s="85">
        <f ca="1">K21*'Static Parameters'!E$19/(44/12)/1000</f>
        <v>0.57855435875201744</v>
      </c>
      <c r="W21" s="85">
        <f ca="1">MAX(0,AC20*'Model - Scarcity &amp; Growth Rates'!$J20*(1-'Model - Supply'!Z20/'Static Parameters'!C$25)+'Model - Supply'!Z20/'Static Parameters'!C$27)</f>
        <v>4.0389130065582659</v>
      </c>
      <c r="X21" s="85">
        <f ca="1">MAX(0,AD20*'Model - Scarcity &amp; Growth Rates'!$J20*(1-'Model - Supply'!AA20/'Static Parameters'!D$25)+'Model - Supply'!AA20/'Static Parameters'!D$27)</f>
        <v>8.2927267472203674</v>
      </c>
      <c r="Y21" s="85">
        <f ca="1">MAX(0,AE20*'Model - Scarcity &amp; Growth Rates'!$J20*(1-'Model - Supply'!AB20/'Static Parameters'!E$25)+'Model - Supply'!AB20/'Static Parameters'!E$27)</f>
        <v>1.9560053233766077</v>
      </c>
      <c r="Z21" s="85">
        <f ca="1">Z20+W21-Z20/'Static Parameters'!C$27</f>
        <v>26.64781471169519</v>
      </c>
      <c r="AA21" s="85">
        <f ca="1">AA20+X21-AA20/'Static Parameters'!D$27</f>
        <v>50.469153834840483</v>
      </c>
      <c r="AB21" s="85">
        <f ca="1">AB20+Y21-AB20/'Static Parameters'!E$27</f>
        <v>42.272966394727163</v>
      </c>
      <c r="AC21" s="85">
        <f ca="1">Z21-W21*'Static Parameters'!C$27/'Static Parameters'!C$26</f>
        <v>19.916293034098082</v>
      </c>
      <c r="AD21" s="85">
        <f ca="1">AA21-X21*'Static Parameters'!D$27/'Static Parameters'!D$26</f>
        <v>40.103245400815027</v>
      </c>
      <c r="AE21" s="85">
        <f ca="1">AB21-Y21*'Static Parameters'!E$27/'Static Parameters'!E$26</f>
        <v>40.177246405395081</v>
      </c>
      <c r="AF21" s="85">
        <f ca="1">AG20*'Model - Scarcity &amp; Growth Rates'!K20*(1-'Model - Supply'!AF20/'Static Parameters'!C$33)+'Model - Supply'!AF20</f>
        <v>133.31105957666097</v>
      </c>
      <c r="AG21" s="85">
        <f ca="1">AF21-AF21/'Static Parameters'!$C$34</f>
        <v>66.655529788330483</v>
      </c>
      <c r="AH21" s="85">
        <f t="shared" ca="1" si="15"/>
        <v>190.1462909008315</v>
      </c>
      <c r="AI21" s="85">
        <f t="shared" ca="1" si="16"/>
        <v>121.82035997035928</v>
      </c>
      <c r="AJ21" s="85">
        <f t="shared" ca="1" si="5"/>
        <v>21.658680641450935</v>
      </c>
      <c r="AK21" s="85">
        <f t="shared" ca="1" si="6"/>
        <v>42.407464722359471</v>
      </c>
      <c r="AL21" s="85">
        <f t="shared" ca="1" si="7"/>
        <v>15.870382610817384</v>
      </c>
      <c r="AM21" s="85">
        <f t="shared" ca="1" si="8"/>
        <v>65.177808267924306</v>
      </c>
      <c r="AN21" s="85">
        <f t="shared" ca="1" si="9"/>
        <v>100.1967848403082</v>
      </c>
      <c r="AO21" s="85">
        <f t="shared" ca="1" si="10"/>
        <v>66.655529788330483</v>
      </c>
    </row>
    <row r="22" spans="1:41" x14ac:dyDescent="0.35">
      <c r="A22" s="13">
        <v>2040</v>
      </c>
      <c r="B22" s="12">
        <f ca="1">MAX(0,MIN(1,B21*(1+'Model - Scarcity &amp; Growth Rates'!$D21-'Model - Scarcity &amp; Growth Rates'!$E21)))</f>
        <v>0.92690846765928359</v>
      </c>
      <c r="C22" s="12">
        <f ca="1">MAX(0,MIN(1,C21*(1+'Model - Scarcity &amp; Growth Rates'!$D21-'Model - Scarcity &amp; Growth Rates'!$E21)))</f>
        <v>8.6440607530624963E-2</v>
      </c>
      <c r="D22" s="12">
        <f ca="1">MAX(0,MIN(1,D21*(1+'Model - Scarcity &amp; Growth Rates'!$D21-'Model - Scarcity &amp; Growth Rates'!$E21)))</f>
        <v>0.75326815133830294</v>
      </c>
      <c r="E22" s="12">
        <f ca="1">B22*('Model - Scarcity &amp; Growth Rates'!$D22*(1-'Model - Scarcity &amp; Growth Rates'!$I22)-'Model - Scarcity &amp; Growth Rates'!$I22)+(1-'Model - Supply'!B22)*('Model - Scarcity &amp; Growth Rates'!$E22*(1-'Model - Scarcity &amp; Growth Rates'!$I22)-'Model - Scarcity &amp; Growth Rates'!$I22)</f>
        <v>-0.1576957795527654</v>
      </c>
      <c r="F22" s="12">
        <f ca="1">C22*('Model - Scarcity &amp; Growth Rates'!$D22*(1-'Model - Scarcity &amp; Growth Rates'!$I22)-'Model - Scarcity &amp; Growth Rates'!$I22)+(1-'Model - Supply'!C22)*('Model - Scarcity &amp; Growth Rates'!$E22*(1-'Model - Scarcity &amp; Growth Rates'!$I22)-'Model - Scarcity &amp; Growth Rates'!$I22)</f>
        <v>-0.15618175256404099</v>
      </c>
      <c r="G22" s="12">
        <f ca="1">D22*('Model - Scarcity &amp; Growth Rates'!$D22*(1-'Model - Scarcity &amp; Growth Rates'!$I22)-'Model - Scarcity &amp; Growth Rates'!$I22)+(1-'Model - Supply'!D22)*('Model - Scarcity &amp; Growth Rates'!$E22*(1-'Model - Scarcity &amp; Growth Rates'!$I22)-'Model - Scarcity &amp; Growth Rates'!$I22)</f>
        <v>-0.15738298219582617</v>
      </c>
      <c r="H22" s="12">
        <f ca="1">'Model - Scarcity &amp; Growth Rates'!J22</f>
        <v>0.2</v>
      </c>
      <c r="I22" s="21">
        <f ca="1">(1+E21)*I21*(1-(SUM(I$5:I21)/'Static Parameters'!C$17)^2)</f>
        <v>65.661187254589407</v>
      </c>
      <c r="J22" s="21">
        <f ca="1">(1+F21)*J21*(1-(SUM(J$5:J21)/'Static Parameters'!D$17)^2)</f>
        <v>37.073040480518927</v>
      </c>
      <c r="K22" s="21">
        <f ca="1">(1+G21)*K21*(1-(SUM(K$5:K21)/'Static Parameters'!E$17)^2)</f>
        <v>29.820560724718558</v>
      </c>
      <c r="L22" s="21">
        <f ca="1">(1+H21)*L21*(1-(SUM(L$5:L21)/'Static Parameters'!F$17)^2)</f>
        <v>65.669648952066623</v>
      </c>
      <c r="M22" s="21">
        <f ca="1">I22*B22*'Static Parameters'!C$15</f>
        <v>13.998239406453372</v>
      </c>
      <c r="N22" s="21">
        <f ca="1">J22*C22*'Static Parameters'!D$15</f>
        <v>0.73706171269300702</v>
      </c>
      <c r="O22" s="21">
        <f ca="1">K22*D22*'Static Parameters'!E$15</f>
        <v>5.3910908757552836</v>
      </c>
      <c r="P22" s="84">
        <f t="shared" ca="1" si="11"/>
        <v>65.669648952066623</v>
      </c>
      <c r="Q22" s="54">
        <f t="shared" ca="1" si="12"/>
        <v>4.7992767917486585</v>
      </c>
      <c r="R22" s="54">
        <f t="shared" ca="1" si="13"/>
        <v>33.868424338375419</v>
      </c>
      <c r="S22" s="54">
        <f t="shared" ca="1" si="14"/>
        <v>7.3576820757382064</v>
      </c>
      <c r="T22" s="85">
        <f ca="1">I22*'Static Parameters'!C$19/(44/12)/1000</f>
        <v>1.7245015452591708</v>
      </c>
      <c r="U22" s="85">
        <f ca="1">J22*'Static Parameters'!D$19/(44/12)/1000</f>
        <v>0.74112378196964668</v>
      </c>
      <c r="V22" s="85">
        <f ca="1">K22*'Static Parameters'!E$19/(44/12)/1000</f>
        <v>0.45625457908819395</v>
      </c>
      <c r="W22" s="85">
        <f ca="1">MAX(0,AC21*'Model - Scarcity &amp; Growth Rates'!$J21*(1-'Model - Supply'!Z21/'Static Parameters'!C$25)+'Model - Supply'!Z21/'Static Parameters'!C$27)</f>
        <v>4.5184455087709523</v>
      </c>
      <c r="X22" s="85">
        <f ca="1">MAX(0,AD21*'Model - Scarcity &amp; Growth Rates'!$J21*(1-'Model - Supply'!AA21/'Static Parameters'!D$25)+'Model - Supply'!AA21/'Static Parameters'!D$27)</f>
        <v>9.4611361302965982</v>
      </c>
      <c r="Y22" s="85">
        <f ca="1">MAX(0,AE21*'Model - Scarcity &amp; Growth Rates'!$J21*(1-'Model - Supply'!AB21/'Static Parameters'!E$25)+'Model - Supply'!AB21/'Static Parameters'!E$27)</f>
        <v>1.8054432844969559</v>
      </c>
      <c r="Z22" s="85">
        <f ca="1">Z21+W22-Z21/'Static Parameters'!C$27</f>
        <v>30.100347631998336</v>
      </c>
      <c r="AA22" s="85">
        <f ca="1">AA21+X22-AA21/'Static Parameters'!D$27</f>
        <v>57.911523811743457</v>
      </c>
      <c r="AB22" s="85">
        <f ca="1">AB21+Y22-AB21/'Static Parameters'!E$27</f>
        <v>43.514770127294419</v>
      </c>
      <c r="AC22" s="85">
        <f ca="1">Z22-W22*'Static Parameters'!C$27/'Static Parameters'!C$26</f>
        <v>22.569605117380082</v>
      </c>
      <c r="AD22" s="85">
        <f ca="1">AA22-X22*'Static Parameters'!D$27/'Static Parameters'!D$26</f>
        <v>46.08510364887271</v>
      </c>
      <c r="AE22" s="85">
        <f ca="1">AB22-Y22*'Static Parameters'!E$27/'Static Parameters'!E$26</f>
        <v>41.580366608190538</v>
      </c>
      <c r="AF22" s="85">
        <f ca="1">AG21*'Model - Scarcity &amp; Growth Rates'!K21*(1-'Model - Supply'!AF21/'Static Parameters'!C$33)+'Model - Supply'!AF21</f>
        <v>137.75624623160104</v>
      </c>
      <c r="AG22" s="85">
        <f ca="1">AF22-AF22/'Static Parameters'!$C$34</f>
        <v>68.87812311580052</v>
      </c>
      <c r="AH22" s="85">
        <f t="shared" ca="1" si="15"/>
        <v>196.03111632141162</v>
      </c>
      <c r="AI22" s="85">
        <f t="shared" ca="1" si="16"/>
        <v>114.9035063216628</v>
      </c>
      <c r="AJ22" s="85">
        <f t="shared" ca="1" si="5"/>
        <v>18.797516198202032</v>
      </c>
      <c r="AK22" s="85">
        <f t="shared" ca="1" si="6"/>
        <v>34.605486051068425</v>
      </c>
      <c r="AL22" s="85">
        <f t="shared" ca="1" si="7"/>
        <v>12.748772951493489</v>
      </c>
      <c r="AM22" s="85">
        <f t="shared" ca="1" si="8"/>
        <v>65.669648952066623</v>
      </c>
      <c r="AN22" s="85">
        <f t="shared" ca="1" si="9"/>
        <v>110.23507537444334</v>
      </c>
      <c r="AO22" s="85">
        <f t="shared" ca="1" si="10"/>
        <v>68.87812311580052</v>
      </c>
    </row>
    <row r="23" spans="1:41" x14ac:dyDescent="0.35">
      <c r="A23" s="13">
        <v>2041</v>
      </c>
      <c r="B23" s="12">
        <f ca="1">MAX(0,MIN(1,B22*(1+'Model - Scarcity &amp; Growth Rates'!$D22-'Model - Scarcity &amp; Growth Rates'!$E22)))</f>
        <v>0.92443903817656392</v>
      </c>
      <c r="C23" s="12">
        <f ca="1">MAX(0,MIN(1,C22*(1+'Model - Scarcity &amp; Growth Rates'!$D22-'Model - Scarcity &amp; Growth Rates'!$E22)))</f>
        <v>8.6210316199616444E-2</v>
      </c>
      <c r="D23" s="12">
        <f ca="1">MAX(0,MIN(1,D22*(1+'Model - Scarcity &amp; Growth Rates'!$D22-'Model - Scarcity &amp; Growth Rates'!$E22)))</f>
        <v>0.75126132688237157</v>
      </c>
      <c r="E23" s="12">
        <f ca="1">B23*('Model - Scarcity &amp; Growth Rates'!$D23*(1-'Model - Scarcity &amp; Growth Rates'!$I23)-'Model - Scarcity &amp; Growth Rates'!$I23)+(1-'Model - Supply'!B23)*('Model - Scarcity &amp; Growth Rates'!$E23*(1-'Model - Scarcity &amp; Growth Rates'!$I23)-'Model - Scarcity &amp; Growth Rates'!$I23)</f>
        <v>-0.15899456421768168</v>
      </c>
      <c r="F23" s="12">
        <f ca="1">C23*('Model - Scarcity &amp; Growth Rates'!$D23*(1-'Model - Scarcity &amp; Growth Rates'!$I23)-'Model - Scarcity &amp; Growth Rates'!$I23)+(1-'Model - Supply'!C23)*('Model - Scarcity &amp; Growth Rates'!$E23*(1-'Model - Scarcity &amp; Growth Rates'!$I23)-'Model - Scarcity &amp; Growth Rates'!$I23)</f>
        <v>-0.16825233204738926</v>
      </c>
      <c r="G23" s="12">
        <f ca="1">D23*('Model - Scarcity &amp; Growth Rates'!$D23*(1-'Model - Scarcity &amp; Growth Rates'!$I23)-'Model - Scarcity &amp; Growth Rates'!$I23)+(1-'Model - Supply'!D23)*('Model - Scarcity &amp; Growth Rates'!$E23*(1-'Model - Scarcity &amp; Growth Rates'!$I23)-'Model - Scarcity &amp; Growth Rates'!$I23)</f>
        <v>-0.16090721526674207</v>
      </c>
      <c r="H23" s="12">
        <f ca="1">'Model - Scarcity &amp; Growth Rates'!J23</f>
        <v>0.2</v>
      </c>
      <c r="I23" s="21">
        <f ca="1">(1+E22)*I22*(1-(SUM(I$5:I22)/'Static Parameters'!C$17)^2)</f>
        <v>54.648570931898696</v>
      </c>
      <c r="J23" s="21">
        <f ca="1">(1+F22)*J22*(1-(SUM(J$5:J22)/'Static Parameters'!D$17)^2)</f>
        <v>29.745112750022603</v>
      </c>
      <c r="K23" s="21">
        <f ca="1">(1+G22)*K22*(1-(SUM(K$5:K22)/'Static Parameters'!E$17)^2)</f>
        <v>23.266197135231931</v>
      </c>
      <c r="L23" s="21">
        <f ca="1">(1+H22)*L22*(1-(SUM(L$5:L22)/'Static Parameters'!F$17)^2)</f>
        <v>62.661544142099444</v>
      </c>
      <c r="M23" s="21">
        <f ca="1">I23*B23*'Static Parameters'!C$15</f>
        <v>11.619432640501877</v>
      </c>
      <c r="N23" s="21">
        <f ca="1">J23*C23*'Static Parameters'!D$15</f>
        <v>0.58979718238171897</v>
      </c>
      <c r="O23" s="21">
        <f ca="1">K23*D23*'Static Parameters'!E$15</f>
        <v>4.1949585915170813</v>
      </c>
      <c r="P23" s="84">
        <f t="shared" ca="1" si="11"/>
        <v>62.661544142099444</v>
      </c>
      <c r="Q23" s="54">
        <f t="shared" ca="1" si="12"/>
        <v>4.1292985818905361</v>
      </c>
      <c r="R23" s="54">
        <f t="shared" ca="1" si="13"/>
        <v>27.180777174449915</v>
      </c>
      <c r="S23" s="54">
        <f t="shared" ca="1" si="14"/>
        <v>5.7872030039107578</v>
      </c>
      <c r="T23" s="85">
        <f ca="1">I23*'Static Parameters'!C$19/(44/12)/1000</f>
        <v>1.4352701947477757</v>
      </c>
      <c r="U23" s="85">
        <f ca="1">J23*'Static Parameters'!D$19/(44/12)/1000</f>
        <v>0.59463184488454268</v>
      </c>
      <c r="V23" s="85">
        <f ca="1">K23*'Static Parameters'!E$19/(44/12)/1000</f>
        <v>0.35597281616904852</v>
      </c>
      <c r="W23" s="85">
        <f ca="1">MAX(0,AC22*'Model - Scarcity &amp; Growth Rates'!$J22*(1-'Model - Supply'!Z22/'Static Parameters'!C$25)+'Model - Supply'!Z22/'Static Parameters'!C$27)</f>
        <v>5.0385819688058806</v>
      </c>
      <c r="X23" s="85">
        <f ca="1">MAX(0,AD22*'Model - Scarcity &amp; Growth Rates'!$J22*(1-'Model - Supply'!AA22/'Static Parameters'!D$25)+'Model - Supply'!AA22/'Static Parameters'!D$27)</f>
        <v>10.770950660150465</v>
      </c>
      <c r="Y23" s="85">
        <f ca="1">MAX(0,AE22*'Model - Scarcity &amp; Growth Rates'!$J22*(1-'Model - Supply'!AB22/'Static Parameters'!E$25)+'Model - Supply'!AB22/'Static Parameters'!E$27)</f>
        <v>1.6588298776125403</v>
      </c>
      <c r="Z23" s="85">
        <f ca="1">Z22+W23-Z22/'Static Parameters'!C$27</f>
        <v>33.934915695524282</v>
      </c>
      <c r="AA23" s="85">
        <f ca="1">AA22+X23-AA22/'Static Parameters'!D$27</f>
        <v>66.366013519424186</v>
      </c>
      <c r="AB23" s="85">
        <f ca="1">AB22+Y23-AB22/'Static Parameters'!E$27</f>
        <v>44.593403069876366</v>
      </c>
      <c r="AC23" s="85">
        <f ca="1">Z23-W23*'Static Parameters'!C$27/'Static Parameters'!C$26</f>
        <v>25.537279080847814</v>
      </c>
      <c r="AD23" s="85">
        <f ca="1">AA23-X23*'Static Parameters'!D$27/'Static Parameters'!D$26</f>
        <v>52.902325194236106</v>
      </c>
      <c r="AE23" s="85">
        <f ca="1">AB23-Y23*'Static Parameters'!E$27/'Static Parameters'!E$26</f>
        <v>42.81608534386293</v>
      </c>
      <c r="AF23" s="85">
        <f ca="1">AG22*'Model - Scarcity &amp; Growth Rates'!K22*(1-'Model - Supply'!AF22/'Static Parameters'!C$33)+'Model - Supply'!AF22</f>
        <v>142.0434791668504</v>
      </c>
      <c r="AG23" s="85">
        <f ca="1">AF23-AF23/'Static Parameters'!$C$34</f>
        <v>71.021739583425202</v>
      </c>
      <c r="AH23" s="85">
        <f t="shared" ca="1" si="15"/>
        <v>200.32142217544697</v>
      </c>
      <c r="AI23" s="85">
        <f t="shared" ca="1" si="16"/>
        <v>108.11901834367642</v>
      </c>
      <c r="AJ23" s="85">
        <f t="shared" ca="1" si="5"/>
        <v>15.748731222392413</v>
      </c>
      <c r="AK23" s="85">
        <f t="shared" ca="1" si="6"/>
        <v>27.770574356831634</v>
      </c>
      <c r="AL23" s="85">
        <f t="shared" ca="1" si="7"/>
        <v>9.98216159542784</v>
      </c>
      <c r="AM23" s="85">
        <f t="shared" ca="1" si="8"/>
        <v>62.661544142099444</v>
      </c>
      <c r="AN23" s="85">
        <f t="shared" ca="1" si="9"/>
        <v>121.25568961894686</v>
      </c>
      <c r="AO23" s="85">
        <f t="shared" ca="1" si="10"/>
        <v>71.021739583425202</v>
      </c>
    </row>
    <row r="24" spans="1:41" x14ac:dyDescent="0.35">
      <c r="A24" s="13">
        <v>2042</v>
      </c>
      <c r="B24" s="12">
        <f ca="1">MAX(0,MIN(1,B23*(1+'Model - Scarcity &amp; Growth Rates'!$D23-'Model - Scarcity &amp; Growth Rates'!$E23)))</f>
        <v>0.93967934483498428</v>
      </c>
      <c r="C24" s="12">
        <f ca="1">MAX(0,MIN(1,C23*(1+'Model - Scarcity &amp; Growth Rates'!$D23-'Model - Scarcity &amp; Growth Rates'!$E23)))</f>
        <v>8.7631579908463181E-2</v>
      </c>
      <c r="D24" s="12">
        <f ca="1">MAX(0,MIN(1,D23*(1+'Model - Scarcity &amp; Growth Rates'!$D23-'Model - Scarcity &amp; Growth Rates'!$E23)))</f>
        <v>0.7636466249166074</v>
      </c>
      <c r="E24" s="12">
        <f ca="1">B24*('Model - Scarcity &amp; Growth Rates'!$D24*(1-'Model - Scarcity &amp; Growth Rates'!$I24)-'Model - Scarcity &amp; Growth Rates'!$I24)+(1-'Model - Supply'!B24)*('Model - Scarcity &amp; Growth Rates'!$E24*(1-'Model - Scarcity &amp; Growth Rates'!$I24)-'Model - Scarcity &amp; Growth Rates'!$I24)</f>
        <v>-0.15644983878300198</v>
      </c>
      <c r="F24" s="12">
        <f ca="1">C24*('Model - Scarcity &amp; Growth Rates'!$D24*(1-'Model - Scarcity &amp; Growth Rates'!$I24)-'Model - Scarcity &amp; Growth Rates'!$I24)+(1-'Model - Supply'!C24)*('Model - Scarcity &amp; Growth Rates'!$E24*(1-'Model - Scarcity &amp; Growth Rates'!$I24)-'Model - Scarcity &amp; Growth Rates'!$I24)</f>
        <v>-0.18133002115575941</v>
      </c>
      <c r="G24" s="12">
        <f ca="1">D24*('Model - Scarcity &amp; Growth Rates'!$D24*(1-'Model - Scarcity &amp; Growth Rates'!$I24)-'Model - Scarcity &amp; Growth Rates'!$I24)+(1-'Model - Supply'!D24)*('Model - Scarcity &amp; Growth Rates'!$E24*(1-'Model - Scarcity &amp; Growth Rates'!$I24)-'Model - Scarcity &amp; Growth Rates'!$I24)</f>
        <v>-0.1615900742902443</v>
      </c>
      <c r="H24" s="12">
        <f ca="1">'Model - Scarcity &amp; Growth Rates'!J24</f>
        <v>0.2</v>
      </c>
      <c r="I24" s="21">
        <f ca="1">(1+E23)*I23*(1-(SUM(I$5:I23)/'Static Parameters'!C$17)^2)</f>
        <v>45.390891722484625</v>
      </c>
      <c r="J24" s="21">
        <f ca="1">(1+F23)*J23*(1-(SUM(J$5:J23)/'Static Parameters'!D$17)^2)</f>
        <v>23.488980754190901</v>
      </c>
      <c r="K24" s="21">
        <f ca="1">(1+G23)*K23*(1-(SUM(K$5:K23)/'Static Parameters'!E$17)^2)</f>
        <v>18.04084956587047</v>
      </c>
      <c r="L24" s="21">
        <f ca="1">(1+H23)*L23*(1-(SUM(L$5:L23)/'Static Parameters'!F$17)^2)</f>
        <v>56.22033523342737</v>
      </c>
      <c r="M24" s="21">
        <f ca="1">I24*B24*'Static Parameters'!C$15</f>
        <v>9.8101631809098144</v>
      </c>
      <c r="N24" s="21">
        <f ca="1">J24*C24*'Static Parameters'!D$15</f>
        <v>0.4734265936037238</v>
      </c>
      <c r="O24" s="21">
        <f ca="1">K24*D24*'Static Parameters'!E$15</f>
        <v>3.3064401315852541</v>
      </c>
      <c r="P24" s="84">
        <f t="shared" ca="1" si="11"/>
        <v>56.22033523342737</v>
      </c>
      <c r="Q24" s="54">
        <f t="shared" ca="1" si="12"/>
        <v>2.7380083272245619</v>
      </c>
      <c r="R24" s="54">
        <f t="shared" ca="1" si="13"/>
        <v>21.430604260261667</v>
      </c>
      <c r="S24" s="54">
        <f t="shared" ca="1" si="14"/>
        <v>4.2640156842652441</v>
      </c>
      <c r="T24" s="85">
        <f ca="1">I24*'Static Parameters'!C$19/(44/12)/1000</f>
        <v>1.192129874420528</v>
      </c>
      <c r="U24" s="85">
        <f ca="1">J24*'Static Parameters'!D$19/(44/12)/1000</f>
        <v>0.46956607889514357</v>
      </c>
      <c r="V24" s="85">
        <f ca="1">K24*'Static Parameters'!E$19/(44/12)/1000</f>
        <v>0.27602499835781824</v>
      </c>
      <c r="W24" s="85">
        <f ca="1">MAX(0,AC23*'Model - Scarcity &amp; Growth Rates'!$J23*(1-'Model - Supply'!Z23/'Static Parameters'!C$25)+'Model - Supply'!Z23/'Static Parameters'!C$27)</f>
        <v>5.5982470312888868</v>
      </c>
      <c r="X24" s="85">
        <f ca="1">MAX(0,AD23*'Model - Scarcity &amp; Growth Rates'!$J23*(1-'Model - Supply'!AA23/'Static Parameters'!D$25)+'Model - Supply'!AA23/'Static Parameters'!D$27)</f>
        <v>12.231986599895718</v>
      </c>
      <c r="Y24" s="85">
        <f ca="1">MAX(0,AE23*'Model - Scarcity &amp; Growth Rates'!$J23*(1-'Model - Supply'!AB23/'Static Parameters'!E$25)+'Model - Supply'!AB23/'Static Parameters'!E$27)</f>
        <v>1.520535969918515</v>
      </c>
      <c r="Z24" s="85">
        <f ca="1">Z23+W24-Z23/'Static Parameters'!C$27</f>
        <v>38.175766098992199</v>
      </c>
      <c r="AA24" s="85">
        <f ca="1">AA23+X24-AA23/'Static Parameters'!D$27</f>
        <v>75.943359578542939</v>
      </c>
      <c r="AB24" s="85">
        <f ca="1">AB23+Y24-AB23/'Static Parameters'!E$27</f>
        <v>45.519360332196527</v>
      </c>
      <c r="AC24" s="85">
        <f ca="1">Z24-W24*'Static Parameters'!C$27/'Static Parameters'!C$26</f>
        <v>28.845354380177387</v>
      </c>
      <c r="AD24" s="85">
        <f ca="1">AA24-X24*'Static Parameters'!D$27/'Static Parameters'!D$26</f>
        <v>60.653376328673289</v>
      </c>
      <c r="AE24" s="85">
        <f ca="1">AB24-Y24*'Static Parameters'!E$27/'Static Parameters'!E$26</f>
        <v>43.890214650140976</v>
      </c>
      <c r="AF24" s="85">
        <f ca="1">AG23*'Model - Scarcity &amp; Growth Rates'!K23*(1-'Model - Supply'!AF23/'Static Parameters'!C$33)+'Model - Supply'!AF23</f>
        <v>146.15965209662372</v>
      </c>
      <c r="AG24" s="85">
        <f ca="1">AF24-AF24/'Static Parameters'!$C$34</f>
        <v>73.079826048311858</v>
      </c>
      <c r="AH24" s="85">
        <f t="shared" ca="1" si="15"/>
        <v>203.19931049851783</v>
      </c>
      <c r="AI24" s="85">
        <f t="shared" ca="1" si="16"/>
        <v>101.51245432006334</v>
      </c>
      <c r="AJ24" s="85">
        <f t="shared" ca="1" si="5"/>
        <v>12.548171508134377</v>
      </c>
      <c r="AK24" s="85">
        <f t="shared" ca="1" si="6"/>
        <v>21.90403085386539</v>
      </c>
      <c r="AL24" s="85">
        <f t="shared" ca="1" si="7"/>
        <v>7.5704558158504982</v>
      </c>
      <c r="AM24" s="85">
        <f t="shared" ca="1" si="8"/>
        <v>56.22033523342737</v>
      </c>
      <c r="AN24" s="85">
        <f t="shared" ca="1" si="9"/>
        <v>133.38894535899163</v>
      </c>
      <c r="AO24" s="85">
        <f t="shared" ca="1" si="10"/>
        <v>73.079826048311858</v>
      </c>
    </row>
    <row r="25" spans="1:41" x14ac:dyDescent="0.35">
      <c r="A25" s="13">
        <v>2043</v>
      </c>
      <c r="B25" s="12">
        <f ca="1">MAX(0,MIN(1,B24*(1+'Model - Scarcity &amp; Growth Rates'!$D24-'Model - Scarcity &amp; Growth Rates'!$E24)))</f>
        <v>0.9809627156127767</v>
      </c>
      <c r="C25" s="12">
        <f ca="1">MAX(0,MIN(1,C24*(1+'Model - Scarcity &amp; Growth Rates'!$D24-'Model - Scarcity &amp; Growth Rates'!$E24)))</f>
        <v>9.1481538966401321E-2</v>
      </c>
      <c r="D25" s="12">
        <f ca="1">MAX(0,MIN(1,D24*(1+'Model - Scarcity &amp; Growth Rates'!$D24-'Model - Scarcity &amp; Growth Rates'!$E24)))</f>
        <v>0.79719626813578259</v>
      </c>
      <c r="E25" s="12">
        <f ca="1">B25*('Model - Scarcity &amp; Growth Rates'!$D25*(1-'Model - Scarcity &amp; Growth Rates'!$I25)-'Model - Scarcity &amp; Growth Rates'!$I25)+(1-'Model - Supply'!B25)*('Model - Scarcity &amp; Growth Rates'!$E25*(1-'Model - Scarcity &amp; Growth Rates'!$I25)-'Model - Scarcity &amp; Growth Rates'!$I25)</f>
        <v>-0.15113149729574821</v>
      </c>
      <c r="F25" s="12">
        <f ca="1">C25*('Model - Scarcity &amp; Growth Rates'!$D25*(1-'Model - Scarcity &amp; Growth Rates'!$I25)-'Model - Scarcity &amp; Growth Rates'!$I25)+(1-'Model - Supply'!C25)*('Model - Scarcity &amp; Growth Rates'!$E25*(1-'Model - Scarcity &amp; Growth Rates'!$I25)-'Model - Scarcity &amp; Growth Rates'!$I25)</f>
        <v>-0.19682843403875369</v>
      </c>
      <c r="G25" s="12">
        <f ca="1">D25*('Model - Scarcity &amp; Growth Rates'!$D25*(1-'Model - Scarcity &amp; Growth Rates'!$I25)-'Model - Scarcity &amp; Growth Rates'!$I25)+(1-'Model - Supply'!D25)*('Model - Scarcity &amp; Growth Rates'!$E25*(1-'Model - Scarcity &amp; Growth Rates'!$I25)-'Model - Scarcity &amp; Growth Rates'!$I25)</f>
        <v>-0.16057246574603573</v>
      </c>
      <c r="H25" s="12">
        <f ca="1">'Model - Scarcity &amp; Growth Rates'!J25</f>
        <v>0.2</v>
      </c>
      <c r="I25" s="21">
        <f ca="1">(1+E24)*I24*(1-(SUM(I$5:I24)/'Static Parameters'!C$17)^2)</f>
        <v>37.800111796401893</v>
      </c>
      <c r="J25" s="21">
        <f ca="1">(1+F24)*J24*(1-(SUM(J$5:J24)/'Static Parameters'!D$17)^2)</f>
        <v>18.235102450319037</v>
      </c>
      <c r="K25" s="21">
        <f ca="1">(1+G24)*K24*(1-(SUM(K$5:K24)/'Static Parameters'!E$17)^2)</f>
        <v>13.956016745773756</v>
      </c>
      <c r="L25" s="21">
        <f ca="1">(1+H24)*L24*(1-(SUM(L$5:L24)/'Static Parameters'!F$17)^2)</f>
        <v>47.282729296162429</v>
      </c>
      <c r="M25" s="21">
        <f ca="1">I25*B25*'Static Parameters'!C$15</f>
        <v>8.5285150732009392</v>
      </c>
      <c r="N25" s="21">
        <f ca="1">J25*C25*'Static Parameters'!D$15</f>
        <v>0.38368030413399168</v>
      </c>
      <c r="O25" s="21">
        <f ca="1">K25*D25*'Static Parameters'!E$15</f>
        <v>2.6701642722651182</v>
      </c>
      <c r="P25" s="84">
        <f t="shared" ca="1" si="11"/>
        <v>47.282729296162429</v>
      </c>
      <c r="Q25" s="54">
        <f t="shared" ca="1" si="12"/>
        <v>0.71961147813693693</v>
      </c>
      <c r="R25" s="54">
        <f t="shared" ca="1" si="13"/>
        <v>16.566927214953857</v>
      </c>
      <c r="S25" s="54">
        <f t="shared" ca="1" si="14"/>
        <v>2.8303322780024289</v>
      </c>
      <c r="T25" s="85">
        <f ca="1">I25*'Static Parameters'!C$19/(44/12)/1000</f>
        <v>0.99276839072550072</v>
      </c>
      <c r="U25" s="85">
        <f ca="1">J25*'Static Parameters'!D$19/(44/12)/1000</f>
        <v>0.36453627534774141</v>
      </c>
      <c r="V25" s="85">
        <f ca="1">K25*'Static Parameters'!E$19/(44/12)/1000</f>
        <v>0.21352705621033849</v>
      </c>
      <c r="W25" s="85">
        <f ca="1">MAX(0,AC24*'Model - Scarcity &amp; Growth Rates'!$J24*(1-'Model - Supply'!Z24/'Static Parameters'!C$25)+'Model - Supply'!Z24/'Static Parameters'!C$27)</f>
        <v>6.1949080181349743</v>
      </c>
      <c r="X25" s="85">
        <f ca="1">MAX(0,AD24*'Model - Scarcity &amp; Growth Rates'!$J24*(1-'Model - Supply'!AA24/'Static Parameters'!D$25)+'Model - Supply'!AA24/'Static Parameters'!D$27)</f>
        <v>13.852346457967487</v>
      </c>
      <c r="Y25" s="85">
        <f ca="1">MAX(0,AE24*'Model - Scarcity &amp; Growth Rates'!$J24*(1-'Model - Supply'!AB24/'Static Parameters'!E$25)+'Model - Supply'!AB24/'Static Parameters'!E$27)</f>
        <v>1.3935497515886097</v>
      </c>
      <c r="Z25" s="85">
        <f ca="1">Z24+W25-Z24/'Static Parameters'!C$27</f>
        <v>42.843643473167482</v>
      </c>
      <c r="AA25" s="85">
        <f ca="1">AA24+X25-AA24/'Static Parameters'!D$27</f>
        <v>86.757971653368713</v>
      </c>
      <c r="AB25" s="85">
        <f ca="1">AB24+Y25-AB24/'Static Parameters'!E$27</f>
        <v>46.305985279355852</v>
      </c>
      <c r="AC25" s="85">
        <f ca="1">Z25-W25*'Static Parameters'!C$27/'Static Parameters'!C$26</f>
        <v>32.518796776275856</v>
      </c>
      <c r="AD25" s="85">
        <f ca="1">AA25-X25*'Static Parameters'!D$27/'Static Parameters'!D$26</f>
        <v>69.442538580909357</v>
      </c>
      <c r="AE25" s="85">
        <f ca="1">AB25-Y25*'Static Parameters'!E$27/'Static Parameters'!E$26</f>
        <v>44.812896259796631</v>
      </c>
      <c r="AF25" s="85">
        <f ca="1">AG24*'Model - Scarcity &amp; Growth Rates'!K24*(1-'Model - Supply'!AF24/'Static Parameters'!C$33)+'Model - Supply'!AF24</f>
        <v>150.09429535578306</v>
      </c>
      <c r="AG25" s="85">
        <f ca="1">AF25-AF25/'Static Parameters'!$C$34</f>
        <v>75.04714767789153</v>
      </c>
      <c r="AH25" s="85">
        <f t="shared" ca="1" si="15"/>
        <v>205.63932056274433</v>
      </c>
      <c r="AI25" s="85">
        <f t="shared" ca="1" si="16"/>
        <v>95.164018648984751</v>
      </c>
      <c r="AJ25" s="85">
        <f t="shared" ca="1" si="5"/>
        <v>9.2481265513378759</v>
      </c>
      <c r="AK25" s="85">
        <f t="shared" ca="1" si="6"/>
        <v>16.95060751908785</v>
      </c>
      <c r="AL25" s="85">
        <f t="shared" ca="1" si="7"/>
        <v>5.5004965502675471</v>
      </c>
      <c r="AM25" s="85">
        <f t="shared" ca="1" si="8"/>
        <v>47.282729296162429</v>
      </c>
      <c r="AN25" s="85">
        <f t="shared" ca="1" si="9"/>
        <v>146.77423161698187</v>
      </c>
      <c r="AO25" s="85">
        <f t="shared" ca="1" si="10"/>
        <v>75.04714767789153</v>
      </c>
    </row>
    <row r="26" spans="1:41" x14ac:dyDescent="0.35">
      <c r="A26" s="13">
        <v>2044</v>
      </c>
      <c r="B26" s="12">
        <f ca="1">MAX(0,MIN(1,B25*(1+'Model - Scarcity &amp; Growth Rates'!$D25-'Model - Scarcity &amp; Growth Rates'!$E25)))</f>
        <v>1</v>
      </c>
      <c r="C26" s="12">
        <f ca="1">MAX(0,MIN(1,C25*(1+'Model - Scarcity &amp; Growth Rates'!$D25-'Model - Scarcity &amp; Growth Rates'!$E25)))</f>
        <v>9.8600717772190025E-2</v>
      </c>
      <c r="D26" s="12">
        <f ca="1">MAX(0,MIN(1,D25*(1+'Model - Scarcity &amp; Growth Rates'!$D25-'Model - Scarcity &amp; Growth Rates'!$E25)))</f>
        <v>0.85923482630051262</v>
      </c>
      <c r="E26" s="12">
        <f ca="1">B26*('Model - Scarcity &amp; Growth Rates'!$D26*(1-'Model - Scarcity &amp; Growth Rates'!$I26)-'Model - Scarcity &amp; Growth Rates'!$I26)+(1-'Model - Supply'!B26)*('Model - Scarcity &amp; Growth Rates'!$E26*(1-'Model - Scarcity &amp; Growth Rates'!$I26)-'Model - Scarcity &amp; Growth Rates'!$I26)</f>
        <v>-0.14717106550187525</v>
      </c>
      <c r="F26" s="12">
        <f ca="1">C26*('Model - Scarcity &amp; Growth Rates'!$D26*(1-'Model - Scarcity &amp; Growth Rates'!$I26)-'Model - Scarcity &amp; Growth Rates'!$I26)+(1-'Model - Supply'!C26)*('Model - Scarcity &amp; Growth Rates'!$E26*(1-'Model - Scarcity &amp; Growth Rates'!$I26)-'Model - Scarcity &amp; Growth Rates'!$I26)</f>
        <v>-0.22626181289182543</v>
      </c>
      <c r="G26" s="12">
        <f ca="1">D26*('Model - Scarcity &amp; Growth Rates'!$D26*(1-'Model - Scarcity &amp; Growth Rates'!$I26)-'Model - Scarcity &amp; Growth Rates'!$I26)+(1-'Model - Supply'!D26)*('Model - Scarcity &amp; Growth Rates'!$E26*(1-'Model - Scarcity &amp; Growth Rates'!$I26)-'Model - Scarcity &amp; Growth Rates'!$I26)</f>
        <v>-0.15952211016529325</v>
      </c>
      <c r="H26" s="12">
        <f ca="1">'Model - Scarcity &amp; Growth Rates'!J26</f>
        <v>0.2</v>
      </c>
      <c r="I26" s="21">
        <f ca="1">(1+E25)*I25*(1-(SUM(I$5:I25)/'Static Parameters'!C$17)^2)</f>
        <v>31.666261192791495</v>
      </c>
      <c r="J26" s="21">
        <f ca="1">(1+F25)*J25*(1-(SUM(J$5:J25)/'Static Parameters'!D$17)^2)</f>
        <v>13.875293439239844</v>
      </c>
      <c r="K26" s="21">
        <f ca="1">(1+G25)*K25*(1-(SUM(K$5:K25)/'Static Parameters'!E$17)^2)</f>
        <v>10.796095590458647</v>
      </c>
      <c r="L26" s="21">
        <f ca="1">(1+H25)*L25*(1-(SUM(L$5:L25)/'Static Parameters'!F$17)^2)</f>
        <v>37.356981614012966</v>
      </c>
      <c r="M26" s="21">
        <f ca="1">I26*B26*'Static Parameters'!C$15</f>
        <v>7.2832400743420438</v>
      </c>
      <c r="N26" s="21">
        <f ca="1">J26*C26*'Static Parameters'!D$15</f>
        <v>0.31466619525402578</v>
      </c>
      <c r="O26" s="21">
        <f ca="1">K26*D26*'Static Parameters'!E$15</f>
        <v>2.2263315166539517</v>
      </c>
      <c r="P26" s="84">
        <f t="shared" ca="1" si="11"/>
        <v>37.356981614012966</v>
      </c>
      <c r="Q26" s="54">
        <f t="shared" ca="1" si="12"/>
        <v>0</v>
      </c>
      <c r="R26" s="54">
        <f t="shared" ca="1" si="13"/>
        <v>12.507179546831036</v>
      </c>
      <c r="S26" s="54">
        <f t="shared" ca="1" si="14"/>
        <v>1.5197142710671812</v>
      </c>
      <c r="T26" s="85">
        <f ca="1">I26*'Static Parameters'!C$19/(44/12)/1000</f>
        <v>0.83167116896340565</v>
      </c>
      <c r="U26" s="85">
        <f ca="1">J26*'Static Parameters'!D$19/(44/12)/1000</f>
        <v>0.27737972975353109</v>
      </c>
      <c r="V26" s="85">
        <f ca="1">K26*'Static Parameters'!E$19/(44/12)/1000</f>
        <v>0.16518026253401732</v>
      </c>
      <c r="W26" s="85">
        <f ca="1">MAX(0,AC25*'Model - Scarcity &amp; Growth Rates'!$J25*(1-'Model - Supply'!Z25/'Static Parameters'!C$25)+'Model - Supply'!Z25/'Static Parameters'!C$27)</f>
        <v>6.82428135892272</v>
      </c>
      <c r="X26" s="85">
        <f ca="1">MAX(0,AD25*'Model - Scarcity &amp; Growth Rates'!$J25*(1-'Model - Supply'!AA25/'Static Parameters'!D$25)+'Model - Supply'!AA25/'Static Parameters'!D$27)</f>
        <v>15.637485498390765</v>
      </c>
      <c r="Y26" s="85">
        <f ca="1">MAX(0,AE25*'Model - Scarcity &amp; Growth Rates'!$J25*(1-'Model - Supply'!AB25/'Static Parameters'!E$25)+'Model - Supply'!AB25/'Static Parameters'!E$27)</f>
        <v>1.2795711308916289</v>
      </c>
      <c r="Z26" s="85">
        <f ca="1">Z25+W26-Z25/'Static Parameters'!C$27</f>
        <v>47.954179093163503</v>
      </c>
      <c r="AA26" s="85">
        <f ca="1">AA25+X26-AA25/'Static Parameters'!D$27</f>
        <v>98.925138285624726</v>
      </c>
      <c r="AB26" s="85">
        <f ca="1">AB25+Y26-AB25/'Static Parameters'!E$27</f>
        <v>46.968143273189398</v>
      </c>
      <c r="AC26" s="85">
        <f ca="1">Z26-W26*'Static Parameters'!C$27/'Static Parameters'!C$26</f>
        <v>36.580376828292302</v>
      </c>
      <c r="AD26" s="85">
        <f ca="1">AA26-X26*'Static Parameters'!D$27/'Static Parameters'!D$26</f>
        <v>79.378281412636269</v>
      </c>
      <c r="AE26" s="85">
        <f ca="1">AB26-Y26*'Static Parameters'!E$27/'Static Parameters'!E$26</f>
        <v>45.597174204376941</v>
      </c>
      <c r="AF26" s="85">
        <f ca="1">AG25*'Model - Scarcity &amp; Growth Rates'!K25*(1-'Model - Supply'!AF25/'Static Parameters'!C$33)+'Model - Supply'!AF25</f>
        <v>153.83957614218684</v>
      </c>
      <c r="AG26" s="85">
        <f ca="1">AF26-AF26/'Static Parameters'!$C$34</f>
        <v>76.919788071093421</v>
      </c>
      <c r="AH26" s="85">
        <f t="shared" ca="1" si="15"/>
        <v>208.73705184556849</v>
      </c>
      <c r="AI26" s="85">
        <f t="shared" ca="1" si="16"/>
        <v>90.946681888991634</v>
      </c>
      <c r="AJ26" s="85">
        <f t="shared" ca="1" si="5"/>
        <v>7.2832400743420438</v>
      </c>
      <c r="AK26" s="85">
        <f t="shared" ca="1" si="6"/>
        <v>12.821845742085062</v>
      </c>
      <c r="AL26" s="85">
        <f t="shared" ca="1" si="7"/>
        <v>3.7460457877211328</v>
      </c>
      <c r="AM26" s="85">
        <f t="shared" ca="1" si="8"/>
        <v>37.356981614012966</v>
      </c>
      <c r="AN26" s="85">
        <f t="shared" ca="1" si="9"/>
        <v>161.5558324453055</v>
      </c>
      <c r="AO26" s="85">
        <f t="shared" ca="1" si="10"/>
        <v>76.919788071093421</v>
      </c>
    </row>
    <row r="27" spans="1:41" x14ac:dyDescent="0.35">
      <c r="A27" s="13">
        <v>2045</v>
      </c>
      <c r="B27" s="12">
        <f ca="1">MAX(0,MIN(1,B26*(1+'Model - Scarcity &amp; Growth Rates'!$D26-'Model - Scarcity &amp; Growth Rates'!$E26)))</f>
        <v>1</v>
      </c>
      <c r="C27" s="12">
        <f ca="1">MAX(0,MIN(1,C26*(1+'Model - Scarcity &amp; Growth Rates'!$D26-'Model - Scarcity &amp; Growth Rates'!$E26)))</f>
        <v>0.11178263696584796</v>
      </c>
      <c r="D27" s="12">
        <f ca="1">MAX(0,MIN(1,D26*(1+'Model - Scarcity &amp; Growth Rates'!$D26-'Model - Scarcity &amp; Growth Rates'!$E26)))</f>
        <v>0.97410583641667448</v>
      </c>
      <c r="E27" s="12">
        <f ca="1">B27*('Model - Scarcity &amp; Growth Rates'!$D27*(1-'Model - Scarcity &amp; Growth Rates'!$I27)-'Model - Scarcity &amp; Growth Rates'!$I27)+(1-'Model - Supply'!B27)*('Model - Scarcity &amp; Growth Rates'!$E27*(1-'Model - Scarcity &amp; Growth Rates'!$I27)-'Model - Scarcity &amp; Growth Rates'!$I27)</f>
        <v>-0.14919103575055828</v>
      </c>
      <c r="F27" s="12">
        <f ca="1">C27*('Model - Scarcity &amp; Growth Rates'!$D27*(1-'Model - Scarcity &amp; Growth Rates'!$I27)-'Model - Scarcity &amp; Growth Rates'!$I27)+(1-'Model - Supply'!C27)*('Model - Scarcity &amp; Growth Rates'!$E27*(1-'Model - Scarcity &amp; Growth Rates'!$I27)-'Model - Scarcity &amp; Growth Rates'!$I27)</f>
        <v>-0.26705964326979287</v>
      </c>
      <c r="G27" s="12">
        <f ca="1">D27*('Model - Scarcity &amp; Growth Rates'!$D27*(1-'Model - Scarcity &amp; Growth Rates'!$I27)-'Model - Scarcity &amp; Growth Rates'!$I27)+(1-'Model - Supply'!D27)*('Model - Scarcity &amp; Growth Rates'!$E27*(1-'Model - Scarcity &amp; Growth Rates'!$I27)-'Model - Scarcity &amp; Growth Rates'!$I27)</f>
        <v>-0.15262725432887547</v>
      </c>
      <c r="H27" s="12">
        <f ca="1">'Model - Scarcity &amp; Growth Rates'!J27</f>
        <v>0.2</v>
      </c>
      <c r="I27" s="21">
        <f ca="1">(1+E26)*I26*(1-(SUM(I$5:I26)/'Static Parameters'!C$17)^2)</f>
        <v>26.643706184383841</v>
      </c>
      <c r="J27" s="21">
        <f ca="1">(1+F26)*J26*(1-(SUM(J$5:J26)/'Static Parameters'!D$17)^2)</f>
        <v>10.163601441668437</v>
      </c>
      <c r="K27" s="21">
        <f ca="1">(1+G26)*K26*(1-(SUM(K$5:K26)/'Static Parameters'!E$17)^2)</f>
        <v>8.3542038240212264</v>
      </c>
      <c r="L27" s="21">
        <f ca="1">(1+H26)*L26*(1-(SUM(L$5:L26)/'Static Parameters'!F$17)^2)</f>
        <v>27.921853988341159</v>
      </c>
      <c r="M27" s="21">
        <f ca="1">I27*B27*'Static Parameters'!C$15</f>
        <v>6.1280524224082837</v>
      </c>
      <c r="N27" s="21">
        <f ca="1">J27*C27*'Static Parameters'!D$15</f>
        <v>0.26130625915050615</v>
      </c>
      <c r="O27" s="21">
        <f ca="1">K27*D27*'Static Parameters'!E$15</f>
        <v>1.9530908888624583</v>
      </c>
      <c r="P27" s="84">
        <f t="shared" ca="1" si="11"/>
        <v>27.921853988341159</v>
      </c>
      <c r="Q27" s="54">
        <f t="shared" ca="1" si="12"/>
        <v>0</v>
      </c>
      <c r="R27" s="54">
        <f t="shared" ca="1" si="13"/>
        <v>9.0274872714488446</v>
      </c>
      <c r="S27" s="54">
        <f t="shared" ca="1" si="14"/>
        <v>0.21632512042764929</v>
      </c>
      <c r="T27" s="85">
        <f ca="1">I27*'Static Parameters'!C$19/(44/12)/1000</f>
        <v>0.69976061060622652</v>
      </c>
      <c r="U27" s="85">
        <f ca="1">J27*'Static Parameters'!D$19/(44/12)/1000</f>
        <v>0.20317963245662632</v>
      </c>
      <c r="V27" s="85">
        <f ca="1">K27*'Static Parameters'!E$19/(44/12)/1000</f>
        <v>0.12781931850752479</v>
      </c>
      <c r="W27" s="85">
        <f ca="1">MAX(0,AC26*'Model - Scarcity &amp; Growth Rates'!$J26*(1-'Model - Supply'!Z26/'Static Parameters'!C$25)+'Model - Supply'!Z26/'Static Parameters'!C$27)</f>
        <v>7.4800605876656636</v>
      </c>
      <c r="X27" s="85">
        <f ca="1">MAX(0,AD26*'Model - Scarcity &amp; Growth Rates'!$J26*(1-'Model - Supply'!AA26/'Static Parameters'!D$25)+'Model - Supply'!AA26/'Static Parameters'!D$27)</f>
        <v>17.58908825234645</v>
      </c>
      <c r="Y27" s="85">
        <f ca="1">MAX(0,AE26*'Model - Scarcity &amp; Growth Rates'!$J26*(1-'Model - Supply'!AB26/'Static Parameters'!E$25)+'Model - Supply'!AB26/'Static Parameters'!E$27)</f>
        <v>1.1792183076495721</v>
      </c>
      <c r="Z27" s="85">
        <f ca="1">Z26+W27-Z26/'Static Parameters'!C$27</f>
        <v>53.516072517102629</v>
      </c>
      <c r="AA27" s="85">
        <f ca="1">AA26+X27-AA26/'Static Parameters'!D$27</f>
        <v>112.5572210065462</v>
      </c>
      <c r="AB27" s="85">
        <f ca="1">AB26+Y27-AB26/'Static Parameters'!E$27</f>
        <v>47.521119670529778</v>
      </c>
      <c r="AC27" s="85">
        <f ca="1">Z27-W27*'Static Parameters'!C$27/'Static Parameters'!C$26</f>
        <v>41.04930487099319</v>
      </c>
      <c r="AD27" s="85">
        <f ca="1">AA27-X27*'Static Parameters'!D$27/'Static Parameters'!D$26</f>
        <v>90.57086069111314</v>
      </c>
      <c r="AE27" s="85">
        <f ca="1">AB27-Y27*'Static Parameters'!E$27/'Static Parameters'!E$26</f>
        <v>46.25767148376238</v>
      </c>
      <c r="AF27" s="85">
        <f ca="1">AG26*'Model - Scarcity &amp; Growth Rates'!K26*(1-'Model - Supply'!AF26/'Static Parameters'!C$33)+'Model - Supply'!AF26</f>
        <v>156.7819557724093</v>
      </c>
      <c r="AG27" s="85">
        <f ca="1">AF27-AF27/'Static Parameters'!$C$34</f>
        <v>78.390977886204652</v>
      </c>
      <c r="AH27" s="85">
        <f t="shared" ca="1" si="15"/>
        <v>214.14214060463112</v>
      </c>
      <c r="AI27" s="85">
        <f t="shared" ca="1" si="16"/>
        <v>87.634790278081141</v>
      </c>
      <c r="AJ27" s="85">
        <f t="shared" ca="1" si="5"/>
        <v>6.1280524224082837</v>
      </c>
      <c r="AK27" s="85">
        <f t="shared" ca="1" si="6"/>
        <v>9.2887935305993512</v>
      </c>
      <c r="AL27" s="85">
        <f t="shared" ca="1" si="7"/>
        <v>2.1694160092901074</v>
      </c>
      <c r="AM27" s="85">
        <f t="shared" ca="1" si="8"/>
        <v>27.921853988341159</v>
      </c>
      <c r="AN27" s="85">
        <f t="shared" ca="1" si="9"/>
        <v>177.87783704586872</v>
      </c>
      <c r="AO27" s="85">
        <f t="shared" ca="1" si="10"/>
        <v>78.390977886204652</v>
      </c>
    </row>
    <row r="28" spans="1:41" x14ac:dyDescent="0.35">
      <c r="A28" s="13">
        <v>2046</v>
      </c>
      <c r="B28" s="12">
        <f ca="1">MAX(0,MIN(1,B27*(1+'Model - Scarcity &amp; Growth Rates'!$D27-'Model - Scarcity &amp; Growth Rates'!$E27)))</f>
        <v>1</v>
      </c>
      <c r="C28" s="12">
        <f ca="1">MAX(0,MIN(1,C27*(1+'Model - Scarcity &amp; Growth Rates'!$D27-'Model - Scarcity &amp; Growth Rates'!$E27)))</f>
        <v>0.13450145442708769</v>
      </c>
      <c r="D28" s="12">
        <f ca="1">MAX(0,MIN(1,D27*(1+'Model - Scarcity &amp; Growth Rates'!$D27-'Model - Scarcity &amp; Growth Rates'!$E27)))</f>
        <v>1</v>
      </c>
      <c r="E28" s="12">
        <f ca="1">B28*('Model - Scarcity &amp; Growth Rates'!$D28*(1-'Model - Scarcity &amp; Growth Rates'!$I28)-'Model - Scarcity &amp; Growth Rates'!$I28)+(1-'Model - Supply'!B28)*('Model - Scarcity &amp; Growth Rates'!$E28*(1-'Model - Scarcity &amp; Growth Rates'!$I28)-'Model - Scarcity &amp; Growth Rates'!$I28)</f>
        <v>-0.15765734038147611</v>
      </c>
      <c r="F28" s="12">
        <f ca="1">C28*('Model - Scarcity &amp; Growth Rates'!$D28*(1-'Model - Scarcity &amp; Growth Rates'!$I28)-'Model - Scarcity &amp; Growth Rates'!$I28)+(1-'Model - Supply'!C28)*('Model - Scarcity &amp; Growth Rates'!$E28*(1-'Model - Scarcity &amp; Growth Rates'!$I28)-'Model - Scarcity &amp; Growth Rates'!$I28)</f>
        <v>-0.32387914889109193</v>
      </c>
      <c r="G28" s="12">
        <f ca="1">D28*('Model - Scarcity &amp; Growth Rates'!$D28*(1-'Model - Scarcity &amp; Growth Rates'!$I28)-'Model - Scarcity &amp; Growth Rates'!$I28)+(1-'Model - Supply'!D28)*('Model - Scarcity &amp; Growth Rates'!$E28*(1-'Model - Scarcity &amp; Growth Rates'!$I28)-'Model - Scarcity &amp; Growth Rates'!$I28)</f>
        <v>-0.15765734038147611</v>
      </c>
      <c r="H28" s="12">
        <f ca="1">'Model - Scarcity &amp; Growth Rates'!J28</f>
        <v>0.2</v>
      </c>
      <c r="I28" s="21">
        <f ca="1">(1+E27)*I27*(1-(SUM(I$5:I27)/'Static Parameters'!C$17)^2)</f>
        <v>22.359101225503057</v>
      </c>
      <c r="J28" s="21">
        <f ca="1">(1+F27)*J27*(1-(SUM(J$5:J27)/'Static Parameters'!D$17)^2)</f>
        <v>7.0484897898803851</v>
      </c>
      <c r="K28" s="21">
        <f ca="1">(1+G27)*K27*(1-(SUM(K$5:K27)/'Static Parameters'!E$17)^2)</f>
        <v>6.5128720424318978</v>
      </c>
      <c r="L28" s="21">
        <f ca="1">(1+H27)*L27*(1-(SUM(L$5:L27)/'Static Parameters'!F$17)^2)</f>
        <v>19.941302341822347</v>
      </c>
      <c r="M28" s="21">
        <f ca="1">I28*B28*'Static Parameters'!C$15</f>
        <v>5.142593281865703</v>
      </c>
      <c r="N28" s="21">
        <f ca="1">J28*C28*'Static Parameters'!D$15</f>
        <v>0.21804738949827962</v>
      </c>
      <c r="O28" s="21">
        <f ca="1">K28*D28*'Static Parameters'!E$15</f>
        <v>1.5630892901836555</v>
      </c>
      <c r="P28" s="84">
        <f t="shared" ca="1" si="11"/>
        <v>19.941302341822347</v>
      </c>
      <c r="Q28" s="54">
        <f t="shared" ca="1" si="12"/>
        <v>0</v>
      </c>
      <c r="R28" s="54">
        <f t="shared" ca="1" si="13"/>
        <v>6.1004576616269954</v>
      </c>
      <c r="S28" s="54">
        <f t="shared" ca="1" si="14"/>
        <v>0</v>
      </c>
      <c r="T28" s="85">
        <f ca="1">I28*'Static Parameters'!C$19/(44/12)/1000</f>
        <v>0.58723130400434842</v>
      </c>
      <c r="U28" s="85">
        <f ca="1">J28*'Static Parameters'!D$19/(44/12)/1000</f>
        <v>0.14090571861769971</v>
      </c>
      <c r="V28" s="85">
        <f ca="1">K28*'Static Parameters'!E$19/(44/12)/1000</f>
        <v>9.9646942249208031E-2</v>
      </c>
      <c r="W28" s="85">
        <f ca="1">MAX(0,AC27*'Model - Scarcity &amp; Growth Rates'!$J27*(1-'Model - Supply'!Z27/'Static Parameters'!C$25)+'Model - Supply'!Z27/'Static Parameters'!C$27)</f>
        <v>8.1537062986300182</v>
      </c>
      <c r="X28" s="85">
        <f ca="1">MAX(0,AD27*'Model - Scarcity &amp; Growth Rates'!$J27*(1-'Model - Supply'!AA27/'Static Parameters'!D$25)+'Model - Supply'!AA27/'Static Parameters'!D$27)</f>
        <v>19.703774011752266</v>
      </c>
      <c r="Y28" s="85">
        <f ca="1">MAX(0,AE27*'Model - Scarcity &amp; Growth Rates'!$J27*(1-'Model - Supply'!AB27/'Static Parameters'!E$25)+'Model - Supply'!AB27/'Static Parameters'!E$27)</f>
        <v>1.0922838566531741</v>
      </c>
      <c r="Z28" s="85">
        <f ca="1">Z27+W28-Z27/'Static Parameters'!C$27</f>
        <v>59.529135915048542</v>
      </c>
      <c r="AA28" s="85">
        <f ca="1">AA27+X28-AA27/'Static Parameters'!D$27</f>
        <v>127.75870617803662</v>
      </c>
      <c r="AB28" s="85">
        <f ca="1">AB27+Y28-AB27/'Static Parameters'!E$27</f>
        <v>47.979788598242557</v>
      </c>
      <c r="AC28" s="85">
        <f ca="1">Z28-W28*'Static Parameters'!C$27/'Static Parameters'!C$26</f>
        <v>45.939625417331847</v>
      </c>
      <c r="AD28" s="85">
        <f ca="1">AA28-X28*'Static Parameters'!D$27/'Static Parameters'!D$26</f>
        <v>103.12898866334629</v>
      </c>
      <c r="AE28" s="85">
        <f ca="1">AB28-Y28*'Static Parameters'!E$27/'Static Parameters'!E$26</f>
        <v>46.809484466114156</v>
      </c>
      <c r="AF28" s="85">
        <f ca="1">AG27*'Model - Scarcity &amp; Growth Rates'!K27*(1-'Model - Supply'!AF27/'Static Parameters'!C$33)+'Model - Supply'!AF27</f>
        <v>158.47284785641958</v>
      </c>
      <c r="AG28" s="85">
        <f ca="1">AF28-AF28/'Static Parameters'!$C$34</f>
        <v>79.236423928209788</v>
      </c>
      <c r="AH28" s="85">
        <f t="shared" ca="1" si="15"/>
        <v>222.74313085016229</v>
      </c>
      <c r="AI28" s="85">
        <f t="shared" ca="1" si="16"/>
        <v>85.336881589836779</v>
      </c>
      <c r="AJ28" s="85">
        <f t="shared" ca="1" si="5"/>
        <v>5.142593281865703</v>
      </c>
      <c r="AK28" s="85">
        <f t="shared" ca="1" si="6"/>
        <v>6.3185050511252747</v>
      </c>
      <c r="AL28" s="85">
        <f t="shared" ca="1" si="7"/>
        <v>1.5630892901836555</v>
      </c>
      <c r="AM28" s="85">
        <f t="shared" ca="1" si="8"/>
        <v>19.941302341822347</v>
      </c>
      <c r="AN28" s="85">
        <f t="shared" ca="1" si="9"/>
        <v>195.8780985467923</v>
      </c>
      <c r="AO28" s="85">
        <f t="shared" ca="1" si="10"/>
        <v>79.236423928209788</v>
      </c>
    </row>
    <row r="29" spans="1:41" x14ac:dyDescent="0.35">
      <c r="A29" s="13">
        <v>2047</v>
      </c>
      <c r="B29" s="12">
        <f ca="1">MAX(0,MIN(1,B28*(1+'Model - Scarcity &amp; Growth Rates'!$D28-'Model - Scarcity &amp; Growth Rates'!$E28)))</f>
        <v>1</v>
      </c>
      <c r="C29" s="12">
        <f ca="1">MAX(0,MIN(1,C28*(1+'Model - Scarcity &amp; Growth Rates'!$D28-'Model - Scarcity &amp; Growth Rates'!$E28)))</f>
        <v>0.1742489370137055</v>
      </c>
      <c r="D29" s="12">
        <f ca="1">MAX(0,MIN(1,D28*(1+'Model - Scarcity &amp; Growth Rates'!$D28-'Model - Scarcity &amp; Growth Rates'!$E28)))</f>
        <v>1</v>
      </c>
      <c r="E29" s="12">
        <f ca="1">B29*('Model - Scarcity &amp; Growth Rates'!$D29*(1-'Model - Scarcity &amp; Growth Rates'!$I29)-'Model - Scarcity &amp; Growth Rates'!$I29)+(1-'Model - Supply'!B29)*('Model - Scarcity &amp; Growth Rates'!$E29*(1-'Model - Scarcity &amp; Growth Rates'!$I29)-'Model - Scarcity &amp; Growth Rates'!$I29)</f>
        <v>-0.17318932148277971</v>
      </c>
      <c r="F29" s="12">
        <f ca="1">C29*('Model - Scarcity &amp; Growth Rates'!$D29*(1-'Model - Scarcity &amp; Growth Rates'!$I29)-'Model - Scarcity &amp; Growth Rates'!$I29)+(1-'Model - Supply'!C29)*('Model - Scarcity &amp; Growth Rates'!$E29*(1-'Model - Scarcity &amp; Growth Rates'!$I29)-'Model - Scarcity &amp; Growth Rates'!$I29)</f>
        <v>-0.39356384526020388</v>
      </c>
      <c r="G29" s="12">
        <f ca="1">D29*('Model - Scarcity &amp; Growth Rates'!$D29*(1-'Model - Scarcity &amp; Growth Rates'!$I29)-'Model - Scarcity &amp; Growth Rates'!$I29)+(1-'Model - Supply'!D29)*('Model - Scarcity &amp; Growth Rates'!$E29*(1-'Model - Scarcity &amp; Growth Rates'!$I29)-'Model - Scarcity &amp; Growth Rates'!$I29)</f>
        <v>-0.17318932148277971</v>
      </c>
      <c r="H29" s="12">
        <f ca="1">'Model - Scarcity &amp; Growth Rates'!J29</f>
        <v>0.2</v>
      </c>
      <c r="I29" s="21">
        <f ca="1">(1+E28)*I28*(1-(SUM(I$5:I28)/'Static Parameters'!C$17)^2)</f>
        <v>18.572875503427603</v>
      </c>
      <c r="J29" s="21">
        <f ca="1">(1+F28)*J28*(1-(SUM(J$5:J28)/'Static Parameters'!D$17)^2)</f>
        <v>4.5075326973186129</v>
      </c>
      <c r="K29" s="21">
        <f ca="1">(1+G28)*K28*(1-(SUM(K$5:K28)/'Static Parameters'!E$17)^2)</f>
        <v>5.0443415515811036</v>
      </c>
      <c r="L29" s="21">
        <f ca="1">(1+H28)*L28*(1-(SUM(L$5:L28)/'Static Parameters'!F$17)^2)</f>
        <v>13.75379667899171</v>
      </c>
      <c r="M29" s="21">
        <f ca="1">I29*B29*'Static Parameters'!C$15</f>
        <v>4.2717613657883486</v>
      </c>
      <c r="N29" s="21">
        <f ca="1">J29*C29*'Static Parameters'!D$15</f>
        <v>0.18064953964432651</v>
      </c>
      <c r="O29" s="21">
        <f ca="1">K29*D29*'Static Parameters'!E$15</f>
        <v>1.2106419723794648</v>
      </c>
      <c r="P29" s="84">
        <f t="shared" ca="1" si="11"/>
        <v>13.75379667899171</v>
      </c>
      <c r="Q29" s="54">
        <f t="shared" ca="1" si="12"/>
        <v>0</v>
      </c>
      <c r="R29" s="54">
        <f t="shared" ca="1" si="13"/>
        <v>3.7220999162563242</v>
      </c>
      <c r="S29" s="54">
        <f t="shared" ca="1" si="14"/>
        <v>0</v>
      </c>
      <c r="T29" s="85">
        <f ca="1">I29*'Static Parameters'!C$19/(44/12)/1000</f>
        <v>0.48779124844911226</v>
      </c>
      <c r="U29" s="85">
        <f ca="1">J29*'Static Parameters'!D$19/(44/12)/1000</f>
        <v>9.0109676376396636E-2</v>
      </c>
      <c r="V29" s="85">
        <f ca="1">K29*'Static Parameters'!E$19/(44/12)/1000</f>
        <v>7.7178425739190898E-2</v>
      </c>
      <c r="W29" s="85">
        <f ca="1">MAX(0,AC28*'Model - Scarcity &amp; Growth Rates'!$J28*(1-'Model - Supply'!Z28/'Static Parameters'!C$25)+'Model - Supply'!Z28/'Static Parameters'!C$27)</f>
        <v>8.8343443147135456</v>
      </c>
      <c r="X29" s="85">
        <f ca="1">MAX(0,AD28*'Model - Scarcity &amp; Growth Rates'!$J28*(1-'Model - Supply'!AA28/'Static Parameters'!D$25)+'Model - Supply'!AA28/'Static Parameters'!D$27)</f>
        <v>21.971681362339716</v>
      </c>
      <c r="Y29" s="85">
        <f ca="1">MAX(0,AE28*'Model - Scarcity &amp; Growth Rates'!$J28*(1-'Model - Supply'!AB28/'Static Parameters'!E$25)+'Model - Supply'!AB28/'Static Parameters'!E$27)</f>
        <v>1.017990731558561</v>
      </c>
      <c r="Z29" s="85">
        <f ca="1">Z28+W29-Z28/'Static Parameters'!C$27</f>
        <v>65.982314793160143</v>
      </c>
      <c r="AA29" s="85">
        <f ca="1">AA28+X29-AA28/'Static Parameters'!D$27</f>
        <v>144.62003929325488</v>
      </c>
      <c r="AB29" s="85">
        <f ca="1">AB28+Y29-AB28/'Static Parameters'!E$27</f>
        <v>48.358048815157886</v>
      </c>
      <c r="AC29" s="85">
        <f ca="1">Z29-W29*'Static Parameters'!C$27/'Static Parameters'!C$26</f>
        <v>51.258407601970902</v>
      </c>
      <c r="AD29" s="85">
        <f ca="1">AA29-X29*'Static Parameters'!D$27/'Static Parameters'!D$26</f>
        <v>117.15543759033024</v>
      </c>
      <c r="AE29" s="85">
        <f ca="1">AB29-Y29*'Static Parameters'!E$27/'Static Parameters'!E$26</f>
        <v>47.267344459916572</v>
      </c>
      <c r="AF29" s="85">
        <f ca="1">AG28*'Model - Scarcity &amp; Growth Rates'!K28*(1-'Model - Supply'!AF28/'Static Parameters'!C$33)+'Model - Supply'!AF28</f>
        <v>158.48299099953519</v>
      </c>
      <c r="AG29" s="85">
        <f ca="1">AF29-AF29/'Static Parameters'!$C$34</f>
        <v>79.241495499767595</v>
      </c>
      <c r="AH29" s="85">
        <f t="shared" ca="1" si="15"/>
        <v>235.09803920902158</v>
      </c>
      <c r="AI29" s="85">
        <f t="shared" ca="1" si="16"/>
        <v>82.963595416023921</v>
      </c>
      <c r="AJ29" s="85">
        <f t="shared" ca="1" si="5"/>
        <v>4.2717613657883486</v>
      </c>
      <c r="AK29" s="85">
        <f t="shared" ca="1" si="6"/>
        <v>3.9027494559006506</v>
      </c>
      <c r="AL29" s="85">
        <f t="shared" ca="1" si="7"/>
        <v>1.2106419723794648</v>
      </c>
      <c r="AM29" s="85">
        <f t="shared" ca="1" si="8"/>
        <v>13.75379667899171</v>
      </c>
      <c r="AN29" s="85">
        <f t="shared" ca="1" si="9"/>
        <v>215.68118965221771</v>
      </c>
      <c r="AO29" s="85">
        <f t="shared" ca="1" si="10"/>
        <v>79.241495499767595</v>
      </c>
    </row>
    <row r="30" spans="1:41" x14ac:dyDescent="0.35">
      <c r="A30" s="13">
        <v>2048</v>
      </c>
      <c r="B30" s="12">
        <f ca="1">MAX(0,MIN(1,B29*(1+'Model - Scarcity &amp; Growth Rates'!$D29-'Model - Scarcity &amp; Growth Rates'!$E29)))</f>
        <v>1</v>
      </c>
      <c r="C30" s="12">
        <f ca="1">MAX(0,MIN(1,C29*(1+'Model - Scarcity &amp; Growth Rates'!$D29-'Model - Scarcity &amp; Growth Rates'!$E29)))</f>
        <v>0.24611723021169796</v>
      </c>
      <c r="D30" s="12">
        <f ca="1">MAX(0,MIN(1,D29*(1+'Model - Scarcity &amp; Growth Rates'!$D29-'Model - Scarcity &amp; Growth Rates'!$E29)))</f>
        <v>1</v>
      </c>
      <c r="E30" s="12">
        <f ca="1">B30*('Model - Scarcity &amp; Growth Rates'!$D30*(1-'Model - Scarcity &amp; Growth Rates'!$I30)-'Model - Scarcity &amp; Growth Rates'!$I30)+(1-'Model - Supply'!B30)*('Model - Scarcity &amp; Growth Rates'!$E30*(1-'Model - Scarcity &amp; Growth Rates'!$I30)-'Model - Scarcity &amp; Growth Rates'!$I30)</f>
        <v>-0.19523874439123487</v>
      </c>
      <c r="F30" s="12">
        <f ca="1">C30*('Model - Scarcity &amp; Growth Rates'!$D30*(1-'Model - Scarcity &amp; Growth Rates'!$I30)-'Model - Scarcity &amp; Growth Rates'!$I30)+(1-'Model - Supply'!C30)*('Model - Scarcity &amp; Growth Rates'!$E30*(1-'Model - Scarcity &amp; Growth Rates'!$I30)-'Model - Scarcity &amp; Growth Rates'!$I30)</f>
        <v>-0.47308375578349238</v>
      </c>
      <c r="G30" s="12">
        <f ca="1">D30*('Model - Scarcity &amp; Growth Rates'!$D30*(1-'Model - Scarcity &amp; Growth Rates'!$I30)-'Model - Scarcity &amp; Growth Rates'!$I30)+(1-'Model - Supply'!D30)*('Model - Scarcity &amp; Growth Rates'!$E30*(1-'Model - Scarcity &amp; Growth Rates'!$I30)-'Model - Scarcity &amp; Growth Rates'!$I30)</f>
        <v>-0.19523874439123487</v>
      </c>
      <c r="H30" s="12">
        <f ca="1">'Model - Scarcity &amp; Growth Rates'!J30</f>
        <v>0.2</v>
      </c>
      <c r="I30" s="21">
        <f ca="1">(1+E29)*I29*(1-(SUM(I$5:I29)/'Static Parameters'!C$17)^2)</f>
        <v>15.140651782193597</v>
      </c>
      <c r="J30" s="21">
        <f ca="1">(1+F29)*J29*(1-(SUM(J$5:J29)/'Static Parameters'!D$17)^2)</f>
        <v>2.584871587985742</v>
      </c>
      <c r="K30" s="21">
        <f ca="1">(1+G29)*K29*(1-(SUM(K$5:K29)/'Static Parameters'!E$17)^2)</f>
        <v>3.8331828068450484</v>
      </c>
      <c r="L30" s="21">
        <f ca="1">(1+H29)*L29*(1-(SUM(L$5:L29)/'Static Parameters'!F$17)^2)</f>
        <v>9.2492560354797551</v>
      </c>
      <c r="M30" s="21">
        <f ca="1">I30*B30*'Static Parameters'!C$15</f>
        <v>3.4823499099045274</v>
      </c>
      <c r="N30" s="21">
        <f ca="1">J30*C30*'Static Parameters'!D$15</f>
        <v>0.14632173020823175</v>
      </c>
      <c r="O30" s="21">
        <f ca="1">K30*D30*'Static Parameters'!E$15</f>
        <v>0.91996387364281162</v>
      </c>
      <c r="P30" s="84">
        <f t="shared" ca="1" si="11"/>
        <v>9.2492560354797551</v>
      </c>
      <c r="Q30" s="54">
        <f t="shared" ca="1" si="12"/>
        <v>0</v>
      </c>
      <c r="R30" s="54">
        <f t="shared" ca="1" si="13"/>
        <v>1.948690152297778</v>
      </c>
      <c r="S30" s="54">
        <f t="shared" ca="1" si="14"/>
        <v>0</v>
      </c>
      <c r="T30" s="85">
        <f ca="1">I30*'Static Parameters'!C$19/(44/12)/1000</f>
        <v>0.39764857271597542</v>
      </c>
      <c r="U30" s="85">
        <f ca="1">J30*'Static Parameters'!D$19/(44/12)/1000</f>
        <v>5.1673932927096787E-2</v>
      </c>
      <c r="V30" s="85">
        <f ca="1">K30*'Static Parameters'!E$19/(44/12)/1000</f>
        <v>5.8647696944729238E-2</v>
      </c>
      <c r="W30" s="85">
        <f ca="1">MAX(0,AC29*'Model - Scarcity &amp; Growth Rates'!$J29*(1-'Model - Supply'!Z29/'Static Parameters'!C$25)+'Model - Supply'!Z29/'Static Parameters'!C$27)</f>
        <v>9.5088257259312297</v>
      </c>
      <c r="X30" s="85">
        <f ca="1">MAX(0,AD29*'Model - Scarcity &amp; Growth Rates'!$J29*(1-'Model - Supply'!AA29/'Static Parameters'!D$25)+'Model - Supply'!AA29/'Static Parameters'!D$27)</f>
        <v>24.375025093301378</v>
      </c>
      <c r="Y30" s="85">
        <f ca="1">MAX(0,AE29*'Model - Scarcity &amp; Growth Rates'!$J29*(1-'Model - Supply'!AB29/'Static Parameters'!E$25)+'Model - Supply'!AB29/'Static Parameters'!E$27)</f>
        <v>0.95521667316330705</v>
      </c>
      <c r="Z30" s="85">
        <f ca="1">Z29+W30-Z29/'Static Parameters'!C$27</f>
        <v>72.851847927364972</v>
      </c>
      <c r="AA30" s="85">
        <f ca="1">AA29+X30-AA29/'Static Parameters'!D$27</f>
        <v>163.21026281482608</v>
      </c>
      <c r="AB30" s="85">
        <f ca="1">AB29+Y30-AB29/'Static Parameters'!E$27</f>
        <v>48.668491504119089</v>
      </c>
      <c r="AC30" s="85">
        <f ca="1">Z30-W30*'Static Parameters'!C$27/'Static Parameters'!C$26</f>
        <v>57.003805050812922</v>
      </c>
      <c r="AD30" s="85">
        <f ca="1">AA30-X30*'Static Parameters'!D$27/'Static Parameters'!D$26</f>
        <v>132.74148144819935</v>
      </c>
      <c r="AE30" s="85">
        <f ca="1">AB30-Y30*'Static Parameters'!E$27/'Static Parameters'!E$26</f>
        <v>47.645045068586974</v>
      </c>
      <c r="AF30" s="85">
        <f ca="1">AG29*'Model - Scarcity &amp; Growth Rates'!K29*(1-'Model - Supply'!AF29/'Static Parameters'!C$33)+'Model - Supply'!AF29</f>
        <v>156.26806042259409</v>
      </c>
      <c r="AG30" s="85">
        <f ca="1">AF30-AF30/'Static Parameters'!$C$34</f>
        <v>78.134030211297045</v>
      </c>
      <c r="AH30" s="85">
        <f t="shared" ca="1" si="15"/>
        <v>251.18822311683456</v>
      </c>
      <c r="AI30" s="85">
        <f t="shared" ca="1" si="16"/>
        <v>80.082720363594817</v>
      </c>
      <c r="AJ30" s="85">
        <f t="shared" ca="1" si="5"/>
        <v>3.4823499099045274</v>
      </c>
      <c r="AK30" s="85">
        <f t="shared" ca="1" si="6"/>
        <v>2.0950118825060096</v>
      </c>
      <c r="AL30" s="85">
        <f t="shared" ca="1" si="7"/>
        <v>0.91996387364281162</v>
      </c>
      <c r="AM30" s="85">
        <f t="shared" ca="1" si="8"/>
        <v>9.2492560354797551</v>
      </c>
      <c r="AN30" s="85">
        <f t="shared" ca="1" si="9"/>
        <v>237.39033156759925</v>
      </c>
      <c r="AO30" s="85">
        <f t="shared" ca="1" si="10"/>
        <v>78.134030211297045</v>
      </c>
    </row>
    <row r="31" spans="1:41" x14ac:dyDescent="0.35">
      <c r="A31" s="13">
        <v>2049</v>
      </c>
      <c r="B31" s="12">
        <f ca="1">MAX(0,MIN(1,B30*(1+'Model - Scarcity &amp; Growth Rates'!$D30-'Model - Scarcity &amp; Growth Rates'!$E30)))</f>
        <v>1</v>
      </c>
      <c r="C31" s="12">
        <f ca="1">MAX(0,MIN(1,C30*(1+'Model - Scarcity &amp; Growth Rates'!$D30-'Model - Scarcity &amp; Growth Rates'!$E30)))</f>
        <v>0.38689232509741184</v>
      </c>
      <c r="D31" s="12">
        <f ca="1">MAX(0,MIN(1,D30*(1+'Model - Scarcity &amp; Growth Rates'!$D30-'Model - Scarcity &amp; Growth Rates'!$E30)))</f>
        <v>1</v>
      </c>
      <c r="E31" s="12">
        <f ca="1">B31*('Model - Scarcity &amp; Growth Rates'!$D31*(1-'Model - Scarcity &amp; Growth Rates'!$I31)-'Model - Scarcity &amp; Growth Rates'!$I31)+(1-'Model - Supply'!B31)*('Model - Scarcity &amp; Growth Rates'!$E31*(1-'Model - Scarcity &amp; Growth Rates'!$I31)-'Model - Scarcity &amp; Growth Rates'!$I31)</f>
        <v>-0.22271894502338374</v>
      </c>
      <c r="F31" s="12">
        <f ca="1">C31*('Model - Scarcity &amp; Growth Rates'!$D31*(1-'Model - Scarcity &amp; Growth Rates'!$I31)-'Model - Scarcity &amp; Growth Rates'!$I31)+(1-'Model - Supply'!C31)*('Model - Scarcity &amp; Growth Rates'!$E31*(1-'Model - Scarcity &amp; Growth Rates'!$I31)-'Model - Scarcity &amp; Growth Rates'!$I31)</f>
        <v>-0.5416532345732572</v>
      </c>
      <c r="G31" s="12">
        <f ca="1">D31*('Model - Scarcity &amp; Growth Rates'!$D31*(1-'Model - Scarcity &amp; Growth Rates'!$I31)-'Model - Scarcity &amp; Growth Rates'!$I31)+(1-'Model - Supply'!D31)*('Model - Scarcity &amp; Growth Rates'!$E31*(1-'Model - Scarcity &amp; Growth Rates'!$I31)-'Model - Scarcity &amp; Growth Rates'!$I31)</f>
        <v>-0.22271894502338374</v>
      </c>
      <c r="H31" s="12">
        <f ca="1">'Model - Scarcity &amp; Growth Rates'!J31</f>
        <v>0.2</v>
      </c>
      <c r="I31" s="21">
        <f ca="1">(1+E30)*I30*(1-(SUM(I$5:I30)/'Static Parameters'!C$17)^2)</f>
        <v>12.011800695175111</v>
      </c>
      <c r="J31" s="21">
        <f ca="1">(1+F30)*J30*(1-(SUM(J$5:J30)/'Static Parameters'!D$17)^2)</f>
        <v>1.287763506077632</v>
      </c>
      <c r="K31" s="21">
        <f ca="1">(1+G30)*K30*(1-(SUM(K$5:K30)/'Static Parameters'!E$17)^2)</f>
        <v>2.8341812433796085</v>
      </c>
      <c r="L31" s="21">
        <f ca="1">(1+H30)*L30*(1-(SUM(L$5:L30)/'Static Parameters'!F$17)^2)</f>
        <v>6.1113719012191554</v>
      </c>
      <c r="M31" s="21">
        <f ca="1">I31*B31*'Static Parameters'!C$15</f>
        <v>2.7627141598902756</v>
      </c>
      <c r="N31" s="21">
        <f ca="1">J31*C31*'Static Parameters'!D$15</f>
        <v>0.11459193791965314</v>
      </c>
      <c r="O31" s="21">
        <f ca="1">K31*D31*'Static Parameters'!E$15</f>
        <v>0.68020349841110606</v>
      </c>
      <c r="P31" s="84">
        <f t="shared" ca="1" si="11"/>
        <v>6.1113719012191554</v>
      </c>
      <c r="Q31" s="54">
        <f t="shared" ca="1" si="12"/>
        <v>0</v>
      </c>
      <c r="R31" s="54">
        <f t="shared" ca="1" si="13"/>
        <v>0.7895376890356619</v>
      </c>
      <c r="S31" s="54">
        <f t="shared" ca="1" si="14"/>
        <v>0</v>
      </c>
      <c r="T31" s="85">
        <f ca="1">I31*'Static Parameters'!C$19/(44/12)/1000</f>
        <v>0.31547356553055356</v>
      </c>
      <c r="U31" s="85">
        <f ca="1">J31*'Static Parameters'!D$19/(44/12)/1000</f>
        <v>2.5743563180588295E-2</v>
      </c>
      <c r="V31" s="85">
        <f ca="1">K31*'Static Parameters'!E$19/(44/12)/1000</f>
        <v>4.3362973023708007E-2</v>
      </c>
      <c r="W31" s="85">
        <f ca="1">MAX(0,AC30*'Model - Scarcity &amp; Growth Rates'!$J30*(1-'Model - Supply'!Z30/'Static Parameters'!C$25)+'Model - Supply'!Z30/'Static Parameters'!C$27)</f>
        <v>10.1620023904142</v>
      </c>
      <c r="X31" s="85">
        <f ca="1">MAX(0,AD30*'Model - Scarcity &amp; Growth Rates'!$J30*(1-'Model - Supply'!AA30/'Static Parameters'!D$25)+'Model - Supply'!AA30/'Static Parameters'!D$27)</f>
        <v>26.886771924064352</v>
      </c>
      <c r="Y31" s="85">
        <f ca="1">MAX(0,AE30*'Model - Scarcity &amp; Growth Rates'!$J30*(1-'Model - Supply'!AB30/'Static Parameters'!E$25)+'Model - Supply'!AB30/'Static Parameters'!E$27)</f>
        <v>0.90267234923673123</v>
      </c>
      <c r="Z31" s="85">
        <f ca="1">Z30+W31-Z30/'Static Parameters'!C$27</f>
        <v>80.099776400684576</v>
      </c>
      <c r="AA31" s="85">
        <f ca="1">AA30+X31-AA30/'Static Parameters'!D$27</f>
        <v>183.5686242262974</v>
      </c>
      <c r="AB31" s="85">
        <f ca="1">AB30+Y31-AB30/'Static Parameters'!E$27</f>
        <v>48.922250633300898</v>
      </c>
      <c r="AC31" s="85">
        <f ca="1">Z31-W31*'Static Parameters'!C$27/'Static Parameters'!C$26</f>
        <v>63.163105749994244</v>
      </c>
      <c r="AD31" s="85">
        <f ca="1">AA31-X31*'Static Parameters'!D$27/'Static Parameters'!D$26</f>
        <v>149.96015932121696</v>
      </c>
      <c r="AE31" s="85">
        <f ca="1">AB31-Y31*'Static Parameters'!E$27/'Static Parameters'!E$26</f>
        <v>47.955101687690117</v>
      </c>
      <c r="AF31" s="85">
        <f ca="1">AG30*'Model - Scarcity &amp; Growth Rates'!K30*(1-'Model - Supply'!AF30/'Static Parameters'!C$33)+'Model - Supply'!AF30</f>
        <v>150.74944799186042</v>
      </c>
      <c r="AG31" s="85">
        <f ca="1">AF31-AF31/'Static Parameters'!$C$34</f>
        <v>75.374723995930211</v>
      </c>
      <c r="AH31" s="85">
        <f t="shared" ca="1" si="15"/>
        <v>270.74724825634149</v>
      </c>
      <c r="AI31" s="85">
        <f t="shared" ca="1" si="16"/>
        <v>76.164261684965879</v>
      </c>
      <c r="AJ31" s="85">
        <f t="shared" ca="1" si="5"/>
        <v>2.7627141598902756</v>
      </c>
      <c r="AK31" s="85">
        <f t="shared" ca="1" si="6"/>
        <v>0.90412962695531507</v>
      </c>
      <c r="AL31" s="85">
        <f t="shared" ca="1" si="7"/>
        <v>0.68020349841110606</v>
      </c>
      <c r="AM31" s="85">
        <f t="shared" ca="1" si="8"/>
        <v>6.1113719012191554</v>
      </c>
      <c r="AN31" s="85">
        <f t="shared" ca="1" si="9"/>
        <v>261.07836675890132</v>
      </c>
      <c r="AO31" s="85">
        <f t="shared" ca="1" si="10"/>
        <v>75.374723995930211</v>
      </c>
    </row>
    <row r="32" spans="1:41" x14ac:dyDescent="0.35">
      <c r="A32" s="13">
        <v>2050</v>
      </c>
      <c r="B32" s="12">
        <f ca="1">MAX(0,MIN(1,B31*(1+'Model - Scarcity &amp; Growth Rates'!$D31-'Model - Scarcity &amp; Growth Rates'!$E31)))</f>
        <v>1</v>
      </c>
      <c r="C32" s="12">
        <f ca="1">MAX(0,MIN(1,C31*(1+'Model - Scarcity &amp; Growth Rates'!$D31-'Model - Scarcity &amp; Growth Rates'!$E31)))</f>
        <v>0.70050082199238695</v>
      </c>
      <c r="D32" s="12">
        <f ca="1">MAX(0,MIN(1,D31*(1+'Model - Scarcity &amp; Growth Rates'!$D31-'Model - Scarcity &amp; Growth Rates'!$E31)))</f>
        <v>1</v>
      </c>
      <c r="E32" s="12">
        <f ca="1">B32*('Model - Scarcity &amp; Growth Rates'!$D32*(1-'Model - Scarcity &amp; Growth Rates'!$I32)-'Model - Scarcity &amp; Growth Rates'!$I32)+(1-'Model - Supply'!B32)*('Model - Scarcity &amp; Growth Rates'!$E32*(1-'Model - Scarcity &amp; Growth Rates'!$I32)-'Model - Scarcity &amp; Growth Rates'!$I32)</f>
        <v>-0.26137840043047805</v>
      </c>
      <c r="F32" s="12">
        <f ca="1">C32*('Model - Scarcity &amp; Growth Rates'!$D32*(1-'Model - Scarcity &amp; Growth Rates'!$I32)-'Model - Scarcity &amp; Growth Rates'!$I32)+(1-'Model - Supply'!C32)*('Model - Scarcity &amp; Growth Rates'!$E32*(1-'Model - Scarcity &amp; Growth Rates'!$I32)-'Model - Scarcity &amp; Growth Rates'!$I32)</f>
        <v>-0.37762145320998025</v>
      </c>
      <c r="G32" s="12">
        <f ca="1">D32*('Model - Scarcity &amp; Growth Rates'!$D32*(1-'Model - Scarcity &amp; Growth Rates'!$I32)-'Model - Scarcity &amp; Growth Rates'!$I32)+(1-'Model - Supply'!D32)*('Model - Scarcity &amp; Growth Rates'!$E32*(1-'Model - Scarcity &amp; Growth Rates'!$I32)-'Model - Scarcity &amp; Growth Rates'!$I32)</f>
        <v>-0.26137840043047805</v>
      </c>
      <c r="H32" s="12">
        <f ca="1">'Model - Scarcity &amp; Growth Rates'!J32</f>
        <v>0.15534332510420412</v>
      </c>
      <c r="I32" s="21">
        <f ca="1">(1+E31)*I31*(1-(SUM(I$5:I31)/'Static Parameters'!C$17)^2)</f>
        <v>9.2030670161648711</v>
      </c>
      <c r="J32" s="21">
        <f ca="1">(1+F31)*J31*(1-(SUM(J$5:J31)/'Static Parameters'!D$17)^2)</f>
        <v>0.55802825682786728</v>
      </c>
      <c r="K32" s="21">
        <f ca="1">(1+G31)*K31*(1-(SUM(K$5:K31)/'Static Parameters'!E$17)^2)</f>
        <v>2.0234716762338851</v>
      </c>
      <c r="L32" s="21">
        <f ca="1">(1+H31)*L31*(1-(SUM(L$5:L31)/'Static Parameters'!F$17)^2)</f>
        <v>3.9901777133750991</v>
      </c>
      <c r="M32" s="21">
        <f ca="1">I32*B32*'Static Parameters'!C$15</f>
        <v>2.1167054137179204</v>
      </c>
      <c r="N32" s="21">
        <f ca="1">J32*C32*'Static Parameters'!D$15</f>
        <v>8.9906828098666958E-2</v>
      </c>
      <c r="O32" s="21">
        <f ca="1">K32*D32*'Static Parameters'!E$15</f>
        <v>0.48563320229613244</v>
      </c>
      <c r="P32" s="84">
        <f t="shared" ca="1" si="11"/>
        <v>3.9901777133750991</v>
      </c>
      <c r="Q32" s="54">
        <f t="shared" ca="1" si="12"/>
        <v>0</v>
      </c>
      <c r="R32" s="54">
        <f t="shared" ca="1" si="13"/>
        <v>0.16712900422496743</v>
      </c>
      <c r="S32" s="54">
        <f t="shared" ca="1" si="14"/>
        <v>0</v>
      </c>
      <c r="T32" s="85">
        <f ca="1">I32*'Static Parameters'!C$19/(44/12)/1000</f>
        <v>0.24170600554273011</v>
      </c>
      <c r="U32" s="85">
        <f ca="1">J32*'Static Parameters'!D$19/(44/12)/1000</f>
        <v>1.1155492152404365E-2</v>
      </c>
      <c r="V32" s="85">
        <f ca="1">K32*'Static Parameters'!E$19/(44/12)/1000</f>
        <v>3.0959116646378449E-2</v>
      </c>
      <c r="W32" s="85">
        <f ca="1">MAX(0,AC31*'Model - Scarcity &amp; Growth Rates'!$J31*(1-'Model - Supply'!Z31/'Static Parameters'!C$25)+'Model - Supply'!Z31/'Static Parameters'!C$27)</f>
        <v>10.777261558678898</v>
      </c>
      <c r="X32" s="85">
        <f ca="1">MAX(0,AD31*'Model - Scarcity &amp; Growth Rates'!$J31*(1-'Model - Supply'!AA31/'Static Parameters'!D$25)+'Model - Supply'!AA31/'Static Parameters'!D$27)</f>
        <v>29.469639651766098</v>
      </c>
      <c r="Y32" s="85">
        <f ca="1">MAX(0,AE31*'Model - Scarcity &amp; Growth Rates'!$J31*(1-'Model - Supply'!AB31/'Static Parameters'!E$25)+'Model - Supply'!AB31/'Static Parameters'!E$27)</f>
        <v>0.85903099700627539</v>
      </c>
      <c r="Z32" s="85">
        <f ca="1">Z31+W32-Z31/'Static Parameters'!C$27</f>
        <v>87.6730469033361</v>
      </c>
      <c r="AA32" s="85">
        <f ca="1">AA31+X32-AA31/'Static Parameters'!D$27</f>
        <v>205.69551890901161</v>
      </c>
      <c r="AB32" s="85">
        <f ca="1">AB31+Y32-AB31/'Static Parameters'!E$27</f>
        <v>49.128984955196493</v>
      </c>
      <c r="AC32" s="85">
        <f ca="1">Z32-W32*'Static Parameters'!C$27/'Static Parameters'!C$26</f>
        <v>69.710944305537936</v>
      </c>
      <c r="AD32" s="85">
        <f ca="1">AA32-X32*'Static Parameters'!D$27/'Static Parameters'!D$26</f>
        <v>168.85846934430398</v>
      </c>
      <c r="AE32" s="85">
        <f ca="1">AB32-Y32*'Static Parameters'!E$27/'Static Parameters'!E$26</f>
        <v>48.208594601261197</v>
      </c>
      <c r="AF32" s="85">
        <f ca="1">AG31*'Model - Scarcity &amp; Growth Rates'!K31*(1-'Model - Supply'!AF31/'Static Parameters'!C$33)+'Model - Supply'!AF31</f>
        <v>139.62391779638511</v>
      </c>
      <c r="AG32" s="85">
        <f ca="1">AF32-AF32/'Static Parameters'!$C$34</f>
        <v>69.811958898192557</v>
      </c>
      <c r="AH32" s="85">
        <f t="shared" ca="1" si="15"/>
        <v>293.46043140859092</v>
      </c>
      <c r="AI32" s="85">
        <f t="shared" ca="1" si="16"/>
        <v>69.979087902417518</v>
      </c>
      <c r="AJ32" s="85">
        <f t="shared" ca="1" si="5"/>
        <v>2.1167054137179204</v>
      </c>
      <c r="AK32" s="85">
        <f t="shared" ca="1" si="6"/>
        <v>0.25703583232363436</v>
      </c>
      <c r="AL32" s="85">
        <f t="shared" ca="1" si="7"/>
        <v>0.48563320229613244</v>
      </c>
      <c r="AM32" s="85">
        <f t="shared" ca="1" si="8"/>
        <v>3.9901777133750991</v>
      </c>
      <c r="AN32" s="85">
        <f t="shared" ca="1" si="9"/>
        <v>286.77800825110313</v>
      </c>
      <c r="AO32" s="85">
        <f t="shared" ca="1" si="10"/>
        <v>69.811958898192557</v>
      </c>
    </row>
    <row r="33" spans="1:41" x14ac:dyDescent="0.35">
      <c r="A33" s="13">
        <v>2051</v>
      </c>
      <c r="B33" s="12">
        <f ca="1">MAX(0,MIN(1,B32*(1+'Model - Scarcity &amp; Growth Rates'!$D32-'Model - Scarcity &amp; Growth Rates'!$E32)))</f>
        <v>1</v>
      </c>
      <c r="C33" s="12">
        <f ca="1">MAX(0,MIN(1,C32*(1+'Model - Scarcity &amp; Growth Rates'!$D32-'Model - Scarcity &amp; Growth Rates'!$E32)))</f>
        <v>1</v>
      </c>
      <c r="D33" s="12">
        <f ca="1">MAX(0,MIN(1,D32*(1+'Model - Scarcity &amp; Growth Rates'!$D32-'Model - Scarcity &amp; Growth Rates'!$E32)))</f>
        <v>1</v>
      </c>
      <c r="E33" s="12">
        <f ca="1">B33*('Model - Scarcity &amp; Growth Rates'!$D33*(1-'Model - Scarcity &amp; Growth Rates'!$I33)-'Model - Scarcity &amp; Growth Rates'!$I33)+(1-'Model - Supply'!B33)*('Model - Scarcity &amp; Growth Rates'!$E33*(1-'Model - Scarcity &amp; Growth Rates'!$I33)-'Model - Scarcity &amp; Growth Rates'!$I33)</f>
        <v>-0.30817983076316879</v>
      </c>
      <c r="F33" s="12">
        <f ca="1">C33*('Model - Scarcity &amp; Growth Rates'!$D33*(1-'Model - Scarcity &amp; Growth Rates'!$I33)-'Model - Scarcity &amp; Growth Rates'!$I33)+(1-'Model - Supply'!C33)*('Model - Scarcity &amp; Growth Rates'!$E33*(1-'Model - Scarcity &amp; Growth Rates'!$I33)-'Model - Scarcity &amp; Growth Rates'!$I33)</f>
        <v>-0.30817983076316879</v>
      </c>
      <c r="G33" s="12">
        <f ca="1">D33*('Model - Scarcity &amp; Growth Rates'!$D33*(1-'Model - Scarcity &amp; Growth Rates'!$I33)-'Model - Scarcity &amp; Growth Rates'!$I33)+(1-'Model - Supply'!D33)*('Model - Scarcity &amp; Growth Rates'!$E33*(1-'Model - Scarcity &amp; Growth Rates'!$I33)-'Model - Scarcity &amp; Growth Rates'!$I33)</f>
        <v>-0.30817983076316879</v>
      </c>
      <c r="H33" s="12">
        <f ca="1">'Model - Scarcity &amp; Growth Rates'!J33</f>
        <v>8.6027304951852443E-2</v>
      </c>
      <c r="I33" s="21">
        <f ca="1">(1+E32)*I32*(1-(SUM(I$5:I32)/'Static Parameters'!C$17)^2)</f>
        <v>6.6998093774568392</v>
      </c>
      <c r="J33" s="21">
        <f ca="1">(1+F32)*J32*(1-(SUM(J$5:J32)/'Static Parameters'!D$17)^2)</f>
        <v>0.32834004907365927</v>
      </c>
      <c r="K33" s="21">
        <f ca="1">(1+G32)*K32*(1-(SUM(K$5:K32)/'Static Parameters'!E$17)^2)</f>
        <v>1.3725627186777276</v>
      </c>
      <c r="L33" s="21">
        <f ca="1">(1+H32)*L32*(1-(SUM(L$5:L32)/'Static Parameters'!F$17)^2)</f>
        <v>2.4885163832209409</v>
      </c>
      <c r="M33" s="21">
        <f ca="1">I33*B33*'Static Parameters'!C$15</f>
        <v>1.5409561568150731</v>
      </c>
      <c r="N33" s="21">
        <f ca="1">J33*C33*'Static Parameters'!D$15</f>
        <v>7.5518211286941639E-2</v>
      </c>
      <c r="O33" s="21">
        <f ca="1">K33*D33*'Static Parameters'!E$15</f>
        <v>0.32941505248265462</v>
      </c>
      <c r="P33" s="84">
        <f t="shared" ca="1" si="11"/>
        <v>2.4885163832209409</v>
      </c>
      <c r="Q33" s="54">
        <f t="shared" ca="1" si="12"/>
        <v>0</v>
      </c>
      <c r="R33" s="54">
        <f t="shared" ca="1" si="13"/>
        <v>0</v>
      </c>
      <c r="S33" s="54">
        <f t="shared" ca="1" si="14"/>
        <v>0</v>
      </c>
      <c r="T33" s="85">
        <f ca="1">I33*'Static Parameters'!C$19/(44/12)/1000</f>
        <v>0.17596135719520736</v>
      </c>
      <c r="U33" s="85">
        <f ca="1">J33*'Static Parameters'!D$19/(44/12)/1000</f>
        <v>6.5638160719361524E-3</v>
      </c>
      <c r="V33" s="85">
        <f ca="1">K33*'Static Parameters'!E$19/(44/12)/1000</f>
        <v>2.1000209595769235E-2</v>
      </c>
      <c r="W33" s="85">
        <f ca="1">MAX(0,AC32*'Model - Scarcity &amp; Growth Rates'!$J32*(1-'Model - Supply'!Z32/'Static Parameters'!C$25)+'Model - Supply'!Z32/'Static Parameters'!C$27)</f>
        <v>9.5889376992458324</v>
      </c>
      <c r="X33" s="85">
        <f ca="1">MAX(0,AD32*'Model - Scarcity &amp; Growth Rates'!$J32*(1-'Model - Supply'!AA32/'Static Parameters'!D$25)+'Model - Supply'!AA32/'Static Parameters'!D$27)</f>
        <v>26.750847453310488</v>
      </c>
      <c r="Y33" s="85">
        <f ca="1">MAX(0,AE32*'Model - Scarcity &amp; Growth Rates'!$J32*(1-'Model - Supply'!AB32/'Static Parameters'!E$25)+'Model - Supply'!AB32/'Static Parameters'!E$27)</f>
        <v>0.78551173466012525</v>
      </c>
      <c r="Z33" s="85">
        <f ca="1">Z32+W33-Z32/'Static Parameters'!C$27</f>
        <v>93.755062726448486</v>
      </c>
      <c r="AA33" s="85">
        <f ca="1">AA32+X33-AA32/'Static Parameters'!D$27</f>
        <v>224.21854560596162</v>
      </c>
      <c r="AB33" s="85">
        <f ca="1">AB32+Y33-AB32/'Static Parameters'!E$27</f>
        <v>49.259443557120669</v>
      </c>
      <c r="AC33" s="85">
        <f ca="1">Z33-W33*'Static Parameters'!C$27/'Static Parameters'!C$26</f>
        <v>77.773499894372094</v>
      </c>
      <c r="AD33" s="85">
        <f ca="1">AA33-X33*'Static Parameters'!D$27/'Static Parameters'!D$26</f>
        <v>190.77998628932352</v>
      </c>
      <c r="AE33" s="85">
        <f ca="1">AB33-Y33*'Static Parameters'!E$27/'Static Parameters'!E$26</f>
        <v>48.417823841413394</v>
      </c>
      <c r="AF33" s="85">
        <f ca="1">AG32*'Model - Scarcity &amp; Growth Rates'!K32*(1-'Model - Supply'!AF32/'Static Parameters'!C$33)+'Model - Supply'!AF32</f>
        <v>130.10320208169318</v>
      </c>
      <c r="AG33" s="85">
        <f ca="1">AF33-AF33/'Static Parameters'!$C$34</f>
        <v>65.051601040846592</v>
      </c>
      <c r="AH33" s="85">
        <f t="shared" ca="1" si="15"/>
        <v>321.40571582891465</v>
      </c>
      <c r="AI33" s="85">
        <f t="shared" ca="1" si="16"/>
        <v>65.051601040846592</v>
      </c>
      <c r="AJ33" s="85">
        <f t="shared" ca="1" si="5"/>
        <v>1.5409561568150731</v>
      </c>
      <c r="AK33" s="85">
        <f t="shared" ca="1" si="6"/>
        <v>7.5518211286941639E-2</v>
      </c>
      <c r="AL33" s="85">
        <f t="shared" ca="1" si="7"/>
        <v>0.32941505248265462</v>
      </c>
      <c r="AM33" s="85">
        <f t="shared" ca="1" si="8"/>
        <v>2.4885163832209409</v>
      </c>
      <c r="AN33" s="85">
        <f t="shared" ca="1" si="9"/>
        <v>316.97131002510901</v>
      </c>
      <c r="AO33" s="85">
        <f t="shared" ca="1" si="10"/>
        <v>65.051601040846592</v>
      </c>
    </row>
    <row r="34" spans="1:41" x14ac:dyDescent="0.35">
      <c r="A34" s="13">
        <v>2052</v>
      </c>
      <c r="B34" s="12">
        <f ca="1">MAX(0,MIN(1,B33*(1+'Model - Scarcity &amp; Growth Rates'!$D33-'Model - Scarcity &amp; Growth Rates'!$E33)))</f>
        <v>1</v>
      </c>
      <c r="C34" s="12">
        <f ca="1">MAX(0,MIN(1,C33*(1+'Model - Scarcity &amp; Growth Rates'!$D33-'Model - Scarcity &amp; Growth Rates'!$E33)))</f>
        <v>1</v>
      </c>
      <c r="D34" s="12">
        <f ca="1">MAX(0,MIN(1,D33*(1+'Model - Scarcity &amp; Growth Rates'!$D33-'Model - Scarcity &amp; Growth Rates'!$E33)))</f>
        <v>1</v>
      </c>
      <c r="E34" s="12">
        <f ca="1">B34*('Model - Scarcity &amp; Growth Rates'!$D34*(1-'Model - Scarcity &amp; Growth Rates'!$I34)-'Model - Scarcity &amp; Growth Rates'!$I34)+(1-'Model - Supply'!B34)*('Model - Scarcity &amp; Growth Rates'!$E34*(1-'Model - Scarcity &amp; Growth Rates'!$I34)-'Model - Scarcity &amp; Growth Rates'!$I34)</f>
        <v>-0.34863591278951434</v>
      </c>
      <c r="F34" s="12">
        <f ca="1">C34*('Model - Scarcity &amp; Growth Rates'!$D34*(1-'Model - Scarcity &amp; Growth Rates'!$I34)-'Model - Scarcity &amp; Growth Rates'!$I34)+(1-'Model - Supply'!C34)*('Model - Scarcity &amp; Growth Rates'!$E34*(1-'Model - Scarcity &amp; Growth Rates'!$I34)-'Model - Scarcity &amp; Growth Rates'!$I34)</f>
        <v>-0.34863591278951434</v>
      </c>
      <c r="G34" s="12">
        <f ca="1">D34*('Model - Scarcity &amp; Growth Rates'!$D34*(1-'Model - Scarcity &amp; Growth Rates'!$I34)-'Model - Scarcity &amp; Growth Rates'!$I34)+(1-'Model - Supply'!D34)*('Model - Scarcity &amp; Growth Rates'!$E34*(1-'Model - Scarcity &amp; Growth Rates'!$I34)-'Model - Scarcity &amp; Growth Rates'!$I34)</f>
        <v>-0.34863591278951434</v>
      </c>
      <c r="H34" s="12">
        <f ca="1">'Model - Scarcity &amp; Growth Rates'!J34</f>
        <v>2.5962876976956473E-2</v>
      </c>
      <c r="I34" s="21">
        <f ca="1">(1+E33)*I33*(1-(SUM(I$5:I33)/'Static Parameters'!C$17)^2)</f>
        <v>4.5680978789355589</v>
      </c>
      <c r="J34" s="21">
        <f ca="1">(1+F33)*J33*(1-(SUM(J$5:J33)/'Static Parameters'!D$17)^2)</f>
        <v>0.21474475608612612</v>
      </c>
      <c r="K34" s="21">
        <f ca="1">(1+G33)*K33*(1-(SUM(K$5:K33)/'Static Parameters'!E$17)^2)</f>
        <v>0.8719373366474702</v>
      </c>
      <c r="L34" s="21">
        <f ca="1">(1+H33)*L33*(1-(SUM(L$5:L33)/'Static Parameters'!F$17)^2)</f>
        <v>1.4516238193429065</v>
      </c>
      <c r="M34" s="21">
        <f ca="1">I34*B34*'Static Parameters'!C$15</f>
        <v>1.0506625121551785</v>
      </c>
      <c r="N34" s="21">
        <f ca="1">J34*C34*'Static Parameters'!D$15</f>
        <v>4.9391293899809008E-2</v>
      </c>
      <c r="O34" s="21">
        <f ca="1">K34*D34*'Static Parameters'!E$15</f>
        <v>0.20926496079539283</v>
      </c>
      <c r="P34" s="84">
        <f t="shared" ca="1" si="11"/>
        <v>1.4516238193429065</v>
      </c>
      <c r="Q34" s="54">
        <f t="shared" ca="1" si="12"/>
        <v>0</v>
      </c>
      <c r="R34" s="54">
        <f t="shared" ca="1" si="13"/>
        <v>0</v>
      </c>
      <c r="S34" s="54">
        <f t="shared" ca="1" si="14"/>
        <v>0</v>
      </c>
      <c r="T34" s="85">
        <f ca="1">I34*'Static Parameters'!C$19/(44/12)/1000</f>
        <v>0.1199748615658621</v>
      </c>
      <c r="U34" s="85">
        <f ca="1">J34*'Static Parameters'!D$19/(44/12)/1000</f>
        <v>4.2929428966671937E-3</v>
      </c>
      <c r="V34" s="85">
        <f ca="1">K34*'Static Parameters'!E$19/(44/12)/1000</f>
        <v>1.3340641250706295E-2</v>
      </c>
      <c r="W34" s="85">
        <f ca="1">MAX(0,AC33*'Model - Scarcity &amp; Growth Rates'!$J33*(1-'Model - Supply'!Z33/'Static Parameters'!C$25)+'Model - Supply'!Z33/'Static Parameters'!C$27)</f>
        <v>7.3044380843525767</v>
      </c>
      <c r="X34" s="85">
        <f ca="1">MAX(0,AD33*'Model - Scarcity &amp; Growth Rates'!$J33*(1-'Model - Supply'!AA33/'Static Parameters'!D$25)+'Model - Supply'!AA33/'Static Parameters'!D$27)</f>
        <v>20.12397365673916</v>
      </c>
      <c r="Y34" s="85">
        <f ca="1">MAX(0,AE33*'Model - Scarcity &amp; Growth Rates'!$J33*(1-'Model - Supply'!AB33/'Static Parameters'!E$25)+'Model - Supply'!AB33/'Static Parameters'!E$27)</f>
        <v>0.71848470776147944</v>
      </c>
      <c r="Z34" s="85">
        <f ca="1">Z33+W34-Z33/'Static Parameters'!C$27</f>
        <v>97.309298301743127</v>
      </c>
      <c r="AA34" s="85">
        <f ca="1">AA33+X34-AA33/'Static Parameters'!D$27</f>
        <v>235.37377743846233</v>
      </c>
      <c r="AB34" s="85">
        <f ca="1">AB33+Y34-AB33/'Static Parameters'!E$27</f>
        <v>49.321135684120534</v>
      </c>
      <c r="AC34" s="85">
        <f ca="1">Z34-W34*'Static Parameters'!C$27/'Static Parameters'!C$26</f>
        <v>85.13523482782216</v>
      </c>
      <c r="AD34" s="85">
        <f ca="1">AA34-X34*'Static Parameters'!D$27/'Static Parameters'!D$26</f>
        <v>210.21881036753837</v>
      </c>
      <c r="AE34" s="85">
        <f ca="1">AB34-Y34*'Static Parameters'!E$27/'Static Parameters'!E$26</f>
        <v>48.551330640090377</v>
      </c>
      <c r="AF34" s="85">
        <f ca="1">AG33*'Model - Scarcity &amp; Growth Rates'!K33*(1-'Model - Supply'!AF33/'Static Parameters'!C$33)+'Model - Supply'!AF33</f>
        <v>122.52546716111621</v>
      </c>
      <c r="AG34" s="85">
        <f ca="1">AF34-AF34/'Static Parameters'!$C$34</f>
        <v>61.262733580558105</v>
      </c>
      <c r="AH34" s="85">
        <f t="shared" ca="1" si="15"/>
        <v>346.66631842164418</v>
      </c>
      <c r="AI34" s="85">
        <f t="shared" ca="1" si="16"/>
        <v>61.262733580558105</v>
      </c>
      <c r="AJ34" s="85">
        <f t="shared" ca="1" si="5"/>
        <v>1.0506625121551785</v>
      </c>
      <c r="AK34" s="85">
        <f t="shared" ca="1" si="6"/>
        <v>4.9391293899809008E-2</v>
      </c>
      <c r="AL34" s="85">
        <f t="shared" ca="1" si="7"/>
        <v>0.20926496079539283</v>
      </c>
      <c r="AM34" s="85">
        <f t="shared" ca="1" si="8"/>
        <v>1.4516238193429065</v>
      </c>
      <c r="AN34" s="85">
        <f t="shared" ca="1" si="9"/>
        <v>343.90537583545091</v>
      </c>
      <c r="AO34" s="85">
        <f t="shared" ca="1" si="10"/>
        <v>61.262733580558105</v>
      </c>
    </row>
    <row r="35" spans="1:41" x14ac:dyDescent="0.35">
      <c r="A35" s="13">
        <v>2053</v>
      </c>
      <c r="B35" s="12">
        <f ca="1">MAX(0,MIN(1,B34*(1+'Model - Scarcity &amp; Growth Rates'!$D34-'Model - Scarcity &amp; Growth Rates'!$E34)))</f>
        <v>1</v>
      </c>
      <c r="C35" s="12">
        <f ca="1">MAX(0,MIN(1,C34*(1+'Model - Scarcity &amp; Growth Rates'!$D34-'Model - Scarcity &amp; Growth Rates'!$E34)))</f>
        <v>1</v>
      </c>
      <c r="D35" s="12">
        <f ca="1">MAX(0,MIN(1,D34*(1+'Model - Scarcity &amp; Growth Rates'!$D34-'Model - Scarcity &amp; Growth Rates'!$E34)))</f>
        <v>1</v>
      </c>
      <c r="E35" s="12">
        <f ca="1">B35*('Model - Scarcity &amp; Growth Rates'!$D35*(1-'Model - Scarcity &amp; Growth Rates'!$I35)-'Model - Scarcity &amp; Growth Rates'!$I35)+(1-'Model - Supply'!B35)*('Model - Scarcity &amp; Growth Rates'!$E35*(1-'Model - Scarcity &amp; Growth Rates'!$I35)-'Model - Scarcity &amp; Growth Rates'!$I35)</f>
        <v>-0.37209365113843362</v>
      </c>
      <c r="F35" s="12">
        <f ca="1">C35*('Model - Scarcity &amp; Growth Rates'!$D35*(1-'Model - Scarcity &amp; Growth Rates'!$I35)-'Model - Scarcity &amp; Growth Rates'!$I35)+(1-'Model - Supply'!C35)*('Model - Scarcity &amp; Growth Rates'!$E35*(1-'Model - Scarcity &amp; Growth Rates'!$I35)-'Model - Scarcity &amp; Growth Rates'!$I35)</f>
        <v>-0.37209365113843362</v>
      </c>
      <c r="G35" s="12">
        <f ca="1">D35*('Model - Scarcity &amp; Growth Rates'!$D35*(1-'Model - Scarcity &amp; Growth Rates'!$I35)-'Model - Scarcity &amp; Growth Rates'!$I35)+(1-'Model - Supply'!D35)*('Model - Scarcity &amp; Growth Rates'!$E35*(1-'Model - Scarcity &amp; Growth Rates'!$I35)-'Model - Scarcity &amp; Growth Rates'!$I35)</f>
        <v>-0.37209365113843362</v>
      </c>
      <c r="H35" s="12">
        <f ca="1">'Model - Scarcity &amp; Growth Rates'!J35</f>
        <v>-7.8750152998893382E-3</v>
      </c>
      <c r="I35" s="21">
        <f ca="1">(1+E34)*I34*(1-(SUM(I$5:I34)/'Static Parameters'!C$17)^2)</f>
        <v>2.9323765275202978</v>
      </c>
      <c r="J35" s="21">
        <f ca="1">(1+F34)*J34*(1-(SUM(J$5:J34)/'Static Parameters'!D$17)^2)</f>
        <v>0.13223515213256573</v>
      </c>
      <c r="K35" s="21">
        <f ca="1">(1+G34)*K34*(1-(SUM(K$5:K34)/'Static Parameters'!E$17)^2)</f>
        <v>0.5214769518092861</v>
      </c>
      <c r="L35" s="21">
        <f ca="1">(1+H34)*L34*(1-(SUM(L$5:L34)/'Static Parameters'!F$17)^2)</f>
        <v>0.79760544429151514</v>
      </c>
      <c r="M35" s="21">
        <f ca="1">I35*B35*'Static Parameters'!C$15</f>
        <v>0.67444660132966849</v>
      </c>
      <c r="N35" s="21">
        <f ca="1">J35*C35*'Static Parameters'!D$15</f>
        <v>3.0414084990490118E-2</v>
      </c>
      <c r="O35" s="21">
        <f ca="1">K35*D35*'Static Parameters'!E$15</f>
        <v>0.12515446843422867</v>
      </c>
      <c r="P35" s="84">
        <f t="shared" ca="1" si="11"/>
        <v>0.79760544429151514</v>
      </c>
      <c r="Q35" s="54">
        <f t="shared" ca="1" si="12"/>
        <v>0</v>
      </c>
      <c r="R35" s="54">
        <f t="shared" ca="1" si="13"/>
        <v>0</v>
      </c>
      <c r="S35" s="54">
        <f t="shared" ca="1" si="14"/>
        <v>0</v>
      </c>
      <c r="T35" s="85">
        <f ca="1">I35*'Static Parameters'!C$19/(44/12)/1000</f>
        <v>7.7014870800055812E-2</v>
      </c>
      <c r="U35" s="85">
        <f ca="1">J35*'Static Parameters'!D$19/(44/12)/1000</f>
        <v>2.6435009049046547E-3</v>
      </c>
      <c r="V35" s="85">
        <f ca="1">K35*'Static Parameters'!E$19/(44/12)/1000</f>
        <v>7.9785973626820775E-3</v>
      </c>
      <c r="W35" s="85">
        <f ca="1">MAX(0,AC34*'Model - Scarcity &amp; Growth Rates'!$J34*(1-'Model - Supply'!Z34/'Static Parameters'!C$25)+'Model - Supply'!Z34/'Static Parameters'!C$27)</f>
        <v>5.0272867844025209</v>
      </c>
      <c r="X35" s="85">
        <f ca="1">MAX(0,AD34*'Model - Scarcity &amp; Growth Rates'!$J34*(1-'Model - Supply'!AA34/'Static Parameters'!D$25)+'Model - Supply'!AA34/'Static Parameters'!D$27)</f>
        <v>13.037631872791701</v>
      </c>
      <c r="Y35" s="85">
        <f ca="1">MAX(0,AE34*'Model - Scarcity &amp; Growth Rates'!$J34*(1-'Model - Supply'!AB34/'Static Parameters'!E$25)+'Model - Supply'!AB34/'Static Parameters'!E$27)</f>
        <v>0.67472974937920172</v>
      </c>
      <c r="Z35" s="85">
        <f ca="1">Z34+W35-Z34/'Static Parameters'!C$27</f>
        <v>98.444213154075925</v>
      </c>
      <c r="AA35" s="85">
        <f ca="1">AA34+X35-AA34/'Static Parameters'!D$27</f>
        <v>238.99645821371553</v>
      </c>
      <c r="AB35" s="85">
        <f ca="1">AB34+Y35-AB34/'Static Parameters'!E$27</f>
        <v>49.338250291044794</v>
      </c>
      <c r="AC35" s="85">
        <f ca="1">Z35-W35*'Static Parameters'!C$27/'Static Parameters'!C$26</f>
        <v>90.065401846738382</v>
      </c>
      <c r="AD35" s="85">
        <f ca="1">AA35-X35*'Static Parameters'!D$27/'Static Parameters'!D$26</f>
        <v>222.69941837272592</v>
      </c>
      <c r="AE35" s="85">
        <f ca="1">AB35-Y35*'Static Parameters'!E$27/'Static Parameters'!E$26</f>
        <v>48.615325559567076</v>
      </c>
      <c r="AF35" s="85">
        <f ca="1">AG34*'Model - Scarcity &amp; Growth Rates'!K34*(1-'Model - Supply'!AF34/'Static Parameters'!C$33)+'Model - Supply'!AF34</f>
        <v>116.81407826035478</v>
      </c>
      <c r="AG35" s="85">
        <f ca="1">AF35-AF35/'Static Parameters'!$C$34</f>
        <v>58.407039130177388</v>
      </c>
      <c r="AH35" s="85">
        <f t="shared" ca="1" si="15"/>
        <v>363.00776637807724</v>
      </c>
      <c r="AI35" s="85">
        <f t="shared" ca="1" si="16"/>
        <v>58.407039130177388</v>
      </c>
      <c r="AJ35" s="85">
        <f t="shared" ca="1" si="5"/>
        <v>0.67444660132966849</v>
      </c>
      <c r="AK35" s="85">
        <f t="shared" ca="1" si="6"/>
        <v>3.0414084990490118E-2</v>
      </c>
      <c r="AL35" s="85">
        <f t="shared" ca="1" si="7"/>
        <v>0.12515446843422867</v>
      </c>
      <c r="AM35" s="85">
        <f t="shared" ca="1" si="8"/>
        <v>0.79760544429151514</v>
      </c>
      <c r="AN35" s="85">
        <f t="shared" ca="1" si="9"/>
        <v>361.38014577903135</v>
      </c>
      <c r="AO35" s="85">
        <f t="shared" ca="1" si="10"/>
        <v>58.407039130177388</v>
      </c>
    </row>
    <row r="36" spans="1:41" x14ac:dyDescent="0.35">
      <c r="A36" s="13">
        <v>2054</v>
      </c>
      <c r="B36" s="12">
        <f ca="1">MAX(0,MIN(1,B35*(1+'Model - Scarcity &amp; Growth Rates'!$D35-'Model - Scarcity &amp; Growth Rates'!$E35)))</f>
        <v>1</v>
      </c>
      <c r="C36" s="12">
        <f ca="1">MAX(0,MIN(1,C35*(1+'Model - Scarcity &amp; Growth Rates'!$D35-'Model - Scarcity &amp; Growth Rates'!$E35)))</f>
        <v>1</v>
      </c>
      <c r="D36" s="12">
        <f ca="1">MAX(0,MIN(1,D35*(1+'Model - Scarcity &amp; Growth Rates'!$D35-'Model - Scarcity &amp; Growth Rates'!$E35)))</f>
        <v>1</v>
      </c>
      <c r="E36" s="12">
        <f ca="1">B36*('Model - Scarcity &amp; Growth Rates'!$D36*(1-'Model - Scarcity &amp; Growth Rates'!$I36)-'Model - Scarcity &amp; Growth Rates'!$I36)+(1-'Model - Supply'!B36)*('Model - Scarcity &amp; Growth Rates'!$E36*(1-'Model - Scarcity &amp; Growth Rates'!$I36)-'Model - Scarcity &amp; Growth Rates'!$I36)</f>
        <v>-0.37688009510358211</v>
      </c>
      <c r="F36" s="12">
        <f ca="1">C36*('Model - Scarcity &amp; Growth Rates'!$D36*(1-'Model - Scarcity &amp; Growth Rates'!$I36)-'Model - Scarcity &amp; Growth Rates'!$I36)+(1-'Model - Supply'!C36)*('Model - Scarcity &amp; Growth Rates'!$E36*(1-'Model - Scarcity &amp; Growth Rates'!$I36)-'Model - Scarcity &amp; Growth Rates'!$I36)</f>
        <v>-0.37688009510358211</v>
      </c>
      <c r="G36" s="12">
        <f ca="1">D36*('Model - Scarcity &amp; Growth Rates'!$D36*(1-'Model - Scarcity &amp; Growth Rates'!$I36)-'Model - Scarcity &amp; Growth Rates'!$I36)+(1-'Model - Supply'!D36)*('Model - Scarcity &amp; Growth Rates'!$E36*(1-'Model - Scarcity &amp; Growth Rates'!$I36)-'Model - Scarcity &amp; Growth Rates'!$I36)</f>
        <v>-0.37688009510358211</v>
      </c>
      <c r="H36" s="12">
        <f ca="1">'Model - Scarcity &amp; Growth Rates'!J36</f>
        <v>-1.2552864373858909E-2</v>
      </c>
      <c r="I36" s="21">
        <f ca="1">(1+E35)*I35*(1-(SUM(I$5:I35)/'Static Parameters'!C$17)^2)</f>
        <v>1.8145242812964968</v>
      </c>
      <c r="J36" s="21">
        <f ca="1">(1+F35)*J35*(1-(SUM(J$5:J35)/'Static Parameters'!D$17)^2)</f>
        <v>7.8494510946001864E-2</v>
      </c>
      <c r="K36" s="21">
        <f ca="1">(1+G35)*K35*(1-(SUM(K$5:K35)/'Static Parameters'!E$17)^2)</f>
        <v>0.30063240344864434</v>
      </c>
      <c r="L36" s="21">
        <f ca="1">(1+H35)*L35*(1-(SUM(L$5:L35)/'Static Parameters'!F$17)^2)</f>
        <v>0.42311293929858523</v>
      </c>
      <c r="M36" s="21">
        <f ca="1">I36*B36*'Static Parameters'!C$15</f>
        <v>0.41734058469819429</v>
      </c>
      <c r="N36" s="21">
        <f ca="1">J36*C36*'Static Parameters'!D$15</f>
        <v>1.805373751758043E-2</v>
      </c>
      <c r="O36" s="21">
        <f ca="1">K36*D36*'Static Parameters'!E$15</f>
        <v>7.2151776827674638E-2</v>
      </c>
      <c r="P36" s="84">
        <f t="shared" ca="1" si="11"/>
        <v>0.42311293929858523</v>
      </c>
      <c r="Q36" s="54">
        <f t="shared" ca="1" si="12"/>
        <v>0</v>
      </c>
      <c r="R36" s="54">
        <f t="shared" ca="1" si="13"/>
        <v>0</v>
      </c>
      <c r="S36" s="54">
        <f t="shared" ca="1" si="14"/>
        <v>0</v>
      </c>
      <c r="T36" s="85">
        <f ca="1">I36*'Static Parameters'!C$19/(44/12)/1000</f>
        <v>4.7656005896959813E-2</v>
      </c>
      <c r="U36" s="85">
        <f ca="1">J36*'Static Parameters'!D$19/(44/12)/1000</f>
        <v>1.5691766324568916E-3</v>
      </c>
      <c r="V36" s="85">
        <f ca="1">K36*'Static Parameters'!E$19/(44/12)/1000</f>
        <v>4.5996757727642581E-3</v>
      </c>
      <c r="W36" s="85">
        <f ca="1">MAX(0,AC35*'Model - Scarcity &amp; Growth Rates'!$J35*(1-'Model - Supply'!Z35/'Static Parameters'!C$25)+'Model - Supply'!Z35/'Static Parameters'!C$27)</f>
        <v>3.5776179805828905</v>
      </c>
      <c r="X36" s="85">
        <f ca="1">MAX(0,AD35*'Model - Scarcity &amp; Growth Rates'!$J35*(1-'Model - Supply'!AA35/'Static Parameters'!D$25)+'Model - Supply'!AA35/'Static Parameters'!D$27)</f>
        <v>8.4048723525812701</v>
      </c>
      <c r="Y36" s="85">
        <f ca="1">MAX(0,AE35*'Model - Scarcity &amp; Growth Rates'!$J35*(1-'Model - Supply'!AB35/'Static Parameters'!E$25)+'Model - Supply'!AB35/'Static Parameters'!E$27)</f>
        <v>0.65277636690710206</v>
      </c>
      <c r="Z36" s="85">
        <f ca="1">Z35+W36-Z35/'Static Parameters'!C$27</f>
        <v>98.084062608495771</v>
      </c>
      <c r="AA36" s="85">
        <f ca="1">AA35+X36-AA35/'Static Parameters'!D$27</f>
        <v>237.84147223774818</v>
      </c>
      <c r="AB36" s="85">
        <f ca="1">AB35+Y36-AB35/'Static Parameters'!E$27</f>
        <v>49.333183320737966</v>
      </c>
      <c r="AC36" s="85">
        <f ca="1">Z36-W36*'Static Parameters'!C$27/'Static Parameters'!C$26</f>
        <v>92.121365974190951</v>
      </c>
      <c r="AD36" s="85">
        <f ca="1">AA36-X36*'Static Parameters'!D$27/'Static Parameters'!D$26</f>
        <v>227.3353817970216</v>
      </c>
      <c r="AE36" s="85">
        <f ca="1">AB36-Y36*'Static Parameters'!E$27/'Static Parameters'!E$26</f>
        <v>48.633780070480356</v>
      </c>
      <c r="AF36" s="85">
        <f ca="1">AG35*'Model - Scarcity &amp; Growth Rates'!K35*(1-'Model - Supply'!AF35/'Static Parameters'!C$33)+'Model - Supply'!AF35</f>
        <v>112.71268240964413</v>
      </c>
      <c r="AG36" s="85">
        <f ca="1">AF36-AF36/'Static Parameters'!$C$34</f>
        <v>56.356341204822066</v>
      </c>
      <c r="AH36" s="85">
        <f t="shared" ca="1" si="15"/>
        <v>369.02118688003497</v>
      </c>
      <c r="AI36" s="85">
        <f t="shared" ca="1" si="16"/>
        <v>56.356341204822066</v>
      </c>
      <c r="AJ36" s="85">
        <f t="shared" ca="1" si="5"/>
        <v>0.41734058469819429</v>
      </c>
      <c r="AK36" s="85">
        <f t="shared" ca="1" si="6"/>
        <v>1.805373751758043E-2</v>
      </c>
      <c r="AL36" s="85">
        <f t="shared" ca="1" si="7"/>
        <v>7.2151776827674638E-2</v>
      </c>
      <c r="AM36" s="85">
        <f t="shared" ca="1" si="8"/>
        <v>0.42311293929858523</v>
      </c>
      <c r="AN36" s="85">
        <f t="shared" ca="1" si="9"/>
        <v>368.09052784169296</v>
      </c>
      <c r="AO36" s="85">
        <f t="shared" ca="1" si="10"/>
        <v>56.356341204822066</v>
      </c>
    </row>
    <row r="37" spans="1:41" x14ac:dyDescent="0.35">
      <c r="A37" s="13">
        <v>2055</v>
      </c>
      <c r="B37" s="12">
        <f ca="1">MAX(0,MIN(1,B36*(1+'Model - Scarcity &amp; Growth Rates'!$D36-'Model - Scarcity &amp; Growth Rates'!$E36)))</f>
        <v>1</v>
      </c>
      <c r="C37" s="12">
        <f ca="1">MAX(0,MIN(1,C36*(1+'Model - Scarcity &amp; Growth Rates'!$D36-'Model - Scarcity &amp; Growth Rates'!$E36)))</f>
        <v>1</v>
      </c>
      <c r="D37" s="12">
        <f ca="1">MAX(0,MIN(1,D36*(1+'Model - Scarcity &amp; Growth Rates'!$D36-'Model - Scarcity &amp; Growth Rates'!$E36)))</f>
        <v>1</v>
      </c>
      <c r="E37" s="12">
        <f ca="1">B37*('Model - Scarcity &amp; Growth Rates'!$D37*(1-'Model - Scarcity &amp; Growth Rates'!$I37)-'Model - Scarcity &amp; Growth Rates'!$I37)+(1-'Model - Supply'!B37)*('Model - Scarcity &amp; Growth Rates'!$E37*(1-'Model - Scarcity &amp; Growth Rates'!$I37)-'Model - Scarcity &amp; Growth Rates'!$I37)</f>
        <v>-0.36862018499910809</v>
      </c>
      <c r="F37" s="12">
        <f ca="1">C37*('Model - Scarcity &amp; Growth Rates'!$D37*(1-'Model - Scarcity &amp; Growth Rates'!$I37)-'Model - Scarcity &amp; Growth Rates'!$I37)+(1-'Model - Supply'!C37)*('Model - Scarcity &amp; Growth Rates'!$E37*(1-'Model - Scarcity &amp; Growth Rates'!$I37)-'Model - Scarcity &amp; Growth Rates'!$I37)</f>
        <v>-0.36862018499910809</v>
      </c>
      <c r="G37" s="12">
        <f ca="1">D37*('Model - Scarcity &amp; Growth Rates'!$D37*(1-'Model - Scarcity &amp; Growth Rates'!$I37)-'Model - Scarcity &amp; Growth Rates'!$I37)+(1-'Model - Supply'!D37)*('Model - Scarcity &amp; Growth Rates'!$E37*(1-'Model - Scarcity &amp; Growth Rates'!$I37)-'Model - Scarcity &amp; Growth Rates'!$I37)</f>
        <v>-0.36862018499910809</v>
      </c>
      <c r="H37" s="12">
        <f ca="1">'Model - Scarcity &amp; Growth Rates'!J37</f>
        <v>3.2661723423966348E-3</v>
      </c>
      <c r="I37" s="21">
        <f ca="1">(1+E36)*I36*(1-(SUM(I$5:I36)/'Static Parameters'!C$17)^2)</f>
        <v>1.1142302297681355</v>
      </c>
      <c r="J37" s="21">
        <f ca="1">(1+F36)*J36*(1-(SUM(J$5:J36)/'Static Parameters'!D$17)^2)</f>
        <v>4.6238804629055129E-2</v>
      </c>
      <c r="K37" s="21">
        <f ca="1">(1+G36)*K36*(1-(SUM(K$5:K36)/'Static Parameters'!E$17)^2)</f>
        <v>0.17198934407356548</v>
      </c>
      <c r="L37" s="21">
        <f ca="1">(1+H36)*L36*(1-(SUM(L$5:L36)/'Static Parameters'!F$17)^2)</f>
        <v>0.22320278639366009</v>
      </c>
      <c r="M37" s="21">
        <f ca="1">I37*B37*'Static Parameters'!C$15</f>
        <v>0.25627295284667118</v>
      </c>
      <c r="N37" s="21">
        <f ca="1">J37*C37*'Static Parameters'!D$15</f>
        <v>1.0634925064682679E-2</v>
      </c>
      <c r="O37" s="21">
        <f ca="1">K37*D37*'Static Parameters'!E$15</f>
        <v>4.1277442577655712E-2</v>
      </c>
      <c r="P37" s="84">
        <f t="shared" ca="1" si="11"/>
        <v>0.22320278639366009</v>
      </c>
      <c r="Q37" s="54">
        <f t="shared" ca="1" si="12"/>
        <v>0</v>
      </c>
      <c r="R37" s="54">
        <f t="shared" ca="1" si="13"/>
        <v>0</v>
      </c>
      <c r="S37" s="54">
        <f t="shared" ca="1" si="14"/>
        <v>0</v>
      </c>
      <c r="T37" s="85">
        <f ca="1">I37*'Static Parameters'!C$19/(44/12)/1000</f>
        <v>2.9263737580001302E-2</v>
      </c>
      <c r="U37" s="85">
        <f ca="1">J37*'Static Parameters'!D$19/(44/12)/1000</f>
        <v>9.2435573981174742E-4</v>
      </c>
      <c r="V37" s="85">
        <f ca="1">K37*'Static Parameters'!E$19/(44/12)/1000</f>
        <v>2.6314369643255517E-3</v>
      </c>
      <c r="W37" s="85">
        <f ca="1">MAX(0,AC36*'Model - Scarcity &amp; Growth Rates'!$J36*(1-'Model - Supply'!Z36/'Static Parameters'!C$25)+'Model - Supply'!Z36/'Static Parameters'!C$27)</f>
        <v>3.3340911722491451</v>
      </c>
      <c r="X37" s="85">
        <f ca="1">MAX(0,AD36*'Model - Scarcity &amp; Growth Rates'!$J36*(1-'Model - Supply'!AA36/'Static Parameters'!D$25)+'Model - Supply'!AA36/'Static Parameters'!D$27)</f>
        <v>7.6295638728523674</v>
      </c>
      <c r="Y37" s="85">
        <f ca="1">MAX(0,AE36*'Model - Scarcity &amp; Growth Rates'!$J36*(1-'Model - Supply'!AB36/'Static Parameters'!E$25)+'Model - Supply'!AB36/'Static Parameters'!E$27)</f>
        <v>0.64963403604014514</v>
      </c>
      <c r="Z37" s="85">
        <f ca="1">Z36+W37-Z36/'Static Parameters'!C$27</f>
        <v>97.494791276405081</v>
      </c>
      <c r="AA37" s="85">
        <f ca="1">AA36+X37-AA36/'Static Parameters'!D$27</f>
        <v>235.95737722109061</v>
      </c>
      <c r="AB37" s="85">
        <f ca="1">AB36+Y37-AB36/'Static Parameters'!E$27</f>
        <v>49.325041579168271</v>
      </c>
      <c r="AC37" s="85">
        <f ca="1">Z37-W37*'Static Parameters'!C$27/'Static Parameters'!C$26</f>
        <v>91.937972655989839</v>
      </c>
      <c r="AD37" s="85">
        <f ca="1">AA37-X37*'Static Parameters'!D$27/'Static Parameters'!D$26</f>
        <v>226.42042238002514</v>
      </c>
      <c r="AE37" s="85">
        <f ca="1">AB37-Y37*'Static Parameters'!E$27/'Static Parameters'!E$26</f>
        <v>48.629005111982401</v>
      </c>
      <c r="AF37" s="85">
        <f ca="1">AG36*'Model - Scarcity &amp; Growth Rates'!K36*(1-'Model - Supply'!AF36/'Static Parameters'!C$33)+'Model - Supply'!AF36</f>
        <v>109.8949232881817</v>
      </c>
      <c r="AG37" s="85">
        <f ca="1">AF37-AF37/'Static Parameters'!$C$34</f>
        <v>54.947461644090851</v>
      </c>
      <c r="AH37" s="85">
        <f t="shared" ca="1" si="15"/>
        <v>367.51878825488006</v>
      </c>
      <c r="AI37" s="85">
        <f t="shared" ca="1" si="16"/>
        <v>54.947461644090851</v>
      </c>
      <c r="AJ37" s="85">
        <f t="shared" ca="1" si="5"/>
        <v>0.25627295284667118</v>
      </c>
      <c r="AK37" s="85">
        <f t="shared" ca="1" si="6"/>
        <v>1.0634925064682679E-2</v>
      </c>
      <c r="AL37" s="85">
        <f t="shared" ca="1" si="7"/>
        <v>4.1277442577655712E-2</v>
      </c>
      <c r="AM37" s="85">
        <f t="shared" ca="1" si="8"/>
        <v>0.22320278639366009</v>
      </c>
      <c r="AN37" s="85">
        <f t="shared" ca="1" si="9"/>
        <v>366.98740014799739</v>
      </c>
      <c r="AO37" s="85">
        <f t="shared" ca="1" si="10"/>
        <v>54.947461644090851</v>
      </c>
    </row>
    <row r="38" spans="1:41" x14ac:dyDescent="0.35">
      <c r="A38" s="13">
        <v>2056</v>
      </c>
      <c r="B38" s="12">
        <f ca="1">MAX(0,MIN(1,B37*(1+'Model - Scarcity &amp; Growth Rates'!$D37-'Model - Scarcity &amp; Growth Rates'!$E37)))</f>
        <v>1</v>
      </c>
      <c r="C38" s="12">
        <f ca="1">MAX(0,MIN(1,C37*(1+'Model - Scarcity &amp; Growth Rates'!$D37-'Model - Scarcity &amp; Growth Rates'!$E37)))</f>
        <v>1</v>
      </c>
      <c r="D38" s="12">
        <f ca="1">MAX(0,MIN(1,D37*(1+'Model - Scarcity &amp; Growth Rates'!$D37-'Model - Scarcity &amp; Growth Rates'!$E37)))</f>
        <v>1</v>
      </c>
      <c r="E38" s="12">
        <f ca="1">B38*('Model - Scarcity &amp; Growth Rates'!$D38*(1-'Model - Scarcity &amp; Growth Rates'!$I38)-'Model - Scarcity &amp; Growth Rates'!$I38)+(1-'Model - Supply'!B38)*('Model - Scarcity &amp; Growth Rates'!$E38*(1-'Model - Scarcity &amp; Growth Rates'!$I38)-'Model - Scarcity &amp; Growth Rates'!$I38)</f>
        <v>-0.35688906244800839</v>
      </c>
      <c r="F38" s="12">
        <f ca="1">C38*('Model - Scarcity &amp; Growth Rates'!$D38*(1-'Model - Scarcity &amp; Growth Rates'!$I38)-'Model - Scarcity &amp; Growth Rates'!$I38)+(1-'Model - Supply'!C38)*('Model - Scarcity &amp; Growth Rates'!$E38*(1-'Model - Scarcity &amp; Growth Rates'!$I38)-'Model - Scarcity &amp; Growth Rates'!$I38)</f>
        <v>-0.35688906244800839</v>
      </c>
      <c r="G38" s="12">
        <f ca="1">D38*('Model - Scarcity &amp; Growth Rates'!$D38*(1-'Model - Scarcity &amp; Growth Rates'!$I38)-'Model - Scarcity &amp; Growth Rates'!$I38)+(1-'Model - Supply'!D38)*('Model - Scarcity &amp; Growth Rates'!$E38*(1-'Model - Scarcity &amp; Growth Rates'!$I38)-'Model - Scarcity &amp; Growth Rates'!$I38)</f>
        <v>-0.35688906244800839</v>
      </c>
      <c r="H38" s="12">
        <f ca="1">'Model - Scarcity &amp; Growth Rates'!J38</f>
        <v>2.4503986470990044E-2</v>
      </c>
      <c r="I38" s="21">
        <f ca="1">(1+E37)*I37*(1-(SUM(I$5:I37)/'Static Parameters'!C$17)^2)</f>
        <v>0.69326848887658676</v>
      </c>
      <c r="J38" s="21">
        <f ca="1">(1+F37)*J37*(1-(SUM(J$5:J37)/'Static Parameters'!D$17)^2)</f>
        <v>2.7598908821539557E-2</v>
      </c>
      <c r="K38" s="21">
        <f ca="1">(1+G37)*K37*(1-(SUM(K$5:K37)/'Static Parameters'!E$17)^2)</f>
        <v>9.9696447546948647E-2</v>
      </c>
      <c r="L38" s="21">
        <f ca="1">(1+H37)*L37*(1-(SUM(L$5:L37)/'Static Parameters'!F$17)^2)</f>
        <v>0.11957726063362065</v>
      </c>
      <c r="M38" s="21">
        <f ca="1">I38*B38*'Static Parameters'!C$15</f>
        <v>0.15945175244161497</v>
      </c>
      <c r="N38" s="21">
        <f ca="1">J38*C38*'Static Parameters'!D$15</f>
        <v>6.3477490289540984E-3</v>
      </c>
      <c r="O38" s="21">
        <f ca="1">K38*D38*'Static Parameters'!E$15</f>
        <v>2.3927147411267675E-2</v>
      </c>
      <c r="P38" s="84">
        <f t="shared" ca="1" si="11"/>
        <v>0.11957726063362065</v>
      </c>
      <c r="Q38" s="54">
        <f t="shared" ca="1" si="12"/>
        <v>0</v>
      </c>
      <c r="R38" s="54">
        <f t="shared" ca="1" si="13"/>
        <v>0</v>
      </c>
      <c r="S38" s="54">
        <f t="shared" ca="1" si="14"/>
        <v>0</v>
      </c>
      <c r="T38" s="85">
        <f ca="1">I38*'Static Parameters'!C$19/(44/12)/1000</f>
        <v>1.8207751494222359E-2</v>
      </c>
      <c r="U38" s="85">
        <f ca="1">J38*'Static Parameters'!D$19/(44/12)/1000</f>
        <v>5.5172727725968625E-4</v>
      </c>
      <c r="V38" s="85">
        <f ca="1">K38*'Static Parameters'!E$19/(44/12)/1000</f>
        <v>1.5253556474683144E-3</v>
      </c>
      <c r="W38" s="85">
        <f ca="1">MAX(0,AC37*'Model - Scarcity &amp; Growth Rates'!$J37*(1-'Model - Supply'!Z37/'Static Parameters'!C$25)+'Model - Supply'!Z37/'Static Parameters'!C$27)</f>
        <v>4.0536956691172081</v>
      </c>
      <c r="X38" s="85">
        <f ca="1">MAX(0,AD37*'Model - Scarcity &amp; Growth Rates'!$J37*(1-'Model - Supply'!AA37/'Static Parameters'!D$25)+'Model - Supply'!AA37/'Static Parameters'!D$27)</f>
        <v>9.9285416160455995</v>
      </c>
      <c r="Y38" s="85">
        <f ca="1">MAX(0,AE37*'Model - Scarcity &amp; Growth Rates'!$J37*(1-'Model - Supply'!AB37/'Static Parameters'!E$25)+'Model - Supply'!AB37/'Static Parameters'!E$27)</f>
        <v>0.65981130358032214</v>
      </c>
      <c r="Z38" s="85">
        <f ca="1">Z37+W38-Z37/'Static Parameters'!C$27</f>
        <v>97.64869529446608</v>
      </c>
      <c r="AA38" s="85">
        <f ca="1">AA37+X38-AA37/'Static Parameters'!D$27</f>
        <v>236.44762374829259</v>
      </c>
      <c r="AB38" s="85">
        <f ca="1">AB37+Y38-AB37/'Static Parameters'!E$27</f>
        <v>49.327185661693015</v>
      </c>
      <c r="AC38" s="85">
        <f ca="1">Z38-W38*'Static Parameters'!C$27/'Static Parameters'!C$26</f>
        <v>90.892535845937402</v>
      </c>
      <c r="AD38" s="85">
        <f ca="1">AA38-X38*'Static Parameters'!D$27/'Static Parameters'!D$26</f>
        <v>224.03694672823559</v>
      </c>
      <c r="AE38" s="85">
        <f ca="1">AB38-Y38*'Static Parameters'!E$27/'Static Parameters'!E$26</f>
        <v>48.62024497928553</v>
      </c>
      <c r="AF38" s="85">
        <f ca="1">AG37*'Model - Scarcity &amp; Growth Rates'!K37*(1-'Model - Supply'!AF37/'Static Parameters'!C$33)+'Model - Supply'!AF37</f>
        <v>108.06071172544711</v>
      </c>
      <c r="AG38" s="85">
        <f ca="1">AF38-AF38/'Static Parameters'!$C$34</f>
        <v>54.030355862723553</v>
      </c>
      <c r="AH38" s="85">
        <f t="shared" ca="1" si="15"/>
        <v>363.85903146297397</v>
      </c>
      <c r="AI38" s="85">
        <f t="shared" ca="1" si="16"/>
        <v>54.030355862723553</v>
      </c>
      <c r="AJ38" s="85">
        <f t="shared" ca="1" si="5"/>
        <v>0.15945175244161497</v>
      </c>
      <c r="AK38" s="85">
        <f t="shared" ca="1" si="6"/>
        <v>6.3477490289540984E-3</v>
      </c>
      <c r="AL38" s="85">
        <f t="shared" ca="1" si="7"/>
        <v>2.3927147411267675E-2</v>
      </c>
      <c r="AM38" s="85">
        <f t="shared" ca="1" si="8"/>
        <v>0.11957726063362065</v>
      </c>
      <c r="AN38" s="85">
        <f t="shared" ca="1" si="9"/>
        <v>363.54972755345852</v>
      </c>
      <c r="AO38" s="85">
        <f t="shared" ca="1" si="10"/>
        <v>54.030355862723553</v>
      </c>
    </row>
    <row r="39" spans="1:41" x14ac:dyDescent="0.35">
      <c r="A39" s="13">
        <v>2057</v>
      </c>
      <c r="B39" s="12">
        <f ca="1">MAX(0,MIN(1,B38*(1+'Model - Scarcity &amp; Growth Rates'!$D38-'Model - Scarcity &amp; Growth Rates'!$E38)))</f>
        <v>1</v>
      </c>
      <c r="C39" s="12">
        <f ca="1">MAX(0,MIN(1,C38*(1+'Model - Scarcity &amp; Growth Rates'!$D38-'Model - Scarcity &amp; Growth Rates'!$E38)))</f>
        <v>1</v>
      </c>
      <c r="D39" s="12">
        <f ca="1">MAX(0,MIN(1,D38*(1+'Model - Scarcity &amp; Growth Rates'!$D38-'Model - Scarcity &amp; Growth Rates'!$E38)))</f>
        <v>1</v>
      </c>
      <c r="E39" s="12">
        <f ca="1">B39*('Model - Scarcity &amp; Growth Rates'!$D39*(1-'Model - Scarcity &amp; Growth Rates'!$I39)-'Model - Scarcity &amp; Growth Rates'!$I39)+(1-'Model - Supply'!B39)*('Model - Scarcity &amp; Growth Rates'!$E39*(1-'Model - Scarcity &amp; Growth Rates'!$I39)-'Model - Scarcity &amp; Growth Rates'!$I39)</f>
        <v>-0.34990624775775581</v>
      </c>
      <c r="F39" s="12">
        <f ca="1">C39*('Model - Scarcity &amp; Growth Rates'!$D39*(1-'Model - Scarcity &amp; Growth Rates'!$I39)-'Model - Scarcity &amp; Growth Rates'!$I39)+(1-'Model - Supply'!C39)*('Model - Scarcity &amp; Growth Rates'!$E39*(1-'Model - Scarcity &amp; Growth Rates'!$I39)-'Model - Scarcity &amp; Growth Rates'!$I39)</f>
        <v>-0.34990624775775581</v>
      </c>
      <c r="G39" s="12">
        <f ca="1">D39*('Model - Scarcity &amp; Growth Rates'!$D39*(1-'Model - Scarcity &amp; Growth Rates'!$I39)-'Model - Scarcity &amp; Growth Rates'!$I39)+(1-'Model - Supply'!D39)*('Model - Scarcity &amp; Growth Rates'!$E39*(1-'Model - Scarcity &amp; Growth Rates'!$I39)-'Model - Scarcity &amp; Growth Rates'!$I39)</f>
        <v>-0.34990624775775581</v>
      </c>
      <c r="H39" s="12">
        <f ca="1">'Model - Scarcity &amp; Growth Rates'!J39</f>
        <v>3.8082394614052092E-2</v>
      </c>
      <c r="I39" s="21">
        <f ca="1">(1+E38)*I38*(1-(SUM(I$5:I38)/'Static Parameters'!C$17)^2)</f>
        <v>0.43935974409915202</v>
      </c>
      <c r="J39" s="21">
        <f ca="1">(1+F38)*J38*(1-(SUM(J$5:J38)/'Static Parameters'!D$17)^2)</f>
        <v>1.677922089612096E-2</v>
      </c>
      <c r="K39" s="21">
        <f ca="1">(1+G38)*K38*(1-(SUM(K$5:K38)/'Static Parameters'!E$17)^2)</f>
        <v>5.886391703060307E-2</v>
      </c>
      <c r="L39" s="21">
        <f ca="1">(1+H38)*L38*(1-(SUM(L$5:L38)/'Static Parameters'!F$17)^2)</f>
        <v>6.540179556663013E-2</v>
      </c>
      <c r="M39" s="21">
        <f ca="1">I39*B39*'Static Parameters'!C$15</f>
        <v>0.10105274114280496</v>
      </c>
      <c r="N39" s="21">
        <f ca="1">J39*C39*'Static Parameters'!D$15</f>
        <v>3.8592208061078207E-3</v>
      </c>
      <c r="O39" s="21">
        <f ca="1">K39*D39*'Static Parameters'!E$15</f>
        <v>1.4127340087344736E-2</v>
      </c>
      <c r="P39" s="84">
        <f t="shared" ca="1" si="11"/>
        <v>6.540179556663013E-2</v>
      </c>
      <c r="Q39" s="54">
        <f t="shared" ca="1" si="12"/>
        <v>0</v>
      </c>
      <c r="R39" s="54">
        <f t="shared" ca="1" si="13"/>
        <v>0</v>
      </c>
      <c r="S39" s="54">
        <f t="shared" ca="1" si="14"/>
        <v>0</v>
      </c>
      <c r="T39" s="85">
        <f ca="1">I39*'Static Parameters'!C$19/(44/12)/1000</f>
        <v>1.1539184551840456E-2</v>
      </c>
      <c r="U39" s="85">
        <f ca="1">J39*'Static Parameters'!D$19/(44/12)/1000</f>
        <v>3.3543187955063623E-4</v>
      </c>
      <c r="V39" s="85">
        <f ca="1">K39*'Static Parameters'!E$19/(44/12)/1000</f>
        <v>9.0061793056822701E-4</v>
      </c>
      <c r="W39" s="85">
        <f ca="1">MAX(0,AC38*'Model - Scarcity &amp; Growth Rates'!$J38*(1-'Model - Supply'!Z38/'Static Parameters'!C$25)+'Model - Supply'!Z38/'Static Parameters'!C$27)</f>
        <v>5.0457470217701452</v>
      </c>
      <c r="X39" s="85">
        <f ca="1">MAX(0,AD38*'Model - Scarcity &amp; Growth Rates'!$J38*(1-'Model - Supply'!AA38/'Static Parameters'!D$25)+'Model - Supply'!AA38/'Static Parameters'!D$27)</f>
        <v>13.09334645350167</v>
      </c>
      <c r="Y39" s="85">
        <f ca="1">MAX(0,AE38*'Model - Scarcity &amp; Growth Rates'!$J38*(1-'Model - Supply'!AB38/'Static Parameters'!E$25)+'Model - Supply'!AB38/'Static Parameters'!E$27)</f>
        <v>0.67372749196057291</v>
      </c>
      <c r="Z39" s="85">
        <f ca="1">Z38+W39-Z38/'Static Parameters'!C$27</f>
        <v>98.788494504457574</v>
      </c>
      <c r="AA39" s="85">
        <f ca="1">AA38+X39-AA38/'Static Parameters'!D$27</f>
        <v>240.08306525186256</v>
      </c>
      <c r="AB39" s="85">
        <f ca="1">AB38+Y39-AB38/'Static Parameters'!E$27</f>
        <v>49.343217344831011</v>
      </c>
      <c r="AC39" s="85">
        <f ca="1">Z39-W39*'Static Parameters'!C$27/'Static Parameters'!C$26</f>
        <v>90.378916134840665</v>
      </c>
      <c r="AD39" s="85">
        <f ca="1">AA39-X39*'Static Parameters'!D$27/'Static Parameters'!D$26</f>
        <v>223.71638218498549</v>
      </c>
      <c r="AE39" s="85">
        <f ca="1">AB39-Y39*'Static Parameters'!E$27/'Static Parameters'!E$26</f>
        <v>48.621366460587538</v>
      </c>
      <c r="AF39" s="85">
        <f ca="1">AG38*'Model - Scarcity &amp; Growth Rates'!K38*(1-'Model - Supply'!AF38/'Static Parameters'!C$33)+'Model - Supply'!AF38</f>
        <v>106.9663878921241</v>
      </c>
      <c r="AG39" s="85">
        <f ca="1">AF39-AF39/'Static Parameters'!$C$34</f>
        <v>53.483193946062052</v>
      </c>
      <c r="AH39" s="85">
        <f t="shared" ca="1" si="15"/>
        <v>362.90110587801655</v>
      </c>
      <c r="AI39" s="85">
        <f t="shared" ca="1" si="16"/>
        <v>53.483193946062052</v>
      </c>
      <c r="AJ39" s="85">
        <f t="shared" ca="1" si="5"/>
        <v>0.10105274114280496</v>
      </c>
      <c r="AK39" s="85">
        <f t="shared" ca="1" si="6"/>
        <v>3.8592208061078207E-3</v>
      </c>
      <c r="AL39" s="85">
        <f t="shared" ca="1" si="7"/>
        <v>1.4127340087344736E-2</v>
      </c>
      <c r="AM39" s="85">
        <f t="shared" ca="1" si="8"/>
        <v>6.540179556663013E-2</v>
      </c>
      <c r="AN39" s="85">
        <f t="shared" ca="1" si="9"/>
        <v>362.71666478041368</v>
      </c>
      <c r="AO39" s="85">
        <f t="shared" ca="1" si="10"/>
        <v>53.483193946062052</v>
      </c>
    </row>
    <row r="40" spans="1:41" x14ac:dyDescent="0.35">
      <c r="A40" s="13">
        <v>2058</v>
      </c>
      <c r="B40" s="12">
        <f ca="1">MAX(0,MIN(1,B39*(1+'Model - Scarcity &amp; Growth Rates'!$D39-'Model - Scarcity &amp; Growth Rates'!$E39)))</f>
        <v>1</v>
      </c>
      <c r="C40" s="12">
        <f ca="1">MAX(0,MIN(1,C39*(1+'Model - Scarcity &amp; Growth Rates'!$D39-'Model - Scarcity &amp; Growth Rates'!$E39)))</f>
        <v>1</v>
      </c>
      <c r="D40" s="12">
        <f ca="1">MAX(0,MIN(1,D39*(1+'Model - Scarcity &amp; Growth Rates'!$D39-'Model - Scarcity &amp; Growth Rates'!$E39)))</f>
        <v>1</v>
      </c>
      <c r="E40" s="12">
        <f ca="1">B40*('Model - Scarcity &amp; Growth Rates'!$D40*(1-'Model - Scarcity &amp; Growth Rates'!$I40)-'Model - Scarcity &amp; Growth Rates'!$I40)+(1-'Model - Supply'!B40)*('Model - Scarcity &amp; Growth Rates'!$E40*(1-'Model - Scarcity &amp; Growth Rates'!$I40)-'Model - Scarcity &amp; Growth Rates'!$I40)</f>
        <v>-0.35048148313025973</v>
      </c>
      <c r="F40" s="12">
        <f ca="1">C40*('Model - Scarcity &amp; Growth Rates'!$D40*(1-'Model - Scarcity &amp; Growth Rates'!$I40)-'Model - Scarcity &amp; Growth Rates'!$I40)+(1-'Model - Supply'!C40)*('Model - Scarcity &amp; Growth Rates'!$E40*(1-'Model - Scarcity &amp; Growth Rates'!$I40)-'Model - Scarcity &amp; Growth Rates'!$I40)</f>
        <v>-0.35048148313025973</v>
      </c>
      <c r="G40" s="12">
        <f ca="1">D40*('Model - Scarcity &amp; Growth Rates'!$D40*(1-'Model - Scarcity &amp; Growth Rates'!$I40)-'Model - Scarcity &amp; Growth Rates'!$I40)+(1-'Model - Supply'!D40)*('Model - Scarcity &amp; Growth Rates'!$E40*(1-'Model - Scarcity &amp; Growth Rates'!$I40)-'Model - Scarcity &amp; Growth Rates'!$I40)</f>
        <v>-0.35048148313025973</v>
      </c>
      <c r="H40" s="12">
        <f ca="1">'Model - Scarcity &amp; Growth Rates'!J40</f>
        <v>3.9459940240036039E-2</v>
      </c>
      <c r="I40" s="21">
        <f ca="1">(1+E39)*I39*(1-(SUM(I$5:I39)/'Static Parameters'!C$17)^2)</f>
        <v>0.28146688547494797</v>
      </c>
      <c r="J40" s="21">
        <f ca="1">(1+F39)*J39*(1-(SUM(J$5:J39)/'Static Parameters'!D$17)^2)</f>
        <v>1.0311963831424926E-2</v>
      </c>
      <c r="K40" s="21">
        <f ca="1">(1+G39)*K39*(1-(SUM(K$5:K39)/'Static Parameters'!E$17)^2)</f>
        <v>3.5132288797561015E-2</v>
      </c>
      <c r="L40" s="21">
        <f ca="1">(1+H39)*L39*(1-(SUM(L$5:L39)/'Static Parameters'!F$17)^2)</f>
        <v>3.6240255587862327E-2</v>
      </c>
      <c r="M40" s="21">
        <f ca="1">I40*B40*'Static Parameters'!C$15</f>
        <v>6.4737383659238035E-2</v>
      </c>
      <c r="N40" s="21">
        <f ca="1">J40*C40*'Static Parameters'!D$15</f>
        <v>2.3717516812277331E-3</v>
      </c>
      <c r="O40" s="21">
        <f ca="1">K40*D40*'Static Parameters'!E$15</f>
        <v>8.4317493114146429E-3</v>
      </c>
      <c r="P40" s="84">
        <f t="shared" ca="1" si="11"/>
        <v>3.6240255587862327E-2</v>
      </c>
      <c r="Q40" s="54">
        <f t="shared" ca="1" si="12"/>
        <v>0</v>
      </c>
      <c r="R40" s="54">
        <f t="shared" ca="1" si="13"/>
        <v>0</v>
      </c>
      <c r="S40" s="54">
        <f t="shared" ca="1" si="14"/>
        <v>0</v>
      </c>
      <c r="T40" s="85">
        <f ca="1">I40*'Static Parameters'!C$19/(44/12)/1000</f>
        <v>7.3923439285193161E-3</v>
      </c>
      <c r="U40" s="85">
        <f ca="1">J40*'Static Parameters'!D$19/(44/12)/1000</f>
        <v>2.0614553150275831E-4</v>
      </c>
      <c r="V40" s="85">
        <f ca="1">K40*'Static Parameters'!E$19/(44/12)/1000</f>
        <v>5.3752401860268357E-4</v>
      </c>
      <c r="W40" s="85">
        <f ca="1">MAX(0,AC39*'Model - Scarcity &amp; Growth Rates'!$J39*(1-'Model - Supply'!Z39/'Static Parameters'!C$25)+'Model - Supply'!Z39/'Static Parameters'!C$27)</f>
        <v>5.6933116286842989</v>
      </c>
      <c r="X40" s="85">
        <f ca="1">MAX(0,AD39*'Model - Scarcity &amp; Growth Rates'!$J39*(1-'Model - Supply'!AA39/'Static Parameters'!D$25)+'Model - Supply'!AA39/'Static Parameters'!D$27)</f>
        <v>15.20094241685252</v>
      </c>
      <c r="Y40" s="85">
        <f ca="1">MAX(0,AE39*'Model - Scarcity &amp; Growth Rates'!$J39*(1-'Model - Supply'!AB39/'Static Parameters'!E$25)+'Model - Supply'!AB39/'Static Parameters'!E$27)</f>
        <v>0.68223177716937822</v>
      </c>
      <c r="Z40" s="85">
        <f ca="1">Z39+W40-Z39/'Static Parameters'!C$27</f>
        <v>100.53026635296357</v>
      </c>
      <c r="AA40" s="85">
        <f ca="1">AA39+X40-AA39/'Static Parameters'!D$27</f>
        <v>245.68068505864056</v>
      </c>
      <c r="AB40" s="85">
        <f ca="1">AB39+Y40-AB39/'Static Parameters'!E$27</f>
        <v>49.367539557402644</v>
      </c>
      <c r="AC40" s="85">
        <f ca="1">Z40-W40*'Static Parameters'!C$27/'Static Parameters'!C$26</f>
        <v>91.041413638489729</v>
      </c>
      <c r="AD40" s="85">
        <f ca="1">AA40-X40*'Static Parameters'!D$27/'Static Parameters'!D$26</f>
        <v>226.67950703757492</v>
      </c>
      <c r="AE40" s="85">
        <f ca="1">AB40-Y40*'Static Parameters'!E$27/'Static Parameters'!E$26</f>
        <v>48.636576939006879</v>
      </c>
      <c r="AF40" s="85">
        <f ca="1">AG39*'Model - Scarcity &amp; Growth Rates'!K39*(1-'Model - Supply'!AF39/'Static Parameters'!C$33)+'Model - Supply'!AF39</f>
        <v>106.42426770166314</v>
      </c>
      <c r="AG40" s="85">
        <f ca="1">AF40-AF40/'Static Parameters'!$C$34</f>
        <v>53.21213385083157</v>
      </c>
      <c r="AH40" s="85">
        <f t="shared" ca="1" si="15"/>
        <v>366.46927875531128</v>
      </c>
      <c r="AI40" s="85">
        <f t="shared" ca="1" si="16"/>
        <v>53.21213385083157</v>
      </c>
      <c r="AJ40" s="85">
        <f t="shared" ca="1" si="5"/>
        <v>6.4737383659238035E-2</v>
      </c>
      <c r="AK40" s="85">
        <f t="shared" ca="1" si="6"/>
        <v>2.3717516812277331E-3</v>
      </c>
      <c r="AL40" s="85">
        <f t="shared" ca="1" si="7"/>
        <v>8.4317493114146429E-3</v>
      </c>
      <c r="AM40" s="85">
        <f t="shared" ca="1" si="8"/>
        <v>3.6240255587862327E-2</v>
      </c>
      <c r="AN40" s="85">
        <f t="shared" ca="1" si="9"/>
        <v>366.35749761507157</v>
      </c>
      <c r="AO40" s="85">
        <f t="shared" ca="1" si="10"/>
        <v>53.21213385083157</v>
      </c>
    </row>
    <row r="41" spans="1:41" x14ac:dyDescent="0.35">
      <c r="A41" s="13">
        <v>2059</v>
      </c>
      <c r="B41" s="12">
        <f ca="1">MAX(0,MIN(1,B40*(1+'Model - Scarcity &amp; Growth Rates'!$D40-'Model - Scarcity &amp; Growth Rates'!$E40)))</f>
        <v>1</v>
      </c>
      <c r="C41" s="12">
        <f ca="1">MAX(0,MIN(1,C40*(1+'Model - Scarcity &amp; Growth Rates'!$D40-'Model - Scarcity &amp; Growth Rates'!$E40)))</f>
        <v>1</v>
      </c>
      <c r="D41" s="12">
        <f ca="1">MAX(0,MIN(1,D40*(1+'Model - Scarcity &amp; Growth Rates'!$D40-'Model - Scarcity &amp; Growth Rates'!$E40)))</f>
        <v>1</v>
      </c>
      <c r="E41" s="12">
        <f ca="1">B41*('Model - Scarcity &amp; Growth Rates'!$D41*(1-'Model - Scarcity &amp; Growth Rates'!$I41)-'Model - Scarcity &amp; Growth Rates'!$I41)+(1-'Model - Supply'!B41)*('Model - Scarcity &amp; Growth Rates'!$E41*(1-'Model - Scarcity &amp; Growth Rates'!$I41)-'Model - Scarcity &amp; Growth Rates'!$I41)</f>
        <v>-0.3563063531980043</v>
      </c>
      <c r="F41" s="12">
        <f ca="1">C41*('Model - Scarcity &amp; Growth Rates'!$D41*(1-'Model - Scarcity &amp; Growth Rates'!$I41)-'Model - Scarcity &amp; Growth Rates'!$I41)+(1-'Model - Supply'!C41)*('Model - Scarcity &amp; Growth Rates'!$E41*(1-'Model - Scarcity &amp; Growth Rates'!$I41)-'Model - Scarcity &amp; Growth Rates'!$I41)</f>
        <v>-0.3563063531980043</v>
      </c>
      <c r="G41" s="12">
        <f ca="1">D41*('Model - Scarcity &amp; Growth Rates'!$D41*(1-'Model - Scarcity &amp; Growth Rates'!$I41)-'Model - Scarcity &amp; Growth Rates'!$I41)+(1-'Model - Supply'!D41)*('Model - Scarcity &amp; Growth Rates'!$E41*(1-'Model - Scarcity &amp; Growth Rates'!$I41)-'Model - Scarcity &amp; Growth Rates'!$I41)</f>
        <v>-0.3563063531980043</v>
      </c>
      <c r="H41" s="12">
        <f ca="1">'Model - Scarcity &amp; Growth Rates'!J41</f>
        <v>3.2272058342175995E-2</v>
      </c>
      <c r="I41" s="21">
        <f ca="1">(1+E40)*I40*(1-(SUM(I$5:I40)/'Static Parameters'!C$17)^2)</f>
        <v>0.18015599118284567</v>
      </c>
      <c r="J41" s="21">
        <f ca="1">(1+F40)*J40*(1-(SUM(J$5:J40)/'Static Parameters'!D$17)^2)</f>
        <v>6.331786717450113E-3</v>
      </c>
      <c r="K41" s="21">
        <f ca="1">(1+G40)*K40*(1-(SUM(K$5:K40)/'Static Parameters'!E$17)^2)</f>
        <v>2.0949704920299829E-2</v>
      </c>
      <c r="L41" s="21">
        <f ca="1">(1+H40)*L40*(1-(SUM(L$5:L40)/'Static Parameters'!F$17)^2)</f>
        <v>2.0106515127064468E-2</v>
      </c>
      <c r="M41" s="21">
        <f ca="1">I41*B41*'Static Parameters'!C$15</f>
        <v>4.1435877972054509E-2</v>
      </c>
      <c r="N41" s="21">
        <f ca="1">J41*C41*'Static Parameters'!D$15</f>
        <v>1.4563109450135261E-3</v>
      </c>
      <c r="O41" s="21">
        <f ca="1">K41*D41*'Static Parameters'!E$15</f>
        <v>5.0279291808719585E-3</v>
      </c>
      <c r="P41" s="84">
        <f t="shared" ca="1" si="11"/>
        <v>2.0106515127064468E-2</v>
      </c>
      <c r="Q41" s="54">
        <f t="shared" ca="1" si="12"/>
        <v>0</v>
      </c>
      <c r="R41" s="54">
        <f t="shared" ca="1" si="13"/>
        <v>0</v>
      </c>
      <c r="S41" s="54">
        <f t="shared" ca="1" si="14"/>
        <v>0</v>
      </c>
      <c r="T41" s="85">
        <f ca="1">I41*'Static Parameters'!C$19/(44/12)/1000</f>
        <v>4.7315514411567384E-3</v>
      </c>
      <c r="U41" s="85">
        <f ca="1">J41*'Static Parameters'!D$19/(44/12)/1000</f>
        <v>1.265781726515709E-4</v>
      </c>
      <c r="V41" s="85">
        <f ca="1">K41*'Static Parameters'!E$19/(44/12)/1000</f>
        <v>3.2053048528058738E-4</v>
      </c>
      <c r="W41" s="85">
        <f ca="1">MAX(0,AC40*'Model - Scarcity &amp; Growth Rates'!$J40*(1-'Model - Supply'!Z40/'Static Parameters'!C$25)+'Model - Supply'!Z40/'Static Parameters'!C$27)</f>
        <v>5.8079301453749421</v>
      </c>
      <c r="X41" s="85">
        <f ca="1">MAX(0,AD40*'Model - Scarcity &amp; Growth Rates'!$J40*(1-'Model - Supply'!AA40/'Static Parameters'!D$25)+'Model - Supply'!AA40/'Static Parameters'!D$27)</f>
        <v>15.63262332414763</v>
      </c>
      <c r="Y41" s="85">
        <f ca="1">MAX(0,AE40*'Model - Scarcity &amp; Growth Rates'!$J40*(1-'Model - Supply'!AB40/'Static Parameters'!E$25)+'Model - Supply'!AB40/'Static Parameters'!E$27)</f>
        <v>0.68251017710344619</v>
      </c>
      <c r="Z41" s="85">
        <f ca="1">Z40+W41-Z40/'Static Parameters'!C$27</f>
        <v>102.31698584421996</v>
      </c>
      <c r="AA41" s="85">
        <f ca="1">AA40+X41-AA40/'Static Parameters'!D$27</f>
        <v>251.48608098044258</v>
      </c>
      <c r="AB41" s="85">
        <f ca="1">AB40+Y41-AB40/'Static Parameters'!E$27</f>
        <v>49.391815873740718</v>
      </c>
      <c r="AC41" s="85">
        <f ca="1">Z41-W41*'Static Parameters'!C$27/'Static Parameters'!C$26</f>
        <v>92.637102268595058</v>
      </c>
      <c r="AD41" s="85">
        <f ca="1">AA41-X41*'Static Parameters'!D$27/'Static Parameters'!D$26</f>
        <v>231.94530182525804</v>
      </c>
      <c r="AE41" s="85">
        <f ca="1">AB41-Y41*'Static Parameters'!E$27/'Static Parameters'!E$26</f>
        <v>48.660554969701309</v>
      </c>
      <c r="AF41" s="85">
        <f ca="1">AG40*'Model - Scarcity &amp; Growth Rates'!K40*(1-'Model - Supply'!AF40/'Static Parameters'!C$33)+'Model - Supply'!AF40</f>
        <v>106.29301362144427</v>
      </c>
      <c r="AG41" s="85">
        <f ca="1">AF41-AF41/'Static Parameters'!$C$34</f>
        <v>53.146506810722137</v>
      </c>
      <c r="AH41" s="85">
        <f t="shared" ca="1" si="15"/>
        <v>373.31098569677943</v>
      </c>
      <c r="AI41" s="85">
        <f t="shared" ca="1" si="16"/>
        <v>53.146506810722137</v>
      </c>
      <c r="AJ41" s="85">
        <f t="shared" ca="1" si="5"/>
        <v>4.1435877972054509E-2</v>
      </c>
      <c r="AK41" s="85">
        <f t="shared" ca="1" si="6"/>
        <v>1.4563109450135261E-3</v>
      </c>
      <c r="AL41" s="85">
        <f t="shared" ca="1" si="7"/>
        <v>5.0279291808719585E-3</v>
      </c>
      <c r="AM41" s="85">
        <f t="shared" ca="1" si="8"/>
        <v>2.0106515127064468E-2</v>
      </c>
      <c r="AN41" s="85">
        <f t="shared" ca="1" si="9"/>
        <v>373.24295906355439</v>
      </c>
      <c r="AO41" s="85">
        <f t="shared" ca="1" si="10"/>
        <v>53.146506810722137</v>
      </c>
    </row>
    <row r="42" spans="1:41" x14ac:dyDescent="0.35">
      <c r="A42" s="13">
        <v>2060</v>
      </c>
      <c r="B42" s="12">
        <f ca="1">MAX(0,MIN(1,B41*(1+'Model - Scarcity &amp; Growth Rates'!$D41-'Model - Scarcity &amp; Growth Rates'!$E41)))</f>
        <v>1</v>
      </c>
      <c r="C42" s="12">
        <f ca="1">MAX(0,MIN(1,C41*(1+'Model - Scarcity &amp; Growth Rates'!$D41-'Model - Scarcity &amp; Growth Rates'!$E41)))</f>
        <v>1</v>
      </c>
      <c r="D42" s="12">
        <f ca="1">MAX(0,MIN(1,D41*(1+'Model - Scarcity &amp; Growth Rates'!$D41-'Model - Scarcity &amp; Growth Rates'!$E41)))</f>
        <v>1</v>
      </c>
      <c r="E42" s="12">
        <f ca="1">B42*('Model - Scarcity &amp; Growth Rates'!$D42*(1-'Model - Scarcity &amp; Growth Rates'!$I42)-'Model - Scarcity &amp; Growth Rates'!$I42)+(1-'Model - Supply'!B42)*('Model - Scarcity &amp; Growth Rates'!$E42*(1-'Model - Scarcity &amp; Growth Rates'!$I42)-'Model - Scarcity &amp; Growth Rates'!$I42)</f>
        <v>-0.36326063306266021</v>
      </c>
      <c r="F42" s="12">
        <f ca="1">C42*('Model - Scarcity &amp; Growth Rates'!$D42*(1-'Model - Scarcity &amp; Growth Rates'!$I42)-'Model - Scarcity &amp; Growth Rates'!$I42)+(1-'Model - Supply'!C42)*('Model - Scarcity &amp; Growth Rates'!$E42*(1-'Model - Scarcity &amp; Growth Rates'!$I42)-'Model - Scarcity &amp; Growth Rates'!$I42)</f>
        <v>-0.36326063306266021</v>
      </c>
      <c r="G42" s="12">
        <f ca="1">D42*('Model - Scarcity &amp; Growth Rates'!$D42*(1-'Model - Scarcity &amp; Growth Rates'!$I42)-'Model - Scarcity &amp; Growth Rates'!$I42)+(1-'Model - Supply'!D42)*('Model - Scarcity &amp; Growth Rates'!$E42*(1-'Model - Scarcity &amp; Growth Rates'!$I42)-'Model - Scarcity &amp; Growth Rates'!$I42)</f>
        <v>-0.36326063306266021</v>
      </c>
      <c r="H42" s="12">
        <f ca="1">'Model - Scarcity &amp; Growth Rates'!J42</f>
        <v>2.310263165222616E-2</v>
      </c>
      <c r="I42" s="21">
        <f ca="1">(1+E41)*I41*(1-(SUM(I$5:I41)/'Static Parameters'!C$17)^2)</f>
        <v>0.11427652802732489</v>
      </c>
      <c r="J42" s="21">
        <f ca="1">(1+F41)*J41*(1-(SUM(J$5:J41)/'Static Parameters'!D$17)^2)</f>
        <v>3.8529973821220592E-3</v>
      </c>
      <c r="K42" s="21">
        <f ca="1">(1+G41)*K41*(1-(SUM(K$5:K41)/'Static Parameters'!E$17)^2)</f>
        <v>1.2380444821831793E-2</v>
      </c>
      <c r="L42" s="21">
        <f ca="1">(1+H41)*L41*(1-(SUM(L$5:L41)/'Static Parameters'!F$17)^2)</f>
        <v>1.1077736762084851E-2</v>
      </c>
      <c r="M42" s="21">
        <f ca="1">I42*B42*'Static Parameters'!C$15</f>
        <v>2.6283601446284728E-2</v>
      </c>
      <c r="N42" s="21">
        <f ca="1">J42*C42*'Static Parameters'!D$15</f>
        <v>8.8618939788807363E-4</v>
      </c>
      <c r="O42" s="21">
        <f ca="1">K42*D42*'Static Parameters'!E$15</f>
        <v>2.9713067572396303E-3</v>
      </c>
      <c r="P42" s="84">
        <f t="shared" ca="1" si="11"/>
        <v>1.1077736762084851E-2</v>
      </c>
      <c r="Q42" s="54">
        <f t="shared" ca="1" si="12"/>
        <v>0</v>
      </c>
      <c r="R42" s="54">
        <f t="shared" ca="1" si="13"/>
        <v>0</v>
      </c>
      <c r="S42" s="54">
        <f t="shared" ca="1" si="14"/>
        <v>0</v>
      </c>
      <c r="T42" s="85">
        <f ca="1">I42*'Static Parameters'!C$19/(44/12)/1000</f>
        <v>3.0013171770085605E-3</v>
      </c>
      <c r="U42" s="85">
        <f ca="1">J42*'Static Parameters'!D$19/(44/12)/1000</f>
        <v>7.7024920393512801E-5</v>
      </c>
      <c r="V42" s="85">
        <f ca="1">K42*'Static Parameters'!E$19/(44/12)/1000</f>
        <v>1.8942080577402643E-4</v>
      </c>
      <c r="W42" s="85">
        <f ca="1">MAX(0,AC41*'Model - Scarcity &amp; Growth Rates'!$J41*(1-'Model - Supply'!Z41/'Static Parameters'!C$25)+'Model - Supply'!Z41/'Static Parameters'!C$27)</f>
        <v>5.5528402301082149</v>
      </c>
      <c r="X42" s="85">
        <f ca="1">MAX(0,AD41*'Model - Scarcity &amp; Growth Rates'!$J41*(1-'Model - Supply'!AA41/'Static Parameters'!D$25)+'Model - Supply'!AA41/'Static Parameters'!D$27)</f>
        <v>14.855564240661195</v>
      </c>
      <c r="Y42" s="85">
        <f ca="1">MAX(0,AE41*'Model - Scarcity &amp; Growth Rates'!$J41*(1-'Model - Supply'!AB41/'Static Parameters'!E$25)+'Model - Supply'!AB41/'Static Parameters'!E$27)</f>
        <v>0.67765910336374047</v>
      </c>
      <c r="Z42" s="85">
        <f ca="1">Z41+W42-Z41/'Static Parameters'!C$27</f>
        <v>103.77714664055938</v>
      </c>
      <c r="AA42" s="85">
        <f ca="1">AA41+X42-AA41/'Static Parameters'!D$27</f>
        <v>256.28220198188603</v>
      </c>
      <c r="AB42" s="85">
        <f ca="1">AB41+Y42-AB41/'Static Parameters'!E$27</f>
        <v>49.410917432121245</v>
      </c>
      <c r="AC42" s="85">
        <f ca="1">Z42-W42*'Static Parameters'!C$27/'Static Parameters'!C$26</f>
        <v>94.522412923712352</v>
      </c>
      <c r="AD42" s="85">
        <f ca="1">AA42-X42*'Static Parameters'!D$27/'Static Parameters'!D$26</f>
        <v>237.71274668105954</v>
      </c>
      <c r="AE42" s="85">
        <f ca="1">AB42-Y42*'Static Parameters'!E$27/'Static Parameters'!E$26</f>
        <v>48.684854107088668</v>
      </c>
      <c r="AF42" s="85">
        <f ca="1">AG41*'Model - Scarcity &amp; Growth Rates'!K41*(1-'Model - Supply'!AF41/'Static Parameters'!C$33)+'Model - Supply'!AF41</f>
        <v>106.46715232326642</v>
      </c>
      <c r="AG42" s="85">
        <f ca="1">AF42-AF42/'Static Parameters'!$C$34</f>
        <v>53.233576161633209</v>
      </c>
      <c r="AH42" s="85">
        <f t="shared" ca="1" si="15"/>
        <v>380.96123254622404</v>
      </c>
      <c r="AI42" s="85">
        <f t="shared" ca="1" si="16"/>
        <v>53.233576161633209</v>
      </c>
      <c r="AJ42" s="85">
        <f t="shared" ca="1" si="5"/>
        <v>2.6283601446284728E-2</v>
      </c>
      <c r="AK42" s="85">
        <f t="shared" ca="1" si="6"/>
        <v>8.8618939788807363E-4</v>
      </c>
      <c r="AL42" s="85">
        <f t="shared" ca="1" si="7"/>
        <v>2.9713067572396303E-3</v>
      </c>
      <c r="AM42" s="85">
        <f t="shared" ca="1" si="8"/>
        <v>1.1077736762084851E-2</v>
      </c>
      <c r="AN42" s="85">
        <f t="shared" ca="1" si="9"/>
        <v>380.92001371186052</v>
      </c>
      <c r="AO42" s="85">
        <f t="shared" ca="1" si="10"/>
        <v>53.233576161633209</v>
      </c>
    </row>
    <row r="43" spans="1:41" x14ac:dyDescent="0.35">
      <c r="A43" s="13">
        <v>2061</v>
      </c>
      <c r="B43" s="12">
        <f ca="1">MAX(0,MIN(1,B42*(1+'Model - Scarcity &amp; Growth Rates'!$D42-'Model - Scarcity &amp; Growth Rates'!$E42)))</f>
        <v>1</v>
      </c>
      <c r="C43" s="12">
        <f ca="1">MAX(0,MIN(1,C42*(1+'Model - Scarcity &amp; Growth Rates'!$D42-'Model - Scarcity &amp; Growth Rates'!$E42)))</f>
        <v>1</v>
      </c>
      <c r="D43" s="12">
        <f ca="1">MAX(0,MIN(1,D42*(1+'Model - Scarcity &amp; Growth Rates'!$D42-'Model - Scarcity &amp; Growth Rates'!$E42)))</f>
        <v>1</v>
      </c>
      <c r="E43" s="12">
        <f ca="1">B43*('Model - Scarcity &amp; Growth Rates'!$D43*(1-'Model - Scarcity &amp; Growth Rates'!$I43)-'Model - Scarcity &amp; Growth Rates'!$I43)+(1-'Model - Supply'!B43)*('Model - Scarcity &amp; Growth Rates'!$E43*(1-'Model - Scarcity &amp; Growth Rates'!$I43)-'Model - Scarcity &amp; Growth Rates'!$I43)</f>
        <v>-0.36826850037987024</v>
      </c>
      <c r="F43" s="12">
        <f ca="1">C43*('Model - Scarcity &amp; Growth Rates'!$D43*(1-'Model - Scarcity &amp; Growth Rates'!$I43)-'Model - Scarcity &amp; Growth Rates'!$I43)+(1-'Model - Supply'!C43)*('Model - Scarcity &amp; Growth Rates'!$E43*(1-'Model - Scarcity &amp; Growth Rates'!$I43)-'Model - Scarcity &amp; Growth Rates'!$I43)</f>
        <v>-0.36826850037987024</v>
      </c>
      <c r="G43" s="12">
        <f ca="1">D43*('Model - Scarcity &amp; Growth Rates'!$D43*(1-'Model - Scarcity &amp; Growth Rates'!$I43)-'Model - Scarcity &amp; Growth Rates'!$I43)+(1-'Model - Supply'!D43)*('Model - Scarcity &amp; Growth Rates'!$E43*(1-'Model - Scarcity &amp; Growth Rates'!$I43)-'Model - Scarcity &amp; Growth Rates'!$I43)</f>
        <v>-0.36826850037987024</v>
      </c>
      <c r="H43" s="12">
        <f ca="1">'Model - Scarcity &amp; Growth Rates'!J43</f>
        <v>1.6907241270251373E-2</v>
      </c>
      <c r="I43" s="21">
        <f ca="1">(1+E42)*I42*(1-(SUM(I$5:I42)/'Static Parameters'!C$17)^2)</f>
        <v>7.1704656751466839E-2</v>
      </c>
      <c r="J43" s="21">
        <f ca="1">(1+F42)*J42*(1-(SUM(J$5:J42)/'Static Parameters'!D$17)^2)</f>
        <v>2.3192819079789258E-3</v>
      </c>
      <c r="K43" s="21">
        <f ca="1">(1+G42)*K42*(1-(SUM(K$5:K42)/'Static Parameters'!E$17)^2)</f>
        <v>7.2373001683285346E-3</v>
      </c>
      <c r="L43" s="21">
        <f ca="1">(1+H42)*L42*(1-(SUM(L$5:L42)/'Static Parameters'!F$17)^2)</f>
        <v>6.0489575459267845E-3</v>
      </c>
      <c r="M43" s="21">
        <f ca="1">I43*B43*'Static Parameters'!C$15</f>
        <v>1.6492071052837374E-2</v>
      </c>
      <c r="N43" s="21">
        <f ca="1">J43*C43*'Static Parameters'!D$15</f>
        <v>5.3343483883515298E-4</v>
      </c>
      <c r="O43" s="21">
        <f ca="1">K43*D43*'Static Parameters'!E$15</f>
        <v>1.7369520403988483E-3</v>
      </c>
      <c r="P43" s="84">
        <f t="shared" ca="1" si="11"/>
        <v>6.0489575459267845E-3</v>
      </c>
      <c r="Q43" s="54">
        <f t="shared" ca="1" si="12"/>
        <v>0</v>
      </c>
      <c r="R43" s="54">
        <f t="shared" ca="1" si="13"/>
        <v>0</v>
      </c>
      <c r="S43" s="54">
        <f t="shared" ca="1" si="14"/>
        <v>0</v>
      </c>
      <c r="T43" s="85">
        <f ca="1">I43*'Static Parameters'!C$19/(44/12)/1000</f>
        <v>1.8832250304998881E-3</v>
      </c>
      <c r="U43" s="85">
        <f ca="1">J43*'Static Parameters'!D$19/(44/12)/1000</f>
        <v>4.6364553778596891E-5</v>
      </c>
      <c r="V43" s="85">
        <f ca="1">K43*'Static Parameters'!E$19/(44/12)/1000</f>
        <v>1.1073069257542659E-4</v>
      </c>
      <c r="W43" s="85">
        <f ca="1">MAX(0,AC42*'Model - Scarcity &amp; Growth Rates'!$J42*(1-'Model - Supply'!Z42/'Static Parameters'!C$25)+'Model - Supply'!Z42/'Static Parameters'!C$27)</f>
        <v>5.2017030229551402</v>
      </c>
      <c r="X43" s="85">
        <f ca="1">MAX(0,AD42*'Model - Scarcity &amp; Growth Rates'!$J42*(1-'Model - Supply'!AA42/'Static Parameters'!D$25)+'Model - Supply'!AA42/'Static Parameters'!D$27)</f>
        <v>13.732438046907102</v>
      </c>
      <c r="Y43" s="85">
        <f ca="1">MAX(0,AE42*'Model - Scarcity &amp; Growth Rates'!$J42*(1-'Model - Supply'!AB42/'Static Parameters'!E$25)+'Model - Supply'!AB42/'Static Parameters'!E$27)</f>
        <v>0.67206362419224441</v>
      </c>
      <c r="Z43" s="85">
        <f ca="1">Z42+W43-Z42/'Static Parameters'!C$27</f>
        <v>104.82776379789215</v>
      </c>
      <c r="AA43" s="85">
        <f ca="1">AA42+X43-AA42/'Static Parameters'!D$27</f>
        <v>259.76335194951764</v>
      </c>
      <c r="AB43" s="85">
        <f ca="1">AB42+Y43-AB42/'Static Parameters'!E$27</f>
        <v>49.424168823885211</v>
      </c>
      <c r="AC43" s="85">
        <f ca="1">Z43-W43*'Static Parameters'!C$27/'Static Parameters'!C$26</f>
        <v>96.158258759633583</v>
      </c>
      <c r="AD43" s="85">
        <f ca="1">AA43-X43*'Static Parameters'!D$27/'Static Parameters'!D$26</f>
        <v>242.59780439088377</v>
      </c>
      <c r="AE43" s="85">
        <f ca="1">AB43-Y43*'Static Parameters'!E$27/'Static Parameters'!E$26</f>
        <v>48.704100655107808</v>
      </c>
      <c r="AF43" s="85">
        <f ca="1">AG42*'Model - Scarcity &amp; Growth Rates'!K42*(1-'Model - Supply'!AF42/'Static Parameters'!C$33)+'Model - Supply'!AF42</f>
        <v>106.86809258353529</v>
      </c>
      <c r="AG43" s="85">
        <f ca="1">AF43-AF43/'Static Parameters'!$C$34</f>
        <v>53.434046291767643</v>
      </c>
      <c r="AH43" s="85">
        <f t="shared" ca="1" si="15"/>
        <v>387.48497522110318</v>
      </c>
      <c r="AI43" s="85">
        <f t="shared" ca="1" si="16"/>
        <v>53.434046291767643</v>
      </c>
      <c r="AJ43" s="85">
        <f t="shared" ca="1" si="5"/>
        <v>1.6492071052837374E-2</v>
      </c>
      <c r="AK43" s="85">
        <f t="shared" ca="1" si="6"/>
        <v>5.3343483883515298E-4</v>
      </c>
      <c r="AL43" s="85">
        <f t="shared" ca="1" si="7"/>
        <v>1.7369520403988483E-3</v>
      </c>
      <c r="AM43" s="85">
        <f t="shared" ca="1" si="8"/>
        <v>6.0489575459267845E-3</v>
      </c>
      <c r="AN43" s="85">
        <f t="shared" ca="1" si="9"/>
        <v>387.46016380562514</v>
      </c>
      <c r="AO43" s="85">
        <f t="shared" ca="1" si="10"/>
        <v>53.434046291767643</v>
      </c>
    </row>
    <row r="44" spans="1:41" x14ac:dyDescent="0.35">
      <c r="A44" s="13">
        <v>2062</v>
      </c>
      <c r="B44" s="12">
        <f ca="1">MAX(0,MIN(1,B43*(1+'Model - Scarcity &amp; Growth Rates'!$D43-'Model - Scarcity &amp; Growth Rates'!$E43)))</f>
        <v>0.99403794700390669</v>
      </c>
      <c r="C44" s="12">
        <f ca="1">MAX(0,MIN(1,C43*(1+'Model - Scarcity &amp; Growth Rates'!$D43-'Model - Scarcity &amp; Growth Rates'!$E43)))</f>
        <v>0.99403794700390669</v>
      </c>
      <c r="D44" s="12">
        <f ca="1">MAX(0,MIN(1,D43*(1+'Model - Scarcity &amp; Growth Rates'!$D43-'Model - Scarcity &amp; Growth Rates'!$E43)))</f>
        <v>0.99403794700390669</v>
      </c>
      <c r="E44" s="12">
        <f ca="1">B44*('Model - Scarcity &amp; Growth Rates'!$D44*(1-'Model - Scarcity &amp; Growth Rates'!$I44)-'Model - Scarcity &amp; Growth Rates'!$I44)+(1-'Model - Supply'!B44)*('Model - Scarcity &amp; Growth Rates'!$E44*(1-'Model - Scarcity &amp; Growth Rates'!$I44)-'Model - Scarcity &amp; Growth Rates'!$I44)</f>
        <v>-0.37028741273334614</v>
      </c>
      <c r="F44" s="12">
        <f ca="1">C44*('Model - Scarcity &amp; Growth Rates'!$D44*(1-'Model - Scarcity &amp; Growth Rates'!$I44)-'Model - Scarcity &amp; Growth Rates'!$I44)+(1-'Model - Supply'!C44)*('Model - Scarcity &amp; Growth Rates'!$E44*(1-'Model - Scarcity &amp; Growth Rates'!$I44)-'Model - Scarcity &amp; Growth Rates'!$I44)</f>
        <v>-0.37028741273334614</v>
      </c>
      <c r="G44" s="12">
        <f ca="1">D44*('Model - Scarcity &amp; Growth Rates'!$D44*(1-'Model - Scarcity &amp; Growth Rates'!$I44)-'Model - Scarcity &amp; Growth Rates'!$I44)+(1-'Model - Supply'!D44)*('Model - Scarcity &amp; Growth Rates'!$E44*(1-'Model - Scarcity &amp; Growth Rates'!$I44)-'Model - Scarcity &amp; Growth Rates'!$I44)</f>
        <v>-0.37028741273334614</v>
      </c>
      <c r="H44" s="12">
        <f ca="1">'Model - Scarcity &amp; Growth Rates'!J44</f>
        <v>1.5321705997857323E-2</v>
      </c>
      <c r="I44" s="21">
        <f ca="1">(1+E43)*I43*(1-(SUM(I$5:I43)/'Static Parameters'!C$17)^2)</f>
        <v>4.4638358294827214E-2</v>
      </c>
      <c r="J44" s="21">
        <f ca="1">(1+F43)*J43*(1-(SUM(J$5:J43)/'Static Parameters'!D$17)^2)</f>
        <v>1.3850936686550354E-3</v>
      </c>
      <c r="K44" s="21">
        <f ca="1">(1+G43)*K43*(1-(SUM(K$5:K43)/'Static Parameters'!E$17)^2)</f>
        <v>4.1974687550066451E-3</v>
      </c>
      <c r="L44" s="21">
        <f ca="1">(1+H43)*L43*(1-(SUM(L$5:L43)/'Static Parameters'!F$17)^2)</f>
        <v>3.2829694022178018E-3</v>
      </c>
      <c r="M44" s="21">
        <f ca="1">I44*B44*'Static Parameters'!C$15</f>
        <v>1.0205611068513417E-2</v>
      </c>
      <c r="N44" s="21">
        <f ca="1">J44*C44*'Static Parameters'!D$15</f>
        <v>3.1667220336353103E-4</v>
      </c>
      <c r="O44" s="21">
        <f ca="1">K44*D44*'Static Parameters'!E$15</f>
        <v>1.0013863737215641E-3</v>
      </c>
      <c r="P44" s="84">
        <f t="shared" ca="1" si="11"/>
        <v>3.2829694022178018E-3</v>
      </c>
      <c r="Q44" s="54">
        <f t="shared" ca="1" si="12"/>
        <v>2.6613625781236145E-4</v>
      </c>
      <c r="R44" s="54">
        <f t="shared" ca="1" si="13"/>
        <v>8.2580018570746336E-6</v>
      </c>
      <c r="S44" s="54">
        <f t="shared" ca="1" si="14"/>
        <v>2.5025531166795442E-5</v>
      </c>
      <c r="T44" s="85">
        <f ca="1">I44*'Static Parameters'!C$19/(44/12)/1000</f>
        <v>1.172365610125053E-3</v>
      </c>
      <c r="U44" s="85">
        <f ca="1">J44*'Static Parameters'!D$19/(44/12)/1000</f>
        <v>2.7689281612476572E-5</v>
      </c>
      <c r="V44" s="85">
        <f ca="1">K44*'Static Parameters'!E$19/(44/12)/1000</f>
        <v>6.4221271951601667E-5</v>
      </c>
      <c r="W44" s="85">
        <f ca="1">MAX(0,AC43*'Model - Scarcity &amp; Growth Rates'!$J43*(1-'Model - Supply'!Z43/'Static Parameters'!C$25)+'Model - Supply'!Z43/'Static Parameters'!C$27)</f>
        <v>4.9667518033896538</v>
      </c>
      <c r="X44" s="85">
        <f ca="1">MAX(0,AD43*'Model - Scarcity &amp; Growth Rates'!$J43*(1-'Model - Supply'!AA43/'Static Parameters'!D$25)+'Model - Supply'!AA43/'Static Parameters'!D$27)</f>
        <v>12.970106761348312</v>
      </c>
      <c r="Y44" s="85">
        <f ca="1">MAX(0,AE43*'Model - Scarcity &amp; Growth Rates'!$J43*(1-'Model - Supply'!AB43/'Static Parameters'!E$25)+'Model - Supply'!AB43/'Static Parameters'!E$27)</f>
        <v>0.66847230410136715</v>
      </c>
      <c r="Z44" s="85">
        <f ca="1">Z43+W44-Z43/'Static Parameters'!C$27</f>
        <v>105.60140504936612</v>
      </c>
      <c r="AA44" s="85">
        <f ca="1">AA43+X44-AA43/'Static Parameters'!D$27</f>
        <v>262.34292463288523</v>
      </c>
      <c r="AB44" s="85">
        <f ca="1">AB43+Y44-AB43/'Static Parameters'!E$27</f>
        <v>49.43365221033477</v>
      </c>
      <c r="AC44" s="85">
        <f ca="1">Z44-W44*'Static Parameters'!C$27/'Static Parameters'!C$26</f>
        <v>97.323485377050034</v>
      </c>
      <c r="AD44" s="85">
        <f ca="1">AA44-X44*'Static Parameters'!D$27/'Static Parameters'!D$26</f>
        <v>246.13029118119985</v>
      </c>
      <c r="AE44" s="85">
        <f ca="1">AB44-Y44*'Static Parameters'!E$27/'Static Parameters'!E$26</f>
        <v>48.717431884511875</v>
      </c>
      <c r="AF44" s="85">
        <f ca="1">AG43*'Model - Scarcity &amp; Growth Rates'!K43*(1-'Model - Supply'!AF43/'Static Parameters'!C$33)+'Model - Supply'!AF43</f>
        <v>107.43712803889007</v>
      </c>
      <c r="AG44" s="85">
        <f ca="1">AF44-AF44/'Static Parameters'!$C$34</f>
        <v>53.718564019445033</v>
      </c>
      <c r="AH44" s="85">
        <f t="shared" ca="1" si="15"/>
        <v>392.18601508180956</v>
      </c>
      <c r="AI44" s="85">
        <f t="shared" ca="1" si="16"/>
        <v>53.718863439235868</v>
      </c>
      <c r="AJ44" s="85">
        <f t="shared" ca="1" si="5"/>
        <v>1.0471747326325779E-2</v>
      </c>
      <c r="AK44" s="85">
        <f t="shared" ca="1" si="6"/>
        <v>3.2493020522060567E-4</v>
      </c>
      <c r="AL44" s="85">
        <f t="shared" ca="1" si="7"/>
        <v>1.0264119048883594E-3</v>
      </c>
      <c r="AM44" s="85">
        <f t="shared" ca="1" si="8"/>
        <v>3.2829694022178018E-3</v>
      </c>
      <c r="AN44" s="85">
        <f t="shared" ca="1" si="9"/>
        <v>392.17120844276178</v>
      </c>
      <c r="AO44" s="85">
        <f t="shared" ca="1" si="10"/>
        <v>53.718564019445033</v>
      </c>
    </row>
    <row r="45" spans="1:41" x14ac:dyDescent="0.35">
      <c r="A45" s="13">
        <v>2063</v>
      </c>
      <c r="B45" s="12">
        <f ca="1">MAX(0,MIN(1,B44*(1+'Model - Scarcity &amp; Growth Rates'!$D44-'Model - Scarcity &amp; Growth Rates'!$E44)))</f>
        <v>0.98156379887928347</v>
      </c>
      <c r="C45" s="12">
        <f ca="1">MAX(0,MIN(1,C44*(1+'Model - Scarcity &amp; Growth Rates'!$D44-'Model - Scarcity &amp; Growth Rates'!$E44)))</f>
        <v>0.98156379887928347</v>
      </c>
      <c r="D45" s="12">
        <f ca="1">MAX(0,MIN(1,D44*(1+'Model - Scarcity &amp; Growth Rates'!$D44-'Model - Scarcity &amp; Growth Rates'!$E44)))</f>
        <v>0.98156379887928347</v>
      </c>
      <c r="E45" s="12">
        <f ca="1">B45*('Model - Scarcity &amp; Growth Rates'!$D45*(1-'Model - Scarcity &amp; Growth Rates'!$I45)-'Model - Scarcity &amp; Growth Rates'!$I45)+(1-'Model - Supply'!B45)*('Model - Scarcity &amp; Growth Rates'!$E45*(1-'Model - Scarcity &amp; Growth Rates'!$I45)-'Model - Scarcity &amp; Growth Rates'!$I45)</f>
        <v>-0.37002512376037622</v>
      </c>
      <c r="F45" s="12">
        <f ca="1">C45*('Model - Scarcity &amp; Growth Rates'!$D45*(1-'Model - Scarcity &amp; Growth Rates'!$I45)-'Model - Scarcity &amp; Growth Rates'!$I45)+(1-'Model - Supply'!C45)*('Model - Scarcity &amp; Growth Rates'!$E45*(1-'Model - Scarcity &amp; Growth Rates'!$I45)-'Model - Scarcity &amp; Growth Rates'!$I45)</f>
        <v>-0.37002512376037622</v>
      </c>
      <c r="G45" s="12">
        <f ca="1">D45*('Model - Scarcity &amp; Growth Rates'!$D45*(1-'Model - Scarcity &amp; Growth Rates'!$I45)-'Model - Scarcity &amp; Growth Rates'!$I45)+(1-'Model - Supply'!D45)*('Model - Scarcity &amp; Growth Rates'!$E45*(1-'Model - Scarcity &amp; Growth Rates'!$I45)-'Model - Scarcity &amp; Growth Rates'!$I45)</f>
        <v>-0.37002512376037622</v>
      </c>
      <c r="H45" s="12">
        <f ca="1">'Model - Scarcity &amp; Growth Rates'!J45</f>
        <v>1.7197239641578287E-2</v>
      </c>
      <c r="I45" s="21">
        <f ca="1">(1+E44)*I44*(1-(SUM(I$5:I44)/'Static Parameters'!C$17)^2)</f>
        <v>2.769993309504145E-2</v>
      </c>
      <c r="J45" s="21">
        <f ca="1">(1+F44)*J44*(1-(SUM(J$5:J44)/'Static Parameters'!D$17)^2)</f>
        <v>8.2454537145373722E-4</v>
      </c>
      <c r="K45" s="21">
        <f ca="1">(1+G44)*K44*(1-(SUM(K$5:K44)/'Static Parameters'!E$17)^2)</f>
        <v>2.4266550060768961E-3</v>
      </c>
      <c r="L45" s="21">
        <f ca="1">(1+H44)*L44*(1-(SUM(L$5:L44)/'Static Parameters'!F$17)^2)</f>
        <v>1.7789861582726745E-3</v>
      </c>
      <c r="M45" s="21">
        <f ca="1">I45*B45*'Static Parameters'!C$15</f>
        <v>6.2535278582183012E-3</v>
      </c>
      <c r="N45" s="21">
        <f ca="1">J45*C45*'Static Parameters'!D$15</f>
        <v>1.8614909404506585E-4</v>
      </c>
      <c r="O45" s="21">
        <f ca="1">K45*D45*'Static Parameters'!E$15</f>
        <v>5.7166000952022455E-4</v>
      </c>
      <c r="P45" s="84">
        <f t="shared" ca="1" si="11"/>
        <v>1.7789861582726745E-3</v>
      </c>
      <c r="Q45" s="54">
        <f t="shared" ca="1" si="12"/>
        <v>5.1068153757057619E-4</v>
      </c>
      <c r="R45" s="54">
        <f t="shared" ca="1" si="13"/>
        <v>1.520148430127702E-5</v>
      </c>
      <c r="S45" s="54">
        <f t="shared" ca="1" si="14"/>
        <v>4.4738299742627262E-5</v>
      </c>
      <c r="T45" s="85">
        <f ca="1">I45*'Static Parameters'!C$19/(44/12)/1000</f>
        <v>7.2750097010522506E-4</v>
      </c>
      <c r="U45" s="85">
        <f ca="1">J45*'Static Parameters'!D$19/(44/12)/1000</f>
        <v>1.6483411562061528E-5</v>
      </c>
      <c r="V45" s="85">
        <f ca="1">K45*'Static Parameters'!E$19/(44/12)/1000</f>
        <v>3.7127821592976512E-5</v>
      </c>
      <c r="W45" s="85">
        <f ca="1">MAX(0,AC44*'Model - Scarcity &amp; Growth Rates'!$J44*(1-'Model - Supply'!Z44/'Static Parameters'!C$25)+'Model - Supply'!Z44/'Static Parameters'!C$27)</f>
        <v>4.927874109781941</v>
      </c>
      <c r="X45" s="85">
        <f ca="1">MAX(0,AD44*'Model - Scarcity &amp; Growth Rates'!$J44*(1-'Model - Supply'!AA44/'Static Parameters'!D$25)+'Model - Supply'!AA44/'Static Parameters'!D$27)</f>
        <v>12.851523177418963</v>
      </c>
      <c r="Y45" s="85">
        <f ca="1">MAX(0,AE44*'Model - Scarcity &amp; Growth Rates'!$J44*(1-'Model - Supply'!AB44/'Static Parameters'!E$25)+'Model - Supply'!AB44/'Static Parameters'!E$27)</f>
        <v>0.66757018963146786</v>
      </c>
      <c r="Z45" s="85">
        <f ca="1">Z44+W45-Z44/'Static Parameters'!C$27</f>
        <v>106.30522295717341</v>
      </c>
      <c r="AA45" s="85">
        <f ca="1">AA44+X45-AA44/'Static Parameters'!D$27</f>
        <v>264.7007308249888</v>
      </c>
      <c r="AB45" s="85">
        <f ca="1">AB44+Y45-AB44/'Static Parameters'!E$27</f>
        <v>49.442107037161776</v>
      </c>
      <c r="AC45" s="85">
        <f ca="1">Z45-W45*'Static Parameters'!C$27/'Static Parameters'!C$26</f>
        <v>98.092099440870186</v>
      </c>
      <c r="AD45" s="85">
        <f ca="1">AA45-X45*'Static Parameters'!D$27/'Static Parameters'!D$26</f>
        <v>248.63632685321508</v>
      </c>
      <c r="AE45" s="85">
        <f ca="1">AB45-Y45*'Static Parameters'!E$27/'Static Parameters'!E$26</f>
        <v>48.726853262556631</v>
      </c>
      <c r="AF45" s="85">
        <f ca="1">AG44*'Model - Scarcity &amp; Growth Rates'!K44*(1-'Model - Supply'!AF44/'Static Parameters'!C$33)+'Model - Supply'!AF44</f>
        <v>108.13004095392678</v>
      </c>
      <c r="AG45" s="85">
        <f ca="1">AF45-AF45/'Static Parameters'!$C$34</f>
        <v>54.06502047696339</v>
      </c>
      <c r="AH45" s="85">
        <f t="shared" ca="1" si="15"/>
        <v>395.46406987976195</v>
      </c>
      <c r="AI45" s="85">
        <f t="shared" ca="1" si="16"/>
        <v>54.065591098285005</v>
      </c>
      <c r="AJ45" s="85">
        <f t="shared" ca="1" si="5"/>
        <v>6.7642093957888776E-3</v>
      </c>
      <c r="AK45" s="85">
        <f t="shared" ca="1" si="6"/>
        <v>2.0135057834634286E-4</v>
      </c>
      <c r="AL45" s="85">
        <f t="shared" ca="1" si="7"/>
        <v>6.1639830926285186E-4</v>
      </c>
      <c r="AM45" s="85">
        <f t="shared" ca="1" si="8"/>
        <v>1.7789861582726745E-3</v>
      </c>
      <c r="AN45" s="85">
        <f t="shared" ca="1" si="9"/>
        <v>395.45527955664187</v>
      </c>
      <c r="AO45" s="85">
        <f t="shared" ca="1" si="10"/>
        <v>54.06502047696339</v>
      </c>
    </row>
    <row r="46" spans="1:41" x14ac:dyDescent="0.35">
      <c r="A46" s="13">
        <v>2064</v>
      </c>
      <c r="B46" s="12">
        <f ca="1">MAX(0,MIN(1,B45*(1+'Model - Scarcity &amp; Growth Rates'!$D45-'Model - Scarcity &amp; Growth Rates'!$E45)))</f>
        <v>0.96747139552590655</v>
      </c>
      <c r="C46" s="12">
        <f ca="1">MAX(0,MIN(1,C45*(1+'Model - Scarcity &amp; Growth Rates'!$D45-'Model - Scarcity &amp; Growth Rates'!$E45)))</f>
        <v>0.96747139552590655</v>
      </c>
      <c r="D46" s="12">
        <f ca="1">MAX(0,MIN(1,D45*(1+'Model - Scarcity &amp; Growth Rates'!$D45-'Model - Scarcity &amp; Growth Rates'!$E45)))</f>
        <v>0.96747139552590655</v>
      </c>
      <c r="E46" s="12">
        <f ca="1">B46*('Model - Scarcity &amp; Growth Rates'!$D46*(1-'Model - Scarcity &amp; Growth Rates'!$I46)-'Model - Scarcity &amp; Growth Rates'!$I46)+(1-'Model - Supply'!B46)*('Model - Scarcity &amp; Growth Rates'!$E46*(1-'Model - Scarcity &amp; Growth Rates'!$I46)-'Model - Scarcity &amp; Growth Rates'!$I46)</f>
        <v>-0.36903165481630446</v>
      </c>
      <c r="F46" s="12">
        <f ca="1">C46*('Model - Scarcity &amp; Growth Rates'!$D46*(1-'Model - Scarcity &amp; Growth Rates'!$I46)-'Model - Scarcity &amp; Growth Rates'!$I46)+(1-'Model - Supply'!C46)*('Model - Scarcity &amp; Growth Rates'!$E46*(1-'Model - Scarcity &amp; Growth Rates'!$I46)-'Model - Scarcity &amp; Growth Rates'!$I46)</f>
        <v>-0.36903165481630446</v>
      </c>
      <c r="G46" s="12">
        <f ca="1">D46*('Model - Scarcity &amp; Growth Rates'!$D46*(1-'Model - Scarcity &amp; Growth Rates'!$I46)-'Model - Scarcity &amp; Growth Rates'!$I46)+(1-'Model - Supply'!D46)*('Model - Scarcity &amp; Growth Rates'!$E46*(1-'Model - Scarcity &amp; Growth Rates'!$I46)-'Model - Scarcity &amp; Growth Rates'!$I46)</f>
        <v>-0.36903165481630446</v>
      </c>
      <c r="H46" s="12">
        <f ca="1">'Model - Scarcity &amp; Growth Rates'!J46</f>
        <v>2.0163940796367807E-2</v>
      </c>
      <c r="I46" s="21">
        <f ca="1">(1+E45)*I45*(1-(SUM(I$5:I45)/'Static Parameters'!C$17)^2)</f>
        <v>1.7196100116611206E-2</v>
      </c>
      <c r="J46" s="21">
        <f ca="1">(1+F45)*J45*(1-(SUM(J$5:J45)/'Static Parameters'!D$17)^2)</f>
        <v>4.9105575886616219E-4</v>
      </c>
      <c r="K46" s="21">
        <f ca="1">(1+G45)*K45*(1-(SUM(K$5:K45)/'Static Parameters'!E$17)^2)</f>
        <v>1.4034901357810278E-3</v>
      </c>
      <c r="L46" s="21">
        <f ca="1">(1+H45)*L45*(1-(SUM(L$5:L45)/'Static Parameters'!F$17)^2)</f>
        <v>9.6578006332690813E-4</v>
      </c>
      <c r="M46" s="21">
        <f ca="1">I46*B46*'Static Parameters'!C$15</f>
        <v>3.826449044806841E-3</v>
      </c>
      <c r="N46" s="21">
        <f ca="1">J46*C46*'Static Parameters'!D$15</f>
        <v>1.0926895207159418E-4</v>
      </c>
      <c r="O46" s="21">
        <f ca="1">K46*D46*'Static Parameters'!E$15</f>
        <v>3.2588077446501958E-4</v>
      </c>
      <c r="P46" s="84">
        <f t="shared" ca="1" si="11"/>
        <v>9.6578006332690813E-4</v>
      </c>
      <c r="Q46" s="54">
        <f t="shared" ca="1" si="12"/>
        <v>5.5936513919015813E-4</v>
      </c>
      <c r="R46" s="54">
        <f t="shared" ca="1" si="13"/>
        <v>1.5973358554883197E-5</v>
      </c>
      <c r="S46" s="54">
        <f t="shared" ca="1" si="14"/>
        <v>4.5653575510112763E-5</v>
      </c>
      <c r="T46" s="85">
        <f ca="1">I46*'Static Parameters'!C$19/(44/12)/1000</f>
        <v>4.5163212033536162E-4</v>
      </c>
      <c r="U46" s="85">
        <f ca="1">J46*'Static Parameters'!D$19/(44/12)/1000</f>
        <v>9.8166510340608225E-6</v>
      </c>
      <c r="V46" s="85">
        <f ca="1">K46*'Static Parameters'!E$19/(44/12)/1000</f>
        <v>2.1473399077449725E-5</v>
      </c>
      <c r="W46" s="85">
        <f ca="1">MAX(0,AC45*'Model - Scarcity &amp; Growth Rates'!$J45*(1-'Model - Supply'!Z45/'Static Parameters'!C$25)+'Model - Supply'!Z45/'Static Parameters'!C$27)</f>
        <v>5.0424837651788952</v>
      </c>
      <c r="X46" s="85">
        <f ca="1">MAX(0,AD45*'Model - Scarcity &amp; Growth Rates'!$J45*(1-'Model - Supply'!AA45/'Static Parameters'!D$25)+'Model - Supply'!AA45/'Static Parameters'!D$27)</f>
        <v>13.24699791674341</v>
      </c>
      <c r="Y46" s="85">
        <f ca="1">MAX(0,AE45*'Model - Scarcity &amp; Growth Rates'!$J45*(1-'Model - Supply'!AB45/'Static Parameters'!E$25)+'Model - Supply'!AB45/'Static Parameters'!E$27)</f>
        <v>0.66857801583334342</v>
      </c>
      <c r="Z46" s="85">
        <f ca="1">Z45+W46-Z45/'Static Parameters'!C$27</f>
        <v>107.09549780406537</v>
      </c>
      <c r="AA46" s="85">
        <f ca="1">AA45+X46-AA45/'Static Parameters'!D$27</f>
        <v>267.35969950873266</v>
      </c>
      <c r="AB46" s="85">
        <f ca="1">AB45+Y46-AB45/'Static Parameters'!E$27</f>
        <v>49.451456959166293</v>
      </c>
      <c r="AC46" s="85">
        <f ca="1">Z46-W46*'Static Parameters'!C$27/'Static Parameters'!C$26</f>
        <v>98.691358195433878</v>
      </c>
      <c r="AD46" s="85">
        <f ca="1">AA46-X46*'Static Parameters'!D$27/'Static Parameters'!D$26</f>
        <v>250.8009521128034</v>
      </c>
      <c r="AE46" s="85">
        <f ca="1">AB46-Y46*'Static Parameters'!E$27/'Static Parameters'!E$26</f>
        <v>48.735123370773422</v>
      </c>
      <c r="AF46" s="85">
        <f ca="1">AG45*'Model - Scarcity &amp; Growth Rates'!K45*(1-'Model - Supply'!AF45/'Static Parameters'!C$33)+'Model - Supply'!AF45</f>
        <v>108.91368512388104</v>
      </c>
      <c r="AG46" s="85">
        <f ca="1">AF46-AF46/'Static Parameters'!$C$34</f>
        <v>54.456842561940519</v>
      </c>
      <c r="AH46" s="85">
        <f t="shared" ca="1" si="15"/>
        <v>398.23266105784535</v>
      </c>
      <c r="AI46" s="85">
        <f t="shared" ca="1" si="16"/>
        <v>54.457463554013771</v>
      </c>
      <c r="AJ46" s="85">
        <f t="shared" ca="1" si="5"/>
        <v>4.3858141839969991E-3</v>
      </c>
      <c r="AK46" s="85">
        <f t="shared" ca="1" si="6"/>
        <v>1.2524231062647738E-4</v>
      </c>
      <c r="AL46" s="85">
        <f t="shared" ca="1" si="7"/>
        <v>3.7153434997513234E-4</v>
      </c>
      <c r="AM46" s="85">
        <f t="shared" ca="1" si="8"/>
        <v>9.6578006332690813E-4</v>
      </c>
      <c r="AN46" s="85">
        <f t="shared" ca="1" si="9"/>
        <v>398.22743367901069</v>
      </c>
      <c r="AO46" s="85">
        <f t="shared" ca="1" si="10"/>
        <v>54.456842561940519</v>
      </c>
    </row>
    <row r="47" spans="1:41" x14ac:dyDescent="0.35">
      <c r="A47" s="13">
        <v>2065</v>
      </c>
      <c r="B47" s="12">
        <f ca="1">MAX(0,MIN(1,B46*(1+'Model - Scarcity &amp; Growth Rates'!$D46-'Model - Scarcity &amp; Growth Rates'!$E46)))</f>
        <v>0.95385257975773829</v>
      </c>
      <c r="C47" s="12">
        <f ca="1">MAX(0,MIN(1,C46*(1+'Model - Scarcity &amp; Growth Rates'!$D46-'Model - Scarcity &amp; Growth Rates'!$E46)))</f>
        <v>0.95385257975773829</v>
      </c>
      <c r="D47" s="12">
        <f ca="1">MAX(0,MIN(1,D46*(1+'Model - Scarcity &amp; Growth Rates'!$D46-'Model - Scarcity &amp; Growth Rates'!$E46)))</f>
        <v>0.95385257975773829</v>
      </c>
      <c r="E47" s="12">
        <f ca="1">B47*('Model - Scarcity &amp; Growth Rates'!$D47*(1-'Model - Scarcity &amp; Growth Rates'!$I47)-'Model - Scarcity &amp; Growth Rates'!$I47)+(1-'Model - Supply'!B47)*('Model - Scarcity &amp; Growth Rates'!$E47*(1-'Model - Scarcity &amp; Growth Rates'!$I47)-'Model - Scarcity &amp; Growth Rates'!$I47)</f>
        <v>-0.36856243224095508</v>
      </c>
      <c r="F47" s="12">
        <f ca="1">C47*('Model - Scarcity &amp; Growth Rates'!$D47*(1-'Model - Scarcity &amp; Growth Rates'!$I47)-'Model - Scarcity &amp; Growth Rates'!$I47)+(1-'Model - Supply'!C47)*('Model - Scarcity &amp; Growth Rates'!$E47*(1-'Model - Scarcity &amp; Growth Rates'!$I47)-'Model - Scarcity &amp; Growth Rates'!$I47)</f>
        <v>-0.36856243224095508</v>
      </c>
      <c r="G47" s="12">
        <f ca="1">D47*('Model - Scarcity &amp; Growth Rates'!$D47*(1-'Model - Scarcity &amp; Growth Rates'!$I47)-'Model - Scarcity &amp; Growth Rates'!$I47)+(1-'Model - Supply'!D47)*('Model - Scarcity &amp; Growth Rates'!$E47*(1-'Model - Scarcity &amp; Growth Rates'!$I47)-'Model - Scarcity &amp; Growth Rates'!$I47)</f>
        <v>-0.36856243224095508</v>
      </c>
      <c r="H47" s="12">
        <f ca="1">'Model - Scarcity &amp; Growth Rates'!J47</f>
        <v>2.2210862757459995E-2</v>
      </c>
      <c r="I47" s="21">
        <f ca="1">(1+E46)*I46*(1-(SUM(I$5:I46)/'Static Parameters'!C$17)^2)</f>
        <v>1.0692160742162601E-2</v>
      </c>
      <c r="J47" s="21">
        <f ca="1">(1+F46)*J46*(1-(SUM(J$5:J46)/'Static Parameters'!D$17)^2)</f>
        <v>2.9290810539345778E-4</v>
      </c>
      <c r="K47" s="21">
        <f ca="1">(1+G46)*K46*(1-(SUM(K$5:K46)/'Static Parameters'!E$17)^2)</f>
        <v>8.1300829928102384E-4</v>
      </c>
      <c r="L47" s="21">
        <f ca="1">(1+H46)*L46*(1-(SUM(L$5:L46)/'Static Parameters'!F$17)^2)</f>
        <v>5.258330108663629E-4</v>
      </c>
      <c r="M47" s="21">
        <f ca="1">I47*B47*'Static Parameters'!C$15</f>
        <v>2.3457113746321286E-3</v>
      </c>
      <c r="N47" s="21">
        <f ca="1">J47*C47*'Static Parameters'!D$15</f>
        <v>6.4259964951145283E-5</v>
      </c>
      <c r="O47" s="21">
        <f ca="1">K47*D47*'Static Parameters'!E$15</f>
        <v>1.8611761527207742E-4</v>
      </c>
      <c r="P47" s="84">
        <f t="shared" ca="1" si="11"/>
        <v>5.258330108663629E-4</v>
      </c>
      <c r="Q47" s="54">
        <f t="shared" ca="1" si="12"/>
        <v>4.934156350663904E-4</v>
      </c>
      <c r="R47" s="54">
        <f t="shared" ca="1" si="13"/>
        <v>1.3516953431956579E-5</v>
      </c>
      <c r="S47" s="54">
        <f t="shared" ca="1" si="14"/>
        <v>3.751823564736788E-5</v>
      </c>
      <c r="T47" s="85">
        <f ca="1">I47*'Static Parameters'!C$19/(44/12)/1000</f>
        <v>2.808150216737069E-4</v>
      </c>
      <c r="U47" s="85">
        <f ca="1">J47*'Static Parameters'!D$19/(44/12)/1000</f>
        <v>5.855499306911033E-6</v>
      </c>
      <c r="V47" s="85">
        <f ca="1">K47*'Static Parameters'!E$19/(44/12)/1000</f>
        <v>1.2439026978999664E-5</v>
      </c>
      <c r="W47" s="85">
        <f ca="1">MAX(0,AC46*'Model - Scarcity &amp; Growth Rates'!$J46*(1-'Model - Supply'!Z46/'Static Parameters'!C$25)+'Model - Supply'!Z46/'Static Parameters'!C$27)</f>
        <v>5.2082228230623135</v>
      </c>
      <c r="X47" s="85">
        <f ca="1">MAX(0,AD46*'Model - Scarcity &amp; Growth Rates'!$J46*(1-'Model - Supply'!AA46/'Static Parameters'!D$25)+'Model - Supply'!AA46/'Static Parameters'!D$27)</f>
        <v>13.819988900363056</v>
      </c>
      <c r="Y47" s="85">
        <f ca="1">MAX(0,AE46*'Model - Scarcity &amp; Growth Rates'!$J46*(1-'Model - Supply'!AB46/'Static Parameters'!E$25)+'Model - Supply'!AB46/'Static Parameters'!E$27)</f>
        <v>0.67013373817493316</v>
      </c>
      <c r="Z47" s="85">
        <f ca="1">Z46+W47-Z46/'Static Parameters'!C$27</f>
        <v>108.01990071496508</v>
      </c>
      <c r="AA47" s="85">
        <f ca="1">AA46+X47-AA46/'Static Parameters'!D$27</f>
        <v>270.48530042874643</v>
      </c>
      <c r="AB47" s="85">
        <f ca="1">AB46+Y47-AB46/'Static Parameters'!E$27</f>
        <v>49.462237937885675</v>
      </c>
      <c r="AC47" s="85">
        <f ca="1">Z47-W47*'Static Parameters'!C$27/'Static Parameters'!C$26</f>
        <v>99.339529343194556</v>
      </c>
      <c r="AD47" s="85">
        <f ca="1">AA47-X47*'Static Parameters'!D$27/'Static Parameters'!D$26</f>
        <v>253.21031430329262</v>
      </c>
      <c r="AE47" s="85">
        <f ca="1">AB47-Y47*'Static Parameters'!E$27/'Static Parameters'!E$26</f>
        <v>48.744237504126815</v>
      </c>
      <c r="AF47" s="85">
        <f ca="1">AG46*'Model - Scarcity &amp; Growth Rates'!K46*(1-'Model - Supply'!AF46/'Static Parameters'!C$33)+'Model - Supply'!AF46</f>
        <v>109.76290005919297</v>
      </c>
      <c r="AG47" s="85">
        <f ca="1">AF47-AF47/'Static Parameters'!$C$34</f>
        <v>54.881450029596486</v>
      </c>
      <c r="AH47" s="85">
        <f t="shared" ca="1" si="15"/>
        <v>401.29720307257975</v>
      </c>
      <c r="AI47" s="85">
        <f t="shared" ca="1" si="16"/>
        <v>54.88199448042063</v>
      </c>
      <c r="AJ47" s="85">
        <f t="shared" ca="1" si="5"/>
        <v>2.8391270096985192E-3</v>
      </c>
      <c r="AK47" s="85">
        <f t="shared" ca="1" si="6"/>
        <v>7.7776918383101862E-5</v>
      </c>
      <c r="AL47" s="85">
        <f t="shared" ca="1" si="7"/>
        <v>2.2363585091944531E-4</v>
      </c>
      <c r="AM47" s="85">
        <f t="shared" ca="1" si="8"/>
        <v>5.258330108663629E-4</v>
      </c>
      <c r="AN47" s="85">
        <f t="shared" ca="1" si="9"/>
        <v>401.29408115061398</v>
      </c>
      <c r="AO47" s="85">
        <f t="shared" ca="1" si="10"/>
        <v>54.881450029596486</v>
      </c>
    </row>
    <row r="48" spans="1:41" x14ac:dyDescent="0.35">
      <c r="A48" s="13">
        <v>2066</v>
      </c>
      <c r="B48" s="12">
        <f ca="1">MAX(0,MIN(1,B47*(1+'Model - Scarcity &amp; Growth Rates'!$D47-'Model - Scarcity &amp; Growth Rates'!$E47)))</f>
        <v>0.94054500842494515</v>
      </c>
      <c r="C48" s="12">
        <f ca="1">MAX(0,MIN(1,C47*(1+'Model - Scarcity &amp; Growth Rates'!$D47-'Model - Scarcity &amp; Growth Rates'!$E47)))</f>
        <v>0.94054500842494515</v>
      </c>
      <c r="D48" s="12">
        <f ca="1">MAX(0,MIN(1,D47*(1+'Model - Scarcity &amp; Growth Rates'!$D47-'Model - Scarcity &amp; Growth Rates'!$E47)))</f>
        <v>0.94054500842494515</v>
      </c>
      <c r="E48" s="12">
        <f ca="1">B48*('Model - Scarcity &amp; Growth Rates'!$D48*(1-'Model - Scarcity &amp; Growth Rates'!$I48)-'Model - Scarcity &amp; Growth Rates'!$I48)+(1-'Model - Supply'!B48)*('Model - Scarcity &amp; Growth Rates'!$E48*(1-'Model - Scarcity &amp; Growth Rates'!$I48)-'Model - Scarcity &amp; Growth Rates'!$I48)</f>
        <v>-0.36907746312746925</v>
      </c>
      <c r="F48" s="12">
        <f ca="1">C48*('Model - Scarcity &amp; Growth Rates'!$D48*(1-'Model - Scarcity &amp; Growth Rates'!$I48)-'Model - Scarcity &amp; Growth Rates'!$I48)+(1-'Model - Supply'!C48)*('Model - Scarcity &amp; Growth Rates'!$E48*(1-'Model - Scarcity &amp; Growth Rates'!$I48)-'Model - Scarcity &amp; Growth Rates'!$I48)</f>
        <v>-0.36907746312746925</v>
      </c>
      <c r="G48" s="12">
        <f ca="1">D48*('Model - Scarcity &amp; Growth Rates'!$D48*(1-'Model - Scarcity &amp; Growth Rates'!$I48)-'Model - Scarcity &amp; Growth Rates'!$I48)+(1-'Model - Supply'!D48)*('Model - Scarcity &amp; Growth Rates'!$E48*(1-'Model - Scarcity &amp; Growth Rates'!$I48)-'Model - Scarcity &amp; Growth Rates'!$I48)</f>
        <v>-0.36907746312746925</v>
      </c>
      <c r="H48" s="12">
        <f ca="1">'Model - Scarcity &amp; Growth Rates'!J48</f>
        <v>2.25272145002961E-2</v>
      </c>
      <c r="I48" s="21">
        <f ca="1">(1+E47)*I47*(1-(SUM(I$5:I47)/'Static Parameters'!C$17)^2)</f>
        <v>6.6530960503240416E-3</v>
      </c>
      <c r="J48" s="21">
        <f ca="1">(1+F47)*J47*(1-(SUM(J$5:J47)/'Static Parameters'!D$17)^2)</f>
        <v>1.7484564083215313E-4</v>
      </c>
      <c r="K48" s="21">
        <f ca="1">(1+G47)*K47*(1-(SUM(K$5:K47)/'Static Parameters'!E$17)^2)</f>
        <v>4.7130647554423171E-4</v>
      </c>
      <c r="L48" s="21">
        <f ca="1">(1+H47)*L47*(1-(SUM(L$5:L47)/'Static Parameters'!F$17)^2)</f>
        <v>2.8687157449472004E-4</v>
      </c>
      <c r="M48" s="21">
        <f ca="1">I48*B48*'Static Parameters'!C$15</f>
        <v>1.439233344561919E-3</v>
      </c>
      <c r="N48" s="21">
        <f ca="1">J48*C48*'Static Parameters'!D$15</f>
        <v>3.7823544787794751E-5</v>
      </c>
      <c r="O48" s="21">
        <f ca="1">K48*D48*'Static Parameters'!E$15</f>
        <v>1.0638838872275534E-4</v>
      </c>
      <c r="P48" s="84">
        <f t="shared" ca="1" si="11"/>
        <v>2.8687157449472004E-4</v>
      </c>
      <c r="Q48" s="54">
        <f t="shared" ca="1" si="12"/>
        <v>3.9555976962004659E-4</v>
      </c>
      <c r="R48" s="54">
        <f t="shared" ca="1" si="13"/>
        <v>1.039544610261073E-5</v>
      </c>
      <c r="S48" s="54">
        <f t="shared" ca="1" si="14"/>
        <v>2.8021522532751092E-5</v>
      </c>
      <c r="T48" s="85">
        <f ca="1">I48*'Static Parameters'!C$19/(44/12)/1000</f>
        <v>1.7473449535805596E-4</v>
      </c>
      <c r="U48" s="85">
        <f ca="1">J48*'Static Parameters'!D$19/(44/12)/1000</f>
        <v>3.4953233108173159E-6</v>
      </c>
      <c r="V48" s="85">
        <f ca="1">K48*'Static Parameters'!E$19/(44/12)/1000</f>
        <v>7.210989075826746E-6</v>
      </c>
      <c r="W48" s="85">
        <f ca="1">MAX(0,AC47*'Model - Scarcity &amp; Growth Rates'!$J47*(1-'Model - Supply'!Z47/'Static Parameters'!C$25)+'Model - Supply'!Z47/'Static Parameters'!C$27)</f>
        <v>5.3355281424649998</v>
      </c>
      <c r="X48" s="85">
        <f ca="1">MAX(0,AD47*'Model - Scarcity &amp; Growth Rates'!$J47*(1-'Model - Supply'!AA47/'Static Parameters'!D$25)+'Model - Supply'!AA47/'Static Parameters'!D$27)</f>
        <v>14.270267821441976</v>
      </c>
      <c r="Y48" s="85">
        <f ca="1">MAX(0,AE47*'Model - Scarcity &amp; Growth Rates'!$J47*(1-'Model - Supply'!AB47/'Static Parameters'!E$25)+'Model - Supply'!AB47/'Static Parameters'!E$27)</f>
        <v>0.67114068464894072</v>
      </c>
      <c r="Z48" s="85">
        <f ca="1">Z47+W48-Z47/'Static Parameters'!C$27</f>
        <v>109.03463282883146</v>
      </c>
      <c r="AA48" s="85">
        <f ca="1">AA47+X48-AA47/'Static Parameters'!D$27</f>
        <v>273.93615623303856</v>
      </c>
      <c r="AB48" s="85">
        <f ca="1">AB47+Y48-AB47/'Static Parameters'!E$27</f>
        <v>49.473882116696139</v>
      </c>
      <c r="AC48" s="85">
        <f ca="1">Z48-W48*'Static Parameters'!C$27/'Static Parameters'!C$26</f>
        <v>100.14208592472313</v>
      </c>
      <c r="AD48" s="85">
        <f ca="1">AA48-X48*'Static Parameters'!D$27/'Static Parameters'!D$26</f>
        <v>256.09832145623608</v>
      </c>
      <c r="AE48" s="85">
        <f ca="1">AB48-Y48*'Static Parameters'!E$27/'Static Parameters'!E$26</f>
        <v>48.75480281171513</v>
      </c>
      <c r="AF48" s="85">
        <f ca="1">AG47*'Model - Scarcity &amp; Growth Rates'!K47*(1-'Model - Supply'!AF47/'Static Parameters'!C$33)+'Model - Supply'!AF47</f>
        <v>110.65833948772402</v>
      </c>
      <c r="AG48" s="85">
        <f ca="1">AF48-AF48/'Static Parameters'!$C$34</f>
        <v>55.32916974386201</v>
      </c>
      <c r="AH48" s="85">
        <f t="shared" ca="1" si="15"/>
        <v>404.99708050952694</v>
      </c>
      <c r="AI48" s="85">
        <f t="shared" ca="1" si="16"/>
        <v>55.329603720600268</v>
      </c>
      <c r="AJ48" s="85">
        <f t="shared" ca="1" si="5"/>
        <v>1.8347931141819655E-3</v>
      </c>
      <c r="AK48" s="85">
        <f t="shared" ca="1" si="6"/>
        <v>4.8218990890405479E-5</v>
      </c>
      <c r="AL48" s="85">
        <f t="shared" ca="1" si="7"/>
        <v>1.3440991125550643E-4</v>
      </c>
      <c r="AM48" s="85">
        <f t="shared" ca="1" si="8"/>
        <v>2.8687157449472004E-4</v>
      </c>
      <c r="AN48" s="85">
        <f t="shared" ca="1" si="9"/>
        <v>404.99521019267434</v>
      </c>
      <c r="AO48" s="85">
        <f t="shared" ca="1" si="10"/>
        <v>55.32916974386201</v>
      </c>
    </row>
    <row r="49" spans="1:41" x14ac:dyDescent="0.35">
      <c r="A49" s="13">
        <v>2067</v>
      </c>
      <c r="B49" s="12">
        <f ca="1">MAX(0,MIN(1,B48*(1+'Model - Scarcity &amp; Growth Rates'!$D48-'Model - Scarcity &amp; Growth Rates'!$E48)))</f>
        <v>0.92647196103848373</v>
      </c>
      <c r="C49" s="12">
        <f ca="1">MAX(0,MIN(1,C48*(1+'Model - Scarcity &amp; Growth Rates'!$D48-'Model - Scarcity &amp; Growth Rates'!$E48)))</f>
        <v>0.92647196103848373</v>
      </c>
      <c r="D49" s="12">
        <f ca="1">MAX(0,MIN(1,D48*(1+'Model - Scarcity &amp; Growth Rates'!$D48-'Model - Scarcity &amp; Growth Rates'!$E48)))</f>
        <v>0.92647196103848373</v>
      </c>
      <c r="E49" s="12">
        <f ca="1">B49*('Model - Scarcity &amp; Growth Rates'!$D49*(1-'Model - Scarcity &amp; Growth Rates'!$I49)-'Model - Scarcity &amp; Growth Rates'!$I49)+(1-'Model - Supply'!B49)*('Model - Scarcity &amp; Growth Rates'!$E49*(1-'Model - Scarcity &amp; Growth Rates'!$I49)-'Model - Scarcity &amp; Growth Rates'!$I49)</f>
        <v>-0.37034665698301217</v>
      </c>
      <c r="F49" s="12">
        <f ca="1">C49*('Model - Scarcity &amp; Growth Rates'!$D49*(1-'Model - Scarcity &amp; Growth Rates'!$I49)-'Model - Scarcity &amp; Growth Rates'!$I49)+(1-'Model - Supply'!C49)*('Model - Scarcity &amp; Growth Rates'!$E49*(1-'Model - Scarcity &amp; Growth Rates'!$I49)-'Model - Scarcity &amp; Growth Rates'!$I49)</f>
        <v>-0.37034665698301217</v>
      </c>
      <c r="G49" s="12">
        <f ca="1">D49*('Model - Scarcity &amp; Growth Rates'!$D49*(1-'Model - Scarcity &amp; Growth Rates'!$I49)-'Model - Scarcity &amp; Growth Rates'!$I49)+(1-'Model - Supply'!D49)*('Model - Scarcity &amp; Growth Rates'!$E49*(1-'Model - Scarcity &amp; Growth Rates'!$I49)-'Model - Scarcity &amp; Growth Rates'!$I49)</f>
        <v>-0.37034665698301217</v>
      </c>
      <c r="H49" s="12">
        <f ca="1">'Model - Scarcity &amp; Growth Rates'!J49</f>
        <v>2.1437454193754646E-2</v>
      </c>
      <c r="I49" s="21">
        <f ca="1">(1+E48)*I48*(1-(SUM(I$5:I48)/'Static Parameters'!C$17)^2)</f>
        <v>4.1364492797636536E-3</v>
      </c>
      <c r="J49" s="21">
        <f ca="1">(1+F48)*J48*(1-(SUM(J$5:J48)/'Static Parameters'!D$17)^2)</f>
        <v>1.0428548098857867E-4</v>
      </c>
      <c r="K49" s="21">
        <f ca="1">(1+G48)*K48*(1-(SUM(K$5:K48)/'Static Parameters'!E$17)^2)</f>
        <v>2.7299672706565249E-4</v>
      </c>
      <c r="L49" s="21">
        <f ca="1">(1+H48)*L48*(1-(SUM(L$5:L48)/'Static Parameters'!F$17)^2)</f>
        <v>1.5655297247095829E-4</v>
      </c>
      <c r="M49" s="21">
        <f ca="1">I49*B49*'Static Parameters'!C$15</f>
        <v>8.8142998347053687E-4</v>
      </c>
      <c r="N49" s="21">
        <f ca="1">J49*C49*'Static Parameters'!D$15</f>
        <v>2.2222042038245902E-5</v>
      </c>
      <c r="O49" s="21">
        <f ca="1">K49*D49*'Static Parameters'!E$15</f>
        <v>6.0701715139584656E-5</v>
      </c>
      <c r="P49" s="84">
        <f t="shared" ca="1" si="11"/>
        <v>1.5655297247095829E-4</v>
      </c>
      <c r="Q49" s="54">
        <f t="shared" ca="1" si="12"/>
        <v>3.0414500380479786E-4</v>
      </c>
      <c r="R49" s="54">
        <f t="shared" ca="1" si="13"/>
        <v>7.6679069092486773E-6</v>
      </c>
      <c r="S49" s="54">
        <f t="shared" ca="1" si="14"/>
        <v>2.007291398404972E-5</v>
      </c>
      <c r="T49" s="85">
        <f ca="1">I49*'Static Parameters'!C$19/(44/12)/1000</f>
        <v>1.0863819972033813E-4</v>
      </c>
      <c r="U49" s="85">
        <f ca="1">J49*'Static Parameters'!D$19/(44/12)/1000</f>
        <v>2.0847615699444046E-6</v>
      </c>
      <c r="V49" s="85">
        <f ca="1">K49*'Static Parameters'!E$19/(44/12)/1000</f>
        <v>4.1768499241044839E-6</v>
      </c>
      <c r="W49" s="85">
        <f ca="1">MAX(0,AC48*'Model - Scarcity &amp; Growth Rates'!$J48*(1-'Model - Supply'!Z48/'Static Parameters'!C$25)+'Model - Supply'!Z48/'Static Parameters'!C$27)</f>
        <v>5.3874392921181897</v>
      </c>
      <c r="X49" s="85">
        <f ca="1">MAX(0,AD48*'Model - Scarcity &amp; Growth Rates'!$J48*(1-'Model - Supply'!AA48/'Static Parameters'!D$25)+'Model - Supply'!AA48/'Static Parameters'!D$27)</f>
        <v>14.468931652006898</v>
      </c>
      <c r="Y49" s="85">
        <f ca="1">MAX(0,AE48*'Model - Scarcity &amp; Growth Rates'!$J48*(1-'Model - Supply'!AB48/'Static Parameters'!E$25)+'Model - Supply'!AB48/'Static Parameters'!E$27)</f>
        <v>0.67120857116098231</v>
      </c>
      <c r="Z49" s="85">
        <f ca="1">Z48+W49-Z48/'Static Parameters'!C$27</f>
        <v>110.06068680779639</v>
      </c>
      <c r="AA49" s="85">
        <f ca="1">AA48+X49-AA48/'Static Parameters'!D$27</f>
        <v>277.44764163572393</v>
      </c>
      <c r="AB49" s="85">
        <f ca="1">AB48+Y49-AB48/'Static Parameters'!E$27</f>
        <v>49.485438926301171</v>
      </c>
      <c r="AC49" s="85">
        <f ca="1">Z49-W49*'Static Parameters'!C$27/'Static Parameters'!C$26</f>
        <v>101.08162132093274</v>
      </c>
      <c r="AD49" s="85">
        <f ca="1">AA49-X49*'Static Parameters'!D$27/'Static Parameters'!D$26</f>
        <v>259.3614770707153</v>
      </c>
      <c r="AE49" s="85">
        <f ca="1">AB49-Y49*'Static Parameters'!E$27/'Static Parameters'!E$26</f>
        <v>48.766286885771549</v>
      </c>
      <c r="AF49" s="85">
        <f ca="1">AG48*'Model - Scarcity &amp; Growth Rates'!K48*(1-'Model - Supply'!AF48/'Static Parameters'!C$33)+'Model - Supply'!AF48</f>
        <v>111.58493900237869</v>
      </c>
      <c r="AG49" s="85">
        <f ca="1">AF49-AF49/'Static Parameters'!$C$34</f>
        <v>55.792469501189345</v>
      </c>
      <c r="AH49" s="85">
        <f t="shared" ca="1" si="15"/>
        <v>409.21050618413273</v>
      </c>
      <c r="AI49" s="85">
        <f t="shared" ca="1" si="16"/>
        <v>55.792801387014045</v>
      </c>
      <c r="AJ49" s="85">
        <f t="shared" ca="1" si="5"/>
        <v>1.1855749872753348E-3</v>
      </c>
      <c r="AK49" s="85">
        <f t="shared" ca="1" si="6"/>
        <v>2.988994894749458E-5</v>
      </c>
      <c r="AL49" s="85">
        <f t="shared" ca="1" si="7"/>
        <v>8.0774629123634383E-5</v>
      </c>
      <c r="AM49" s="85">
        <f t="shared" ca="1" si="8"/>
        <v>1.5655297247095829E-4</v>
      </c>
      <c r="AN49" s="85">
        <f t="shared" ca="1" si="9"/>
        <v>409.20938527741959</v>
      </c>
      <c r="AO49" s="85">
        <f t="shared" ca="1" si="10"/>
        <v>55.792469501189345</v>
      </c>
    </row>
    <row r="50" spans="1:41" x14ac:dyDescent="0.35">
      <c r="A50" s="13">
        <v>2068</v>
      </c>
      <c r="B50" s="12">
        <f ca="1">MAX(0,MIN(1,B49*(1+'Model - Scarcity &amp; Growth Rates'!$D49-'Model - Scarcity &amp; Growth Rates'!$E49)))</f>
        <v>0.91079868380532281</v>
      </c>
      <c r="C50" s="12">
        <f ca="1">MAX(0,MIN(1,C49*(1+'Model - Scarcity &amp; Growth Rates'!$D49-'Model - Scarcity &amp; Growth Rates'!$E49)))</f>
        <v>0.91079868380532281</v>
      </c>
      <c r="D50" s="12">
        <f ca="1">MAX(0,MIN(1,D49*(1+'Model - Scarcity &amp; Growth Rates'!$D49-'Model - Scarcity &amp; Growth Rates'!$E49)))</f>
        <v>0.91079868380532281</v>
      </c>
      <c r="E50" s="12">
        <f ca="1">B50*('Model - Scarcity &amp; Growth Rates'!$D50*(1-'Model - Scarcity &amp; Growth Rates'!$I50)-'Model - Scarcity &amp; Growth Rates'!$I50)+(1-'Model - Supply'!B50)*('Model - Scarcity &amp; Growth Rates'!$E50*(1-'Model - Scarcity &amp; Growth Rates'!$I50)-'Model - Scarcity &amp; Growth Rates'!$I50)</f>
        <v>-0.37185560218395836</v>
      </c>
      <c r="F50" s="12">
        <f ca="1">C50*('Model - Scarcity &amp; Growth Rates'!$D50*(1-'Model - Scarcity &amp; Growth Rates'!$I50)-'Model - Scarcity &amp; Growth Rates'!$I50)+(1-'Model - Supply'!C50)*('Model - Scarcity &amp; Growth Rates'!$E50*(1-'Model - Scarcity &amp; Growth Rates'!$I50)-'Model - Scarcity &amp; Growth Rates'!$I50)</f>
        <v>-0.37185560218395836</v>
      </c>
      <c r="G50" s="12">
        <f ca="1">D50*('Model - Scarcity &amp; Growth Rates'!$D50*(1-'Model - Scarcity &amp; Growth Rates'!$I50)-'Model - Scarcity &amp; Growth Rates'!$I50)+(1-'Model - Supply'!D50)*('Model - Scarcity &amp; Growth Rates'!$E50*(1-'Model - Scarcity &amp; Growth Rates'!$I50)-'Model - Scarcity &amp; Growth Rates'!$I50)</f>
        <v>-0.37185560218395836</v>
      </c>
      <c r="H50" s="12">
        <f ca="1">'Model - Scarcity &amp; Growth Rates'!J50</f>
        <v>1.9785150063333479E-2</v>
      </c>
      <c r="I50" s="21">
        <f ca="1">(1+E49)*I49*(1-(SUM(I$5:I49)/'Static Parameters'!C$17)^2)</f>
        <v>2.5665933738296962E-3</v>
      </c>
      <c r="J50" s="21">
        <f ca="1">(1+F49)*J49*(1-(SUM(J$5:J49)/'Static Parameters'!D$17)^2)</f>
        <v>6.2075232967481967E-5</v>
      </c>
      <c r="K50" s="21">
        <f ca="1">(1+G49)*K49*(1-(SUM(K$5:K49)/'Static Parameters'!E$17)^2)</f>
        <v>1.5781087792690696E-4</v>
      </c>
      <c r="L50" s="21">
        <f ca="1">(1+H49)*L49*(1-(SUM(L$5:L49)/'Static Parameters'!F$17)^2)</f>
        <v>8.5343781841243778E-5</v>
      </c>
      <c r="M50" s="21">
        <f ca="1">I50*B50*'Static Parameters'!C$15</f>
        <v>5.3765946935193656E-4</v>
      </c>
      <c r="N50" s="21">
        <f ca="1">J50*C50*'Static Parameters'!D$15</f>
        <v>1.3003749311249012E-5</v>
      </c>
      <c r="O50" s="21">
        <f ca="1">K50*D50*'Static Parameters'!E$15</f>
        <v>3.4496145577437437E-5</v>
      </c>
      <c r="P50" s="84">
        <f t="shared" ca="1" si="11"/>
        <v>8.5343781841243778E-5</v>
      </c>
      <c r="Q50" s="54">
        <f t="shared" ca="1" si="12"/>
        <v>2.2894350708214606E-4</v>
      </c>
      <c r="R50" s="54">
        <f t="shared" ca="1" si="13"/>
        <v>5.5371924837906087E-6</v>
      </c>
      <c r="S50" s="54">
        <f t="shared" ca="1" si="14"/>
        <v>1.4076938020917632E-5</v>
      </c>
      <c r="T50" s="85">
        <f ca="1">I50*'Static Parameters'!C$19/(44/12)/1000</f>
        <v>6.740807506358175E-5</v>
      </c>
      <c r="U50" s="85">
        <f ca="1">J50*'Static Parameters'!D$19/(44/12)/1000</f>
        <v>1.2409403390499349E-6</v>
      </c>
      <c r="V50" s="85">
        <f ca="1">K50*'Static Parameters'!E$19/(44/12)/1000</f>
        <v>2.414506432281677E-6</v>
      </c>
      <c r="W50" s="85">
        <f ca="1">MAX(0,AC49*'Model - Scarcity &amp; Growth Rates'!$J49*(1-'Model - Supply'!Z49/'Static Parameters'!C$25)+'Model - Supply'!Z49/'Static Parameters'!C$27)</f>
        <v>5.3768896332967513</v>
      </c>
      <c r="X50" s="85">
        <f ca="1">MAX(0,AD49*'Model - Scarcity &amp; Growth Rates'!$J49*(1-'Model - Supply'!AA49/'Static Parameters'!D$25)+'Model - Supply'!AA49/'Static Parameters'!D$27)</f>
        <v>14.454208735415506</v>
      </c>
      <c r="Y50" s="85">
        <f ca="1">MAX(0,AE49*'Model - Scarcity &amp; Growth Rates'!$J49*(1-'Model - Supply'!AB49/'Static Parameters'!E$25)+'Model - Supply'!AB49/'Static Parameters'!E$27)</f>
        <v>0.67056455298527773</v>
      </c>
      <c r="Z50" s="85">
        <f ca="1">Z49+W50-Z49/'Static Parameters'!C$27</f>
        <v>111.03514896878129</v>
      </c>
      <c r="AA50" s="85">
        <f ca="1">AA49+X50-AA49/'Static Parameters'!D$27</f>
        <v>280.80394470571042</v>
      </c>
      <c r="AB50" s="85">
        <f ca="1">AB49+Y50-AB49/'Static Parameters'!E$27</f>
        <v>49.496197626935768</v>
      </c>
      <c r="AC50" s="85">
        <f ca="1">Z50-W50*'Static Parameters'!C$27/'Static Parameters'!C$26</f>
        <v>102.07366624662004</v>
      </c>
      <c r="AD50" s="85">
        <f ca="1">AA50-X50*'Static Parameters'!D$27/'Static Parameters'!D$26</f>
        <v>262.73618378644102</v>
      </c>
      <c r="AE50" s="85">
        <f ca="1">AB50-Y50*'Static Parameters'!E$27/'Static Parameters'!E$26</f>
        <v>48.77773560588011</v>
      </c>
      <c r="AF50" s="85">
        <f ca="1">AG49*'Model - Scarcity &amp; Growth Rates'!K49*(1-'Model - Supply'!AF49/'Static Parameters'!C$33)+'Model - Supply'!AF49</f>
        <v>112.53093542287868</v>
      </c>
      <c r="AG50" s="85">
        <f ca="1">AF50-AF50/'Static Parameters'!$C$34</f>
        <v>56.265467711439342</v>
      </c>
      <c r="AH50" s="85">
        <f t="shared" ca="1" si="15"/>
        <v>413.58825614208729</v>
      </c>
      <c r="AI50" s="85">
        <f t="shared" ca="1" si="16"/>
        <v>56.265716269076933</v>
      </c>
      <c r="AJ50" s="85">
        <f t="shared" ca="1" si="5"/>
        <v>7.6660297643408259E-4</v>
      </c>
      <c r="AK50" s="85">
        <f t="shared" ca="1" si="6"/>
        <v>1.8540941795039622E-5</v>
      </c>
      <c r="AL50" s="85">
        <f t="shared" ca="1" si="7"/>
        <v>4.8573083598355069E-5</v>
      </c>
      <c r="AM50" s="85">
        <f t="shared" ca="1" si="8"/>
        <v>8.5343781841243778E-5</v>
      </c>
      <c r="AN50" s="85">
        <f t="shared" ca="1" si="9"/>
        <v>413.58758563894116</v>
      </c>
      <c r="AO50" s="85">
        <f t="shared" ca="1" si="10"/>
        <v>56.265467711439342</v>
      </c>
    </row>
    <row r="51" spans="1:41" x14ac:dyDescent="0.35">
      <c r="A51" s="13">
        <v>2069</v>
      </c>
      <c r="B51" s="12">
        <f ca="1">MAX(0,MIN(1,B50*(1+'Model - Scarcity &amp; Growth Rates'!$D50-'Model - Scarcity &amp; Growth Rates'!$E50)))</f>
        <v>0.89343591406252176</v>
      </c>
      <c r="C51" s="12">
        <f ca="1">MAX(0,MIN(1,C50*(1+'Model - Scarcity &amp; Growth Rates'!$D50-'Model - Scarcity &amp; Growth Rates'!$E50)))</f>
        <v>0.89343591406252176</v>
      </c>
      <c r="D51" s="12">
        <f ca="1">MAX(0,MIN(1,D50*(1+'Model - Scarcity &amp; Growth Rates'!$D50-'Model - Scarcity &amp; Growth Rates'!$E50)))</f>
        <v>0.89343591406252176</v>
      </c>
      <c r="E51" s="12">
        <f ca="1">B51*('Model - Scarcity &amp; Growth Rates'!$D51*(1-'Model - Scarcity &amp; Growth Rates'!$I51)-'Model - Scarcity &amp; Growth Rates'!$I51)+(1-'Model - Supply'!B51)*('Model - Scarcity &amp; Growth Rates'!$E51*(1-'Model - Scarcity &amp; Growth Rates'!$I51)-'Model - Scarcity &amp; Growth Rates'!$I51)</f>
        <v>-0.37317597910808342</v>
      </c>
      <c r="F51" s="12">
        <f ca="1">C51*('Model - Scarcity &amp; Growth Rates'!$D51*(1-'Model - Scarcity &amp; Growth Rates'!$I51)-'Model - Scarcity &amp; Growth Rates'!$I51)+(1-'Model - Supply'!C51)*('Model - Scarcity &amp; Growth Rates'!$E51*(1-'Model - Scarcity &amp; Growth Rates'!$I51)-'Model - Scarcity &amp; Growth Rates'!$I51)</f>
        <v>-0.37317597910808342</v>
      </c>
      <c r="G51" s="12">
        <f ca="1">D51*('Model - Scarcity &amp; Growth Rates'!$D51*(1-'Model - Scarcity &amp; Growth Rates'!$I51)-'Model - Scarcity &amp; Growth Rates'!$I51)+(1-'Model - Supply'!D51)*('Model - Scarcity &amp; Growth Rates'!$E51*(1-'Model - Scarcity &amp; Growth Rates'!$I51)-'Model - Scarcity &amp; Growth Rates'!$I51)</f>
        <v>-0.37317597910808342</v>
      </c>
      <c r="H51" s="12">
        <f ca="1">'Model - Scarcity &amp; Growth Rates'!J51</f>
        <v>1.832262338220433E-2</v>
      </c>
      <c r="I51" s="21">
        <f ca="1">(1+E50)*I50*(1-(SUM(I$5:I50)/'Static Parameters'!C$17)^2)</f>
        <v>1.5887091632403351E-3</v>
      </c>
      <c r="J51" s="21">
        <f ca="1">(1+F50)*J50*(1-(SUM(J$5:J50)/'Static Parameters'!D$17)^2)</f>
        <v>3.6861316638840214E-5</v>
      </c>
      <c r="K51" s="21">
        <f ca="1">(1+G50)*K50*(1-(SUM(K$5:K50)/'Static Parameters'!E$17)^2)</f>
        <v>9.1006917081960572E-5</v>
      </c>
      <c r="L51" s="21">
        <f ca="1">(1+H50)*L50*(1-(SUM(L$5:L50)/'Static Parameters'!F$17)^2)</f>
        <v>4.6449311332257557E-5</v>
      </c>
      <c r="M51" s="21">
        <f ca="1">I51*B51*'Static Parameters'!C$15</f>
        <v>3.2646425939100054E-4</v>
      </c>
      <c r="N51" s="21">
        <f ca="1">J51*C51*'Static Parameters'!D$15</f>
        <v>7.5746415486971571E-6</v>
      </c>
      <c r="O51" s="21">
        <f ca="1">K51*D51*'Static Parameters'!E$15</f>
        <v>1.9514123555792055E-5</v>
      </c>
      <c r="P51" s="84">
        <f t="shared" ca="1" si="11"/>
        <v>4.6449311332257557E-5</v>
      </c>
      <c r="Q51" s="54">
        <f t="shared" ca="1" si="12"/>
        <v>1.6929933980120221E-4</v>
      </c>
      <c r="R51" s="54">
        <f t="shared" ca="1" si="13"/>
        <v>3.9280925140699652E-6</v>
      </c>
      <c r="S51" s="54">
        <f t="shared" ca="1" si="14"/>
        <v>9.6980689328270022E-6</v>
      </c>
      <c r="T51" s="85">
        <f ca="1">I51*'Static Parameters'!C$19/(44/12)/1000</f>
        <v>4.1725279750921163E-5</v>
      </c>
      <c r="U51" s="85">
        <f ca="1">J51*'Static Parameters'!D$19/(44/12)/1000</f>
        <v>7.3689122989826938E-7</v>
      </c>
      <c r="V51" s="85">
        <f ca="1">K51*'Static Parameters'!E$19/(44/12)/1000</f>
        <v>1.3924058313539968E-6</v>
      </c>
      <c r="W51" s="85">
        <f ca="1">MAX(0,AC50*'Model - Scarcity &amp; Growth Rates'!$J50*(1-'Model - Supply'!Z50/'Static Parameters'!C$25)+'Model - Supply'!Z50/'Static Parameters'!C$27)</f>
        <v>5.3397475823871421</v>
      </c>
      <c r="X51" s="85">
        <f ca="1">MAX(0,AD50*'Model - Scarcity &amp; Growth Rates'!$J50*(1-'Model - Supply'!AA50/'Static Parameters'!D$25)+'Model - Supply'!AA50/'Static Parameters'!D$27)</f>
        <v>14.345152502879216</v>
      </c>
      <c r="Y51" s="85">
        <f ca="1">MAX(0,AE50*'Model - Scarcity &amp; Growth Rates'!$J50*(1-'Model - Supply'!AB50/'Static Parameters'!E$25)+'Model - Supply'!AB50/'Static Parameters'!E$27)</f>
        <v>0.66967344136950913</v>
      </c>
      <c r="Z51" s="85">
        <f ca="1">Z50+W51-Z50/'Static Parameters'!C$27</f>
        <v>111.93349059241719</v>
      </c>
      <c r="AA51" s="85">
        <f ca="1">AA50+X51-AA50/'Static Parameters'!D$27</f>
        <v>283.91693942036125</v>
      </c>
      <c r="AB51" s="85">
        <f ca="1">AB50+Y51-AB50/'Static Parameters'!E$27</f>
        <v>49.505921766612801</v>
      </c>
      <c r="AC51" s="85">
        <f ca="1">Z51-W51*'Static Parameters'!C$27/'Static Parameters'!C$26</f>
        <v>103.03391128843862</v>
      </c>
      <c r="AD51" s="85">
        <f ca="1">AA51-X51*'Static Parameters'!D$27/'Static Parameters'!D$26</f>
        <v>265.98549879176221</v>
      </c>
      <c r="AE51" s="85">
        <f ca="1">AB51-Y51*'Static Parameters'!E$27/'Static Parameters'!E$26</f>
        <v>48.78841450800261</v>
      </c>
      <c r="AF51" s="85">
        <f ca="1">AG50*'Model - Scarcity &amp; Growth Rates'!K50*(1-'Model - Supply'!AF50/'Static Parameters'!C$33)+'Model - Supply'!AF50</f>
        <v>113.4868947048422</v>
      </c>
      <c r="AG51" s="85">
        <f ca="1">AF51-AF51/'Static Parameters'!$C$34</f>
        <v>56.7434473524211</v>
      </c>
      <c r="AH51" s="85">
        <f t="shared" ca="1" si="15"/>
        <v>417.80822459053928</v>
      </c>
      <c r="AI51" s="85">
        <f t="shared" ca="1" si="16"/>
        <v>56.74363027792235</v>
      </c>
      <c r="AJ51" s="85">
        <f t="shared" ca="1" si="5"/>
        <v>4.9576359919220278E-4</v>
      </c>
      <c r="AK51" s="85">
        <f t="shared" ca="1" si="6"/>
        <v>1.1502734062767122E-5</v>
      </c>
      <c r="AL51" s="85">
        <f t="shared" ca="1" si="7"/>
        <v>2.9212192488619056E-5</v>
      </c>
      <c r="AM51" s="85">
        <f t="shared" ca="1" si="8"/>
        <v>4.6449311332257557E-5</v>
      </c>
      <c r="AN51" s="85">
        <f t="shared" ca="1" si="9"/>
        <v>417.80782458820346</v>
      </c>
      <c r="AO51" s="85">
        <f t="shared" ca="1" si="10"/>
        <v>56.7434473524211</v>
      </c>
    </row>
    <row r="52" spans="1:41" x14ac:dyDescent="0.35">
      <c r="A52" s="13">
        <v>2070</v>
      </c>
      <c r="B52" s="12">
        <f ca="1">MAX(0,MIN(1,B51*(1+'Model - Scarcity &amp; Growth Rates'!$D51-'Model - Scarcity &amp; Growth Rates'!$E51)))</f>
        <v>0.87492344473927164</v>
      </c>
      <c r="C52" s="12">
        <f ca="1">MAX(0,MIN(1,C51*(1+'Model - Scarcity &amp; Growth Rates'!$D51-'Model - Scarcity &amp; Growth Rates'!$E51)))</f>
        <v>0.87492344473927164</v>
      </c>
      <c r="D52" s="12">
        <f ca="1">MAX(0,MIN(1,D51*(1+'Model - Scarcity &amp; Growth Rates'!$D51-'Model - Scarcity &amp; Growth Rates'!$E51)))</f>
        <v>0.87492344473927164</v>
      </c>
      <c r="E52" s="12">
        <f ca="1">B52*('Model - Scarcity &amp; Growth Rates'!$D52*(1-'Model - Scarcity &amp; Growth Rates'!$I52)-'Model - Scarcity &amp; Growth Rates'!$I52)+(1-'Model - Supply'!B52)*('Model - Scarcity &amp; Growth Rates'!$E52*(1-'Model - Scarcity &amp; Growth Rates'!$I52)-'Model - Scarcity &amp; Growth Rates'!$I52)</f>
        <v>-0.3741403395457103</v>
      </c>
      <c r="F52" s="12">
        <f ca="1">C52*('Model - Scarcity &amp; Growth Rates'!$D52*(1-'Model - Scarcity &amp; Growth Rates'!$I52)-'Model - Scarcity &amp; Growth Rates'!$I52)+(1-'Model - Supply'!C52)*('Model - Scarcity &amp; Growth Rates'!$E52*(1-'Model - Scarcity &amp; Growth Rates'!$I52)-'Model - Scarcity &amp; Growth Rates'!$I52)</f>
        <v>-0.3741403395457103</v>
      </c>
      <c r="G52" s="12">
        <f ca="1">D52*('Model - Scarcity &amp; Growth Rates'!$D52*(1-'Model - Scarcity &amp; Growth Rates'!$I52)-'Model - Scarcity &amp; Growth Rates'!$I52)+(1-'Model - Supply'!D52)*('Model - Scarcity &amp; Growth Rates'!$E52*(1-'Model - Scarcity &amp; Growth Rates'!$I52)-'Model - Scarcity &amp; Growth Rates'!$I52)</f>
        <v>-0.3741403395457103</v>
      </c>
      <c r="H52" s="12">
        <f ca="1">'Model - Scarcity &amp; Growth Rates'!J52</f>
        <v>1.739371188094057E-2</v>
      </c>
      <c r="I52" s="21">
        <f ca="1">(1+E51)*I51*(1-(SUM(I$5:I51)/'Static Parameters'!C$17)^2)</f>
        <v>9.8133630397525965E-4</v>
      </c>
      <c r="J52" s="21">
        <f ca="1">(1+F51)*J51*(1-(SUM(J$5:J51)/'Static Parameters'!D$17)^2)</f>
        <v>2.1842858298416499E-5</v>
      </c>
      <c r="K52" s="21">
        <f ca="1">(1+G51)*K51*(1-(SUM(K$5:K51)/'Static Parameters'!E$17)^2)</f>
        <v>5.2371860928316787E-5</v>
      </c>
      <c r="L52" s="21">
        <f ca="1">(1+H51)*L51*(1-(SUM(L$5:L51)/'Static Parameters'!F$17)^2)</f>
        <v>2.5244300590182788E-5</v>
      </c>
      <c r="M52" s="21">
        <f ca="1">I52*B52*'Static Parameters'!C$15</f>
        <v>1.9747665209000003E-4</v>
      </c>
      <c r="N52" s="21">
        <f ca="1">J52*C52*'Static Parameters'!D$15</f>
        <v>4.3954906298425406E-6</v>
      </c>
      <c r="O52" s="21">
        <f ca="1">K52*D52*'Static Parameters'!E$15</f>
        <v>1.0997128552994157E-5</v>
      </c>
      <c r="P52" s="84">
        <f t="shared" ca="1" si="11"/>
        <v>2.5244300590182788E-5</v>
      </c>
      <c r="Q52" s="54">
        <f t="shared" ca="1" si="12"/>
        <v>1.227421644535205E-4</v>
      </c>
      <c r="R52" s="54">
        <f t="shared" ca="1" si="13"/>
        <v>2.7320294730141505E-6</v>
      </c>
      <c r="S52" s="54">
        <f t="shared" ca="1" si="14"/>
        <v>6.5504919575077951E-6</v>
      </c>
      <c r="T52" s="85">
        <f ca="1">I52*'Static Parameters'!C$19/(44/12)/1000</f>
        <v>2.5773459838041138E-5</v>
      </c>
      <c r="U52" s="85">
        <f ca="1">J52*'Static Parameters'!D$19/(44/12)/1000</f>
        <v>4.3665859452925343E-7</v>
      </c>
      <c r="V52" s="85">
        <f ca="1">K52*'Static Parameters'!E$19/(44/12)/1000</f>
        <v>8.0128947220324692E-7</v>
      </c>
      <c r="W52" s="85">
        <f ca="1">MAX(0,AC51*'Model - Scarcity &amp; Growth Rates'!$J51*(1-'Model - Supply'!Z51/'Static Parameters'!C$25)+'Model - Supply'!Z51/'Static Parameters'!C$27)</f>
        <v>5.3086221060771166</v>
      </c>
      <c r="X52" s="85">
        <f ca="1">MAX(0,AD51*'Model - Scarcity &amp; Growth Rates'!$J51*(1-'Model - Supply'!AA51/'Static Parameters'!D$25)+'Model - Supply'!AA51/'Static Parameters'!D$27)</f>
        <v>14.253538265059396</v>
      </c>
      <c r="Y52" s="85">
        <f ca="1">MAX(0,AE51*'Model - Scarcity &amp; Growth Rates'!$J51*(1-'Model - Supply'!AB51/'Static Parameters'!E$25)+'Model - Supply'!AB51/'Static Parameters'!E$27)</f>
        <v>0.66891240122945317</v>
      </c>
      <c r="Z52" s="85">
        <f ca="1">Z51+W52-Z51/'Static Parameters'!C$27</f>
        <v>112.76477307479762</v>
      </c>
      <c r="AA52" s="85">
        <f ca="1">AA51+X52-AA51/'Static Parameters'!D$27</f>
        <v>286.81380010860619</v>
      </c>
      <c r="AB52" s="85">
        <f ca="1">AB51+Y52-AB51/'Static Parameters'!E$27</f>
        <v>49.514755210954085</v>
      </c>
      <c r="AC52" s="85">
        <f ca="1">Z52-W52*'Static Parameters'!C$27/'Static Parameters'!C$26</f>
        <v>103.91706956466909</v>
      </c>
      <c r="AD52" s="85">
        <f ca="1">AA52-X52*'Static Parameters'!D$27/'Static Parameters'!D$26</f>
        <v>268.99687727728195</v>
      </c>
      <c r="AE52" s="85">
        <f ca="1">AB52-Y52*'Static Parameters'!E$27/'Static Parameters'!E$26</f>
        <v>48.798063352493955</v>
      </c>
      <c r="AF52" s="85">
        <f ca="1">AG51*'Model - Scarcity &amp; Growth Rates'!K51*(1-'Model - Supply'!AF51/'Static Parameters'!C$33)+'Model - Supply'!AF51</f>
        <v>114.44521912436559</v>
      </c>
      <c r="AG52" s="85">
        <f ca="1">AF52-AF52/'Static Parameters'!$C$34</f>
        <v>57.222609562182797</v>
      </c>
      <c r="AH52" s="85">
        <f t="shared" ca="1" si="15"/>
        <v>421.71224830801685</v>
      </c>
      <c r="AI52" s="85">
        <f t="shared" ca="1" si="16"/>
        <v>57.222741586868679</v>
      </c>
      <c r="AJ52" s="85">
        <f t="shared" ca="1" si="5"/>
        <v>3.2021881654352056E-4</v>
      </c>
      <c r="AK52" s="85">
        <f t="shared" ca="1" si="6"/>
        <v>7.127520102856691E-6</v>
      </c>
      <c r="AL52" s="85">
        <f t="shared" ca="1" si="7"/>
        <v>1.7547620510501952E-5</v>
      </c>
      <c r="AM52" s="85">
        <f t="shared" ca="1" si="8"/>
        <v>2.5244300590182788E-5</v>
      </c>
      <c r="AN52" s="85">
        <f t="shared" ca="1" si="9"/>
        <v>421.71201019444499</v>
      </c>
      <c r="AO52" s="85">
        <f t="shared" ca="1" si="10"/>
        <v>57.222609562182797</v>
      </c>
    </row>
    <row r="53" spans="1:41" x14ac:dyDescent="0.35">
      <c r="A53" s="13">
        <v>2071</v>
      </c>
      <c r="B53" s="12">
        <f ca="1">MAX(0,MIN(1,B52*(1+'Model - Scarcity &amp; Growth Rates'!$D52-'Model - Scarcity &amp; Growth Rates'!$E52)))</f>
        <v>0.8560265015802232</v>
      </c>
      <c r="C53" s="12">
        <f ca="1">MAX(0,MIN(1,C52*(1+'Model - Scarcity &amp; Growth Rates'!$D52-'Model - Scarcity &amp; Growth Rates'!$E52)))</f>
        <v>0.8560265015802232</v>
      </c>
      <c r="D53" s="12">
        <f ca="1">MAX(0,MIN(1,D52*(1+'Model - Scarcity &amp; Growth Rates'!$D52-'Model - Scarcity &amp; Growth Rates'!$E52)))</f>
        <v>0.8560265015802232</v>
      </c>
      <c r="E53" s="12">
        <f ca="1">B53*('Model - Scarcity &amp; Growth Rates'!$D53*(1-'Model - Scarcity &amp; Growth Rates'!$I53)-'Model - Scarcity &amp; Growth Rates'!$I53)+(1-'Model - Supply'!B53)*('Model - Scarcity &amp; Growth Rates'!$E53*(1-'Model - Scarcity &amp; Growth Rates'!$I53)-'Model - Scarcity &amp; Growth Rates'!$I53)</f>
        <v>-0.37481139512622491</v>
      </c>
      <c r="F53" s="12">
        <f ca="1">C53*('Model - Scarcity &amp; Growth Rates'!$D53*(1-'Model - Scarcity &amp; Growth Rates'!$I53)-'Model - Scarcity &amp; Growth Rates'!$I53)+(1-'Model - Supply'!C53)*('Model - Scarcity &amp; Growth Rates'!$E53*(1-'Model - Scarcity &amp; Growth Rates'!$I53)-'Model - Scarcity &amp; Growth Rates'!$I53)</f>
        <v>-0.37481139512622491</v>
      </c>
      <c r="G53" s="12">
        <f ca="1">D53*('Model - Scarcity &amp; Growth Rates'!$D53*(1-'Model - Scarcity &amp; Growth Rates'!$I53)-'Model - Scarcity &amp; Growth Rates'!$I53)+(1-'Model - Supply'!D53)*('Model - Scarcity &amp; Growth Rates'!$E53*(1-'Model - Scarcity &amp; Growth Rates'!$I53)-'Model - Scarcity &amp; Growth Rates'!$I53)</f>
        <v>-0.37481139512622491</v>
      </c>
      <c r="H53" s="12">
        <f ca="1">'Model - Scarcity &amp; Growth Rates'!J53</f>
        <v>1.6944999477637172E-2</v>
      </c>
      <c r="I53" s="21">
        <f ca="1">(1+E52)*I52*(1-(SUM(I$5:I52)/'Static Parameters'!C$17)^2)</f>
        <v>6.0523307830087007E-4</v>
      </c>
      <c r="J53" s="21">
        <f ca="1">(1+F52)*J52*(1-(SUM(J$5:J52)/'Static Parameters'!D$17)^2)</f>
        <v>1.2923478416439402E-5</v>
      </c>
      <c r="K53" s="21">
        <f ca="1">(1+G52)*K52*(1-(SUM(K$5:K52)/'Static Parameters'!E$17)^2)</f>
        <v>3.0092130494038229E-5</v>
      </c>
      <c r="L53" s="21">
        <f ca="1">(1+H52)*L52*(1-(SUM(L$5:L52)/'Static Parameters'!F$17)^2)</f>
        <v>1.3707272312331873E-5</v>
      </c>
      <c r="M53" s="21">
        <f ca="1">I53*B53*'Static Parameters'!C$15</f>
        <v>1.1916197757146031E-4</v>
      </c>
      <c r="N53" s="21">
        <f ca="1">J53*C53*'Static Parameters'!D$15</f>
        <v>2.5444532039265936E-6</v>
      </c>
      <c r="O53" s="21">
        <f ca="1">K53*D53*'Static Parameters'!E$15</f>
        <v>6.1823186860577036E-6</v>
      </c>
      <c r="P53" s="84">
        <f t="shared" ca="1" si="11"/>
        <v>1.3707272312331873E-5</v>
      </c>
      <c r="Q53" s="54">
        <f t="shared" ca="1" si="12"/>
        <v>8.7137523642346961E-5</v>
      </c>
      <c r="R53" s="54">
        <f t="shared" ca="1" si="13"/>
        <v>1.8606383993672579E-6</v>
      </c>
      <c r="S53" s="54">
        <f t="shared" ca="1" si="14"/>
        <v>4.3324693021311303E-6</v>
      </c>
      <c r="T53" s="85">
        <f ca="1">I53*'Static Parameters'!C$19/(44/12)/1000</f>
        <v>1.5895621483738305E-5</v>
      </c>
      <c r="U53" s="85">
        <f ca="1">J53*'Static Parameters'!D$19/(44/12)/1000</f>
        <v>2.5835208216136588E-7</v>
      </c>
      <c r="V53" s="85">
        <f ca="1">K53*'Static Parameters'!E$19/(44/12)/1000</f>
        <v>4.6040959655878498E-7</v>
      </c>
      <c r="W53" s="85">
        <f ca="1">MAX(0,AC52*'Model - Scarcity &amp; Growth Rates'!$J52*(1-'Model - Supply'!Z52/'Static Parameters'!C$25)+'Model - Supply'!Z52/'Static Parameters'!C$27)</f>
        <v>5.2989808423952924</v>
      </c>
      <c r="X53" s="85">
        <f ca="1">MAX(0,AD52*'Model - Scarcity &amp; Growth Rates'!$J52*(1-'Model - Supply'!AA52/'Static Parameters'!D$25)+'Model - Supply'!AA52/'Static Parameters'!D$27)</f>
        <v>14.234320545168183</v>
      </c>
      <c r="Y53" s="85">
        <f ca="1">MAX(0,AE52*'Model - Scarcity &amp; Growth Rates'!$J52*(1-'Model - Supply'!AB52/'Static Parameters'!E$25)+'Model - Supply'!AB52/'Static Parameters'!E$27)</f>
        <v>0.66843405229103192</v>
      </c>
      <c r="Z53" s="85">
        <f ca="1">Z52+W53-Z52/'Static Parameters'!C$27</f>
        <v>113.553162994201</v>
      </c>
      <c r="AA53" s="85">
        <f ca="1">AA52+X53-AA52/'Static Parameters'!D$27</f>
        <v>289.57556864943012</v>
      </c>
      <c r="AB53" s="85">
        <f ca="1">AB52+Y53-AB52/'Static Parameters'!E$27</f>
        <v>49.522992527099063</v>
      </c>
      <c r="AC53" s="85">
        <f ca="1">Z53-W53*'Static Parameters'!C$27/'Static Parameters'!C$26</f>
        <v>104.72152825687552</v>
      </c>
      <c r="AD53" s="85">
        <f ca="1">AA53-X53*'Static Parameters'!D$27/'Static Parameters'!D$26</f>
        <v>271.78266796796987</v>
      </c>
      <c r="AE53" s="85">
        <f ca="1">AB53-Y53*'Static Parameters'!E$27/'Static Parameters'!E$26</f>
        <v>48.806813185358671</v>
      </c>
      <c r="AF53" s="85">
        <f ca="1">AG52*'Model - Scarcity &amp; Growth Rates'!K52*(1-'Model - Supply'!AF52/'Static Parameters'!C$33)+'Model - Supply'!AF52</f>
        <v>115.39968116736664</v>
      </c>
      <c r="AG53" s="85">
        <f ca="1">AF53-AF53/'Static Parameters'!$C$34</f>
        <v>57.699840583683319</v>
      </c>
      <c r="AH53" s="85">
        <f t="shared" ca="1" si="15"/>
        <v>425.31115100622583</v>
      </c>
      <c r="AI53" s="85">
        <f t="shared" ca="1" si="16"/>
        <v>57.699933914314663</v>
      </c>
      <c r="AJ53" s="85">
        <f t="shared" ca="1" si="5"/>
        <v>2.0629950121380729E-4</v>
      </c>
      <c r="AK53" s="85">
        <f t="shared" ca="1" si="6"/>
        <v>4.4050916032938515E-6</v>
      </c>
      <c r="AL53" s="85">
        <f t="shared" ca="1" si="7"/>
        <v>1.0514787988188834E-5</v>
      </c>
      <c r="AM53" s="85">
        <f t="shared" ca="1" si="8"/>
        <v>1.3707272312331873E-5</v>
      </c>
      <c r="AN53" s="85">
        <f t="shared" ca="1" si="9"/>
        <v>425.31100941020406</v>
      </c>
      <c r="AO53" s="85">
        <f t="shared" ca="1" si="10"/>
        <v>57.699840583683319</v>
      </c>
    </row>
    <row r="54" spans="1:41" x14ac:dyDescent="0.35">
      <c r="A54" s="13">
        <v>2072</v>
      </c>
      <c r="B54" s="12">
        <f ca="1">MAX(0,MIN(1,B53*(1+'Model - Scarcity &amp; Growth Rates'!$D53-'Model - Scarcity &amp; Growth Rates'!$E53)))</f>
        <v>0.83737027688013865</v>
      </c>
      <c r="C54" s="12">
        <f ca="1">MAX(0,MIN(1,C53*(1+'Model - Scarcity &amp; Growth Rates'!$D53-'Model - Scarcity &amp; Growth Rates'!$E53)))</f>
        <v>0.83737027688013865</v>
      </c>
      <c r="D54" s="12">
        <f ca="1">MAX(0,MIN(1,D53*(1+'Model - Scarcity &amp; Growth Rates'!$D53-'Model - Scarcity &amp; Growth Rates'!$E53)))</f>
        <v>0.83737027688013865</v>
      </c>
      <c r="E54" s="12">
        <f ca="1">B54*('Model - Scarcity &amp; Growth Rates'!$D54*(1-'Model - Scarcity &amp; Growth Rates'!$I54)-'Model - Scarcity &amp; Growth Rates'!$I54)+(1-'Model - Supply'!B54)*('Model - Scarcity &amp; Growth Rates'!$E54*(1-'Model - Scarcity &amp; Growth Rates'!$I54)-'Model - Scarcity &amp; Growth Rates'!$I54)</f>
        <v>-0.37535627545200667</v>
      </c>
      <c r="F54" s="12">
        <f ca="1">C54*('Model - Scarcity &amp; Growth Rates'!$D54*(1-'Model - Scarcity &amp; Growth Rates'!$I54)-'Model - Scarcity &amp; Growth Rates'!$I54)+(1-'Model - Supply'!C54)*('Model - Scarcity &amp; Growth Rates'!$E54*(1-'Model - Scarcity &amp; Growth Rates'!$I54)-'Model - Scarcity &amp; Growth Rates'!$I54)</f>
        <v>-0.37535627545200667</v>
      </c>
      <c r="G54" s="12">
        <f ca="1">D54*('Model - Scarcity &amp; Growth Rates'!$D54*(1-'Model - Scarcity &amp; Growth Rates'!$I54)-'Model - Scarcity &amp; Growth Rates'!$I54)+(1-'Model - Supply'!D54)*('Model - Scarcity &amp; Growth Rates'!$E54*(1-'Model - Scarcity &amp; Growth Rates'!$I54)-'Model - Scarcity &amp; Growth Rates'!$I54)</f>
        <v>-0.37535627545200667</v>
      </c>
      <c r="H54" s="12">
        <f ca="1">'Model - Scarcity &amp; Growth Rates'!J54</f>
        <v>1.6712304913476764E-2</v>
      </c>
      <c r="I54" s="21">
        <f ca="1">(1+E53)*I53*(1-(SUM(I$5:I53)/'Static Parameters'!C$17)^2)</f>
        <v>3.7287351523008756E-4</v>
      </c>
      <c r="J54" s="21">
        <f ca="1">(1+F53)*J53*(1-(SUM(J$5:J53)/'Static Parameters'!D$17)^2)</f>
        <v>7.6380670859651336E-6</v>
      </c>
      <c r="K54" s="21">
        <f ca="1">(1+G53)*K53*(1-(SUM(K$5:K53)/'Static Parameters'!E$17)^2)</f>
        <v>1.7271973352756977E-5</v>
      </c>
      <c r="L54" s="21">
        <f ca="1">(1+H53)*L53*(1-(SUM(L$5:L53)/'Static Parameters'!F$17)^2)</f>
        <v>7.4395581467015147E-6</v>
      </c>
      <c r="M54" s="21">
        <f ca="1">I54*B54*'Static Parameters'!C$15</f>
        <v>7.181363569858249E-5</v>
      </c>
      <c r="N54" s="21">
        <f ca="1">J54*C54*'Static Parameters'!D$15</f>
        <v>1.4710547806388507E-6</v>
      </c>
      <c r="O54" s="21">
        <f ca="1">K54*D54*'Static Parameters'!E$15</f>
        <v>3.4711289060794764E-6</v>
      </c>
      <c r="P54" s="84">
        <f t="shared" ca="1" si="11"/>
        <v>7.4395581467015147E-6</v>
      </c>
      <c r="Q54" s="54">
        <f t="shared" ca="1" si="12"/>
        <v>6.0640316540598545E-5</v>
      </c>
      <c r="R54" s="54">
        <f t="shared" ca="1" si="13"/>
        <v>1.2421767353614359E-6</v>
      </c>
      <c r="S54" s="54">
        <f t="shared" ca="1" si="14"/>
        <v>2.8089362440924906E-6</v>
      </c>
      <c r="T54" s="85">
        <f ca="1">I54*'Static Parameters'!C$19/(44/12)/1000</f>
        <v>9.7930144136338447E-6</v>
      </c>
      <c r="U54" s="85">
        <f ca="1">J54*'Static Parameters'!D$19/(44/12)/1000</f>
        <v>1.526919047457939E-7</v>
      </c>
      <c r="V54" s="85">
        <f ca="1">K54*'Static Parameters'!E$19/(44/12)/1000</f>
        <v>2.6426119229718177E-7</v>
      </c>
      <c r="W54" s="85">
        <f ca="1">MAX(0,AC53*'Model - Scarcity &amp; Growth Rates'!$J53*(1-'Model - Supply'!Z53/'Static Parameters'!C$25)+'Model - Supply'!Z53/'Static Parameters'!C$27)</f>
        <v>5.3091287789392556</v>
      </c>
      <c r="X54" s="85">
        <f ca="1">MAX(0,AD53*'Model - Scarcity &amp; Growth Rates'!$J53*(1-'Model - Supply'!AA53/'Static Parameters'!D$25)+'Model - Supply'!AA53/'Static Parameters'!D$27)</f>
        <v>14.283238597875568</v>
      </c>
      <c r="Y54" s="85">
        <f ca="1">MAX(0,AE53*'Model - Scarcity &amp; Growth Rates'!$J53*(1-'Model - Supply'!AB53/'Static Parameters'!E$25)+'Model - Supply'!AB53/'Static Parameters'!E$27)</f>
        <v>0.66819657041876768</v>
      </c>
      <c r="Z54" s="85">
        <f ca="1">Z53+W54-Z53/'Static Parameters'!C$27</f>
        <v>114.32016525337221</v>
      </c>
      <c r="AA54" s="85">
        <f ca="1">AA53+X54-AA53/'Static Parameters'!D$27</f>
        <v>292.27578450132853</v>
      </c>
      <c r="AB54" s="85">
        <f ca="1">AB53+Y54-AB53/'Static Parameters'!E$27</f>
        <v>49.530882530489841</v>
      </c>
      <c r="AC54" s="85">
        <f ca="1">Z54-W54*'Static Parameters'!C$27/'Static Parameters'!C$26</f>
        <v>105.47161728847345</v>
      </c>
      <c r="AD54" s="85">
        <f ca="1">AA54-X54*'Static Parameters'!D$27/'Static Parameters'!D$26</f>
        <v>274.42173625398408</v>
      </c>
      <c r="AE54" s="85">
        <f ca="1">AB54-Y54*'Static Parameters'!E$27/'Static Parameters'!E$26</f>
        <v>48.814957633612586</v>
      </c>
      <c r="AF54" s="85">
        <f ca="1">AG53*'Model - Scarcity &amp; Growth Rates'!K53*(1-'Model - Supply'!AF53/'Static Parameters'!C$33)+'Model - Supply'!AF53</f>
        <v>116.34518827140221</v>
      </c>
      <c r="AG54" s="85">
        <f ca="1">AF54-AF54/'Static Parameters'!$C$34</f>
        <v>58.172594135701104</v>
      </c>
      <c r="AH54" s="85">
        <f t="shared" ca="1" si="15"/>
        <v>428.70839537144764</v>
      </c>
      <c r="AI54" s="85">
        <f t="shared" ca="1" si="16"/>
        <v>58.172658827130626</v>
      </c>
      <c r="AJ54" s="85">
        <f t="shared" ca="1" si="5"/>
        <v>1.3245395223918105E-4</v>
      </c>
      <c r="AK54" s="85">
        <f t="shared" ca="1" si="6"/>
        <v>2.7132315160002864E-6</v>
      </c>
      <c r="AL54" s="85">
        <f t="shared" ca="1" si="7"/>
        <v>6.2800651501719674E-6</v>
      </c>
      <c r="AM54" s="85">
        <f t="shared" ca="1" si="8"/>
        <v>7.4395581467015147E-6</v>
      </c>
      <c r="AN54" s="85">
        <f t="shared" ca="1" si="9"/>
        <v>428.70831117607014</v>
      </c>
      <c r="AO54" s="85">
        <f t="shared" ca="1" si="10"/>
        <v>58.172594135701104</v>
      </c>
    </row>
    <row r="55" spans="1:41" x14ac:dyDescent="0.35">
      <c r="A55" s="13">
        <v>2073</v>
      </c>
      <c r="B55" s="12">
        <f ca="1">MAX(0,MIN(1,B54*(1+'Model - Scarcity &amp; Growth Rates'!$D54-'Model - Scarcity &amp; Growth Rates'!$E54)))</f>
        <v>0.81928018550040793</v>
      </c>
      <c r="C55" s="12">
        <f ca="1">MAX(0,MIN(1,C54*(1+'Model - Scarcity &amp; Growth Rates'!$D54-'Model - Scarcity &amp; Growth Rates'!$E54)))</f>
        <v>0.81928018550040793</v>
      </c>
      <c r="D55" s="12">
        <f ca="1">MAX(0,MIN(1,D54*(1+'Model - Scarcity &amp; Growth Rates'!$D54-'Model - Scarcity &amp; Growth Rates'!$E54)))</f>
        <v>0.81928018550040793</v>
      </c>
      <c r="E55" s="12">
        <f ca="1">B55*('Model - Scarcity &amp; Growth Rates'!$D55*(1-'Model - Scarcity &amp; Growth Rates'!$I55)-'Model - Scarcity &amp; Growth Rates'!$I55)+(1-'Model - Supply'!B55)*('Model - Scarcity &amp; Growth Rates'!$E55*(1-'Model - Scarcity &amp; Growth Rates'!$I55)-'Model - Scarcity &amp; Growth Rates'!$I55)</f>
        <v>-0.37592938530678999</v>
      </c>
      <c r="F55" s="12">
        <f ca="1">C55*('Model - Scarcity &amp; Growth Rates'!$D55*(1-'Model - Scarcity &amp; Growth Rates'!$I55)-'Model - Scarcity &amp; Growth Rates'!$I55)+(1-'Model - Supply'!C55)*('Model - Scarcity &amp; Growth Rates'!$E55*(1-'Model - Scarcity &amp; Growth Rates'!$I55)-'Model - Scarcity &amp; Growth Rates'!$I55)</f>
        <v>-0.37592938530678999</v>
      </c>
      <c r="G55" s="12">
        <f ca="1">D55*('Model - Scarcity &amp; Growth Rates'!$D55*(1-'Model - Scarcity &amp; Growth Rates'!$I55)-'Model - Scarcity &amp; Growth Rates'!$I55)+(1-'Model - Supply'!D55)*('Model - Scarcity &amp; Growth Rates'!$E55*(1-'Model - Scarcity &amp; Growth Rates'!$I55)-'Model - Scarcity &amp; Growth Rates'!$I55)</f>
        <v>-0.37592938530678999</v>
      </c>
      <c r="H55" s="12">
        <f ca="1">'Model - Scarcity &amp; Growth Rates'!J55</f>
        <v>1.6422889557289391E-2</v>
      </c>
      <c r="I55" s="21">
        <f ca="1">(1+E54)*I54*(1-(SUM(I$5:I54)/'Static Parameters'!C$17)^2)</f>
        <v>2.2952063891408471E-4</v>
      </c>
      <c r="J55" s="21">
        <f ca="1">(1+F54)*J54*(1-(SUM(J$5:J54)/'Static Parameters'!D$17)^2)</f>
        <v>4.510335443939416E-6</v>
      </c>
      <c r="K55" s="21">
        <f ca="1">(1+G54)*K54*(1-(SUM(K$5:K54)/'Static Parameters'!E$17)^2)</f>
        <v>9.9049504890200682E-6</v>
      </c>
      <c r="L55" s="21">
        <f ca="1">(1+H54)*L54*(1-(SUM(L$5:L54)/'Static Parameters'!F$17)^2)</f>
        <v>4.0368615262599525E-6</v>
      </c>
      <c r="M55" s="21">
        <f ca="1">I55*B55*'Static Parameters'!C$15</f>
        <v>4.3249593673911801E-5</v>
      </c>
      <c r="N55" s="21">
        <f ca="1">J55*C55*'Static Parameters'!D$15</f>
        <v>8.4990254561134246E-7</v>
      </c>
      <c r="O55" s="21">
        <f ca="1">K55*D55*'Static Parameters'!E$15</f>
        <v>1.9475831217640121E-6</v>
      </c>
      <c r="P55" s="84">
        <f t="shared" ca="1" si="11"/>
        <v>4.0368615262599525E-6</v>
      </c>
      <c r="Q55" s="54">
        <f t="shared" ca="1" si="12"/>
        <v>4.1478927288381245E-5</v>
      </c>
      <c r="R55" s="54">
        <f t="shared" ca="1" si="13"/>
        <v>8.1510698475966654E-7</v>
      </c>
      <c r="S55" s="54">
        <f t="shared" ca="1" si="14"/>
        <v>1.7900208150033505E-6</v>
      </c>
      <c r="T55" s="85">
        <f ca="1">I55*'Static Parameters'!C$19/(44/12)/1000</f>
        <v>6.0280465983890062E-6</v>
      </c>
      <c r="U55" s="85">
        <f ca="1">J55*'Static Parameters'!D$19/(44/12)/1000</f>
        <v>9.016570582929796E-8</v>
      </c>
      <c r="V55" s="85">
        <f ca="1">K55*'Static Parameters'!E$19/(44/12)/1000</f>
        <v>1.5154574248200705E-7</v>
      </c>
      <c r="W55" s="85">
        <f ca="1">MAX(0,AC54*'Model - Scarcity &amp; Growth Rates'!$J54*(1-'Model - Supply'!Z54/'Static Parameters'!C$25)+'Model - Supply'!Z54/'Static Parameters'!C$27)</f>
        <v>5.3279346215436423</v>
      </c>
      <c r="X55" s="85">
        <f ca="1">MAX(0,AD54*'Model - Scarcity &amp; Growth Rates'!$J54*(1-'Model - Supply'!AA54/'Static Parameters'!D$25)+'Model - Supply'!AA54/'Static Parameters'!D$27)</f>
        <v>14.362335440042669</v>
      </c>
      <c r="Y55" s="85">
        <f ca="1">MAX(0,AE54*'Model - Scarcity &amp; Growth Rates'!$J54*(1-'Model - Supply'!AB54/'Static Parameters'!E$25)+'Model - Supply'!AB54/'Static Parameters'!E$27)</f>
        <v>0.66806598581049237</v>
      </c>
      <c r="Z55" s="85">
        <f ca="1">Z54+W55-Z54/'Static Parameters'!C$27</f>
        <v>115.07529326478097</v>
      </c>
      <c r="AA55" s="85">
        <f ca="1">AA54+X55-AA54/'Static Parameters'!D$27</f>
        <v>294.94708856131808</v>
      </c>
      <c r="AB55" s="85">
        <f ca="1">AB54+Y55-AB54/'Static Parameters'!E$27</f>
        <v>49.538536749227134</v>
      </c>
      <c r="AC55" s="85">
        <f ca="1">Z55-W55*'Static Parameters'!C$27/'Static Parameters'!C$26</f>
        <v>106.1954022288749</v>
      </c>
      <c r="AD55" s="85">
        <f ca="1">AA55-X55*'Static Parameters'!D$27/'Static Parameters'!D$26</f>
        <v>276.99416926126474</v>
      </c>
      <c r="AE55" s="85">
        <f ca="1">AB55-Y55*'Static Parameters'!E$27/'Static Parameters'!E$26</f>
        <v>48.82275176443018</v>
      </c>
      <c r="AF55" s="85">
        <f ca="1">AG54*'Model - Scarcity &amp; Growth Rates'!K54*(1-'Model - Supply'!AF54/'Static Parameters'!C$33)+'Model - Supply'!AF54</f>
        <v>117.27749068531553</v>
      </c>
      <c r="AG55" s="85">
        <f ca="1">AF55-AF55/'Static Parameters'!$C$34</f>
        <v>58.638745342657764</v>
      </c>
      <c r="AH55" s="85">
        <f t="shared" ca="1" si="15"/>
        <v>432.01237333851066</v>
      </c>
      <c r="AI55" s="85">
        <f t="shared" ca="1" si="16"/>
        <v>58.638789426712854</v>
      </c>
      <c r="AJ55" s="85">
        <f t="shared" ca="1" si="5"/>
        <v>8.4728520962293045E-5</v>
      </c>
      <c r="AK55" s="85">
        <f t="shared" ca="1" si="6"/>
        <v>1.6650095303710091E-6</v>
      </c>
      <c r="AL55" s="85">
        <f t="shared" ca="1" si="7"/>
        <v>3.7376039367673626E-6</v>
      </c>
      <c r="AM55" s="85">
        <f t="shared" ca="1" si="8"/>
        <v>4.0368615262599525E-6</v>
      </c>
      <c r="AN55" s="85">
        <f t="shared" ca="1" si="9"/>
        <v>432.01232325456982</v>
      </c>
      <c r="AO55" s="85">
        <f t="shared" ca="1" si="10"/>
        <v>58.638745342657764</v>
      </c>
    </row>
    <row r="56" spans="1:41" x14ac:dyDescent="0.35">
      <c r="A56" s="13">
        <v>2074</v>
      </c>
      <c r="B56" s="12">
        <f ca="1">MAX(0,MIN(1,B55*(1+'Model - Scarcity &amp; Growth Rates'!$D55-'Model - Scarcity &amp; Growth Rates'!$E55)))</f>
        <v>0.8018150622985063</v>
      </c>
      <c r="C56" s="12">
        <f ca="1">MAX(0,MIN(1,C55*(1+'Model - Scarcity &amp; Growth Rates'!$D55-'Model - Scarcity &amp; Growth Rates'!$E55)))</f>
        <v>0.8018150622985063</v>
      </c>
      <c r="D56" s="12">
        <f ca="1">MAX(0,MIN(1,D55*(1+'Model - Scarcity &amp; Growth Rates'!$D55-'Model - Scarcity &amp; Growth Rates'!$E55)))</f>
        <v>0.8018150622985063</v>
      </c>
      <c r="E56" s="12">
        <f ca="1">B56*('Model - Scarcity &amp; Growth Rates'!$D56*(1-'Model - Scarcity &amp; Growth Rates'!$I56)-'Model - Scarcity &amp; Growth Rates'!$I56)+(1-'Model - Supply'!B56)*('Model - Scarcity &amp; Growth Rates'!$E56*(1-'Model - Scarcity &amp; Growth Rates'!$I56)-'Model - Scarcity &amp; Growth Rates'!$I56)</f>
        <v>-0.37660314094857117</v>
      </c>
      <c r="F56" s="12">
        <f ca="1">C56*('Model - Scarcity &amp; Growth Rates'!$D56*(1-'Model - Scarcity &amp; Growth Rates'!$I56)-'Model - Scarcity &amp; Growth Rates'!$I56)+(1-'Model - Supply'!C56)*('Model - Scarcity &amp; Growth Rates'!$E56*(1-'Model - Scarcity &amp; Growth Rates'!$I56)-'Model - Scarcity &amp; Growth Rates'!$I56)</f>
        <v>-0.37660314094857117</v>
      </c>
      <c r="G56" s="12">
        <f ca="1">D56*('Model - Scarcity &amp; Growth Rates'!$D56*(1-'Model - Scarcity &amp; Growth Rates'!$I56)-'Model - Scarcity &amp; Growth Rates'!$I56)+(1-'Model - Supply'!D56)*('Model - Scarcity &amp; Growth Rates'!$E56*(1-'Model - Scarcity &amp; Growth Rates'!$I56)-'Model - Scarcity &amp; Growth Rates'!$I56)</f>
        <v>-0.37660314094857117</v>
      </c>
      <c r="H56" s="12">
        <f ca="1">'Model - Scarcity &amp; Growth Rates'!J56</f>
        <v>1.5934241670445486E-2</v>
      </c>
      <c r="I56" s="21">
        <f ca="1">(1+E55)*I55*(1-(SUM(I$5:I55)/'Static Parameters'!C$17)^2)</f>
        <v>1.4115078662933512E-4</v>
      </c>
      <c r="J56" s="21">
        <f ca="1">(1+F55)*J55*(1-(SUM(J$5:J55)/'Static Parameters'!D$17)^2)</f>
        <v>2.660942983367229E-6</v>
      </c>
      <c r="K56" s="21">
        <f ca="1">(1+G55)*K55*(1-(SUM(K$5:K55)/'Static Parameters'!E$17)^2)</f>
        <v>5.6749757593103094E-6</v>
      </c>
      <c r="L56" s="21">
        <f ca="1">(1+H55)*L55*(1-(SUM(L$5:L55)/'Static Parameters'!F$17)^2)</f>
        <v>2.1898628477823455E-6</v>
      </c>
      <c r="M56" s="21">
        <f ca="1">I56*B56*'Static Parameters'!C$15</f>
        <v>2.6030670158177209E-5</v>
      </c>
      <c r="N56" s="21">
        <f ca="1">J56*C56*'Static Parameters'!D$15</f>
        <v>4.9072435771571464E-7</v>
      </c>
      <c r="O56" s="21">
        <f ca="1">K56*D56*'Static Parameters'!E$15</f>
        <v>1.0920674500785381E-6</v>
      </c>
      <c r="P56" s="84">
        <f t="shared" ca="1" si="11"/>
        <v>2.1898628477823455E-6</v>
      </c>
      <c r="Q56" s="54">
        <f t="shared" ca="1" si="12"/>
        <v>2.797395985465161E-5</v>
      </c>
      <c r="R56" s="54">
        <f t="shared" ca="1" si="13"/>
        <v>5.2735881938586102E-7</v>
      </c>
      <c r="S56" s="54">
        <f t="shared" ca="1" si="14"/>
        <v>1.1246947173164005E-6</v>
      </c>
      <c r="T56" s="85">
        <f ca="1">I56*'Static Parameters'!C$19/(44/12)/1000</f>
        <v>3.7071329324740831E-6</v>
      </c>
      <c r="U56" s="85">
        <f ca="1">J56*'Static Parameters'!D$19/(44/12)/1000</f>
        <v>5.3194669276586702E-8</v>
      </c>
      <c r="V56" s="85">
        <f ca="1">K56*'Static Parameters'!E$19/(44/12)/1000</f>
        <v>8.6827129117447741E-8</v>
      </c>
      <c r="W56" s="85">
        <f ca="1">MAX(0,AC55*'Model - Scarcity &amp; Growth Rates'!$J55*(1-'Model - Supply'!Z55/'Static Parameters'!C$25)+'Model - Supply'!Z55/'Static Parameters'!C$27)</f>
        <v>5.3435701889857476</v>
      </c>
      <c r="X56" s="85">
        <f ca="1">MAX(0,AD55*'Model - Scarcity &amp; Growth Rates'!$J55*(1-'Model - Supply'!AA55/'Static Parameters'!D$25)+'Model - Supply'!AA55/'Static Parameters'!D$27)</f>
        <v>14.430174656256085</v>
      </c>
      <c r="Y56" s="85">
        <f ca="1">MAX(0,AE55*'Model - Scarcity &amp; Growth Rates'!$J55*(1-'Model - Supply'!AB55/'Static Parameters'!E$25)+'Model - Supply'!AB55/'Static Parameters'!E$27)</f>
        <v>0.6679139463974042</v>
      </c>
      <c r="Z56" s="85">
        <f ca="1">Z55+W56-Z55/'Static Parameters'!C$27</f>
        <v>115.81585172317548</v>
      </c>
      <c r="AA56" s="85">
        <f ca="1">AA55+X56-AA55/'Static Parameters'!D$27</f>
        <v>297.57937967512146</v>
      </c>
      <c r="AB56" s="85">
        <f ca="1">AB55+Y56-AB55/'Static Parameters'!E$27</f>
        <v>49.54593687230151</v>
      </c>
      <c r="AC56" s="85">
        <f ca="1">Z56-W56*'Static Parameters'!C$27/'Static Parameters'!C$26</f>
        <v>106.90990140819923</v>
      </c>
      <c r="AD56" s="85">
        <f ca="1">AA56-X56*'Static Parameters'!D$27/'Static Parameters'!D$26</f>
        <v>279.54166135480136</v>
      </c>
      <c r="AE56" s="85">
        <f ca="1">AB56-Y56*'Static Parameters'!E$27/'Static Parameters'!E$26</f>
        <v>48.830314786875718</v>
      </c>
      <c r="AF56" s="85">
        <f ca="1">AG55*'Model - Scarcity &amp; Growth Rates'!K55*(1-'Model - Supply'!AF55/'Static Parameters'!C$33)+'Model - Supply'!AF55</f>
        <v>118.19283904482926</v>
      </c>
      <c r="AG56" s="85">
        <f ca="1">AF56-AF56/'Static Parameters'!$C$34</f>
        <v>59.096419522414628</v>
      </c>
      <c r="AH56" s="85">
        <f t="shared" ca="1" si="15"/>
        <v>435.28190735320112</v>
      </c>
      <c r="AI56" s="85">
        <f t="shared" ca="1" si="16"/>
        <v>59.096449148428022</v>
      </c>
      <c r="AJ56" s="85">
        <f t="shared" ca="1" si="5"/>
        <v>5.4004630012828819E-5</v>
      </c>
      <c r="AK56" s="85">
        <f t="shared" ca="1" si="6"/>
        <v>1.0180831771015757E-6</v>
      </c>
      <c r="AL56" s="85">
        <f t="shared" ca="1" si="7"/>
        <v>2.2167621673949386E-6</v>
      </c>
      <c r="AM56" s="85">
        <f t="shared" ca="1" si="8"/>
        <v>2.1898628477823455E-6</v>
      </c>
      <c r="AN56" s="85">
        <f t="shared" ca="1" si="9"/>
        <v>435.2818775498763</v>
      </c>
      <c r="AO56" s="85">
        <f t="shared" ca="1" si="10"/>
        <v>59.096419522414628</v>
      </c>
    </row>
    <row r="57" spans="1:41" x14ac:dyDescent="0.35">
      <c r="A57" s="13">
        <v>2075</v>
      </c>
      <c r="B57" s="12">
        <f ca="1">MAX(0,MIN(1,B56*(1+'Model - Scarcity &amp; Growth Rates'!$D56-'Model - Scarcity &amp; Growth Rates'!$E56)))</f>
        <v>0.78489501394039951</v>
      </c>
      <c r="C57" s="12">
        <f ca="1">MAX(0,MIN(1,C56*(1+'Model - Scarcity &amp; Growth Rates'!$D56-'Model - Scarcity &amp; Growth Rates'!$E56)))</f>
        <v>0.78489501394039951</v>
      </c>
      <c r="D57" s="12">
        <f ca="1">MAX(0,MIN(1,D56*(1+'Model - Scarcity &amp; Growth Rates'!$D56-'Model - Scarcity &amp; Growth Rates'!$E56)))</f>
        <v>0.78489501394039951</v>
      </c>
      <c r="E57" s="12">
        <f ca="1">B57*('Model - Scarcity &amp; Growth Rates'!$D57*(1-'Model - Scarcity &amp; Growth Rates'!$I57)-'Model - Scarcity &amp; Growth Rates'!$I57)+(1-'Model - Supply'!B57)*('Model - Scarcity &amp; Growth Rates'!$E57*(1-'Model - Scarcity &amp; Growth Rates'!$I57)-'Model - Scarcity &amp; Growth Rates'!$I57)</f>
        <v>-0.37737621321244397</v>
      </c>
      <c r="F57" s="12">
        <f ca="1">C57*('Model - Scarcity &amp; Growth Rates'!$D57*(1-'Model - Scarcity &amp; Growth Rates'!$I57)-'Model - Scarcity &amp; Growth Rates'!$I57)+(1-'Model - Supply'!C57)*('Model - Scarcity &amp; Growth Rates'!$E57*(1-'Model - Scarcity &amp; Growth Rates'!$I57)-'Model - Scarcity &amp; Growth Rates'!$I57)</f>
        <v>-0.37737621321244397</v>
      </c>
      <c r="G57" s="12">
        <f ca="1">D57*('Model - Scarcity &amp; Growth Rates'!$D57*(1-'Model - Scarcity &amp; Growth Rates'!$I57)-'Model - Scarcity &amp; Growth Rates'!$I57)+(1-'Model - Supply'!D57)*('Model - Scarcity &amp; Growth Rates'!$E57*(1-'Model - Scarcity &amp; Growth Rates'!$I57)-'Model - Scarcity &amp; Growth Rates'!$I57)</f>
        <v>-0.37737621321244397</v>
      </c>
      <c r="H57" s="12">
        <f ca="1">'Model - Scarcity &amp; Growth Rates'!J57</f>
        <v>1.5241087184839672E-2</v>
      </c>
      <c r="I57" s="21">
        <f ca="1">(1+E56)*I56*(1-(SUM(I$5:I56)/'Static Parameters'!C$17)^2)</f>
        <v>8.6711307909861132E-5</v>
      </c>
      <c r="J57" s="21">
        <f ca="1">(1+F56)*J56*(1-(SUM(J$5:J56)/'Static Parameters'!D$17)^2)</f>
        <v>1.5681701085748303E-6</v>
      </c>
      <c r="K57" s="21">
        <f ca="1">(1+G56)*K56*(1-(SUM(K$5:K56)/'Static Parameters'!E$17)^2)</f>
        <v>3.2479294598811757E-6</v>
      </c>
      <c r="L57" s="21">
        <f ca="1">(1+H56)*L56*(1-(SUM(L$5:L56)/'Static Parameters'!F$17)^2)</f>
        <v>1.1873565122633547E-6</v>
      </c>
      <c r="M57" s="21">
        <f ca="1">I57*B57*'Static Parameters'!C$15</f>
        <v>1.5653632843061169E-5</v>
      </c>
      <c r="N57" s="21">
        <f ca="1">J57*C57*'Static Parameters'!D$15</f>
        <v>2.8309524682307462E-7</v>
      </c>
      <c r="O57" s="21">
        <f ca="1">K57*D57*'Static Parameters'!E$15</f>
        <v>6.1182807328580871E-7</v>
      </c>
      <c r="P57" s="84">
        <f t="shared" ca="1" si="11"/>
        <v>1.1873565122633547E-6</v>
      </c>
      <c r="Q57" s="54">
        <f t="shared" ca="1" si="12"/>
        <v>1.8652034679160406E-5</v>
      </c>
      <c r="R57" s="54">
        <f t="shared" ca="1" si="13"/>
        <v>3.3732120934407108E-7</v>
      </c>
      <c r="S57" s="54">
        <f t="shared" ca="1" si="14"/>
        <v>6.9864582119030602E-7</v>
      </c>
      <c r="T57" s="85">
        <f ca="1">I57*'Static Parameters'!C$19/(44/12)/1000</f>
        <v>2.2773542595598983E-6</v>
      </c>
      <c r="U57" s="85">
        <f ca="1">J57*'Static Parameters'!D$19/(44/12)/1000</f>
        <v>3.1349146079600469E-8</v>
      </c>
      <c r="V57" s="85">
        <f ca="1">K57*'Static Parameters'!E$19/(44/12)/1000</f>
        <v>4.9693320736181993E-8</v>
      </c>
      <c r="W57" s="85">
        <f ca="1">MAX(0,AC56*'Model - Scarcity &amp; Growth Rates'!$J56*(1-'Model - Supply'!Z56/'Static Parameters'!C$25)+'Model - Supply'!Z56/'Static Parameters'!C$27)</f>
        <v>5.3496844243660391</v>
      </c>
      <c r="X57" s="85">
        <f ca="1">MAX(0,AD56*'Model - Scarcity &amp; Growth Rates'!$J56*(1-'Model - Supply'!AA56/'Static Parameters'!D$25)+'Model - Supply'!AA56/'Static Parameters'!D$27)</f>
        <v>14.463883596888946</v>
      </c>
      <c r="Y57" s="85">
        <f ca="1">MAX(0,AE56*'Model - Scarcity &amp; Growth Rates'!$J56*(1-'Model - Supply'!AB56/'Static Parameters'!E$25)+'Model - Supply'!AB56/'Static Parameters'!E$27)</f>
        <v>0.66767838624400522</v>
      </c>
      <c r="Z57" s="85">
        <f ca="1">Z56+W57-Z56/'Static Parameters'!C$27</f>
        <v>116.53290207861451</v>
      </c>
      <c r="AA57" s="85">
        <f ca="1">AA56+X57-AA56/'Static Parameters'!D$27</f>
        <v>300.14008808500552</v>
      </c>
      <c r="AB57" s="85">
        <f ca="1">AB56+Y57-AB56/'Static Parameters'!E$27</f>
        <v>49.55300276691483</v>
      </c>
      <c r="AC57" s="85">
        <f ca="1">Z57-W57*'Static Parameters'!C$27/'Static Parameters'!C$26</f>
        <v>107.61676137133779</v>
      </c>
      <c r="AD57" s="85">
        <f ca="1">AA57-X57*'Static Parameters'!D$27/'Static Parameters'!D$26</f>
        <v>282.06023358889433</v>
      </c>
      <c r="AE57" s="85">
        <f ca="1">AB57-Y57*'Static Parameters'!E$27/'Static Parameters'!E$26</f>
        <v>48.837633067367683</v>
      </c>
      <c r="AF57" s="85">
        <f ca="1">AG56*'Model - Scarcity &amp; Growth Rates'!K56*(1-'Model - Supply'!AF56/'Static Parameters'!C$33)+'Model - Supply'!AF56</f>
        <v>119.08810393371141</v>
      </c>
      <c r="AG57" s="85">
        <f ca="1">AF57-AF57/'Static Parameters'!$C$34</f>
        <v>59.544051966855704</v>
      </c>
      <c r="AH57" s="85">
        <f t="shared" ca="1" si="15"/>
        <v>438.51464576351248</v>
      </c>
      <c r="AI57" s="85">
        <f t="shared" ca="1" si="16"/>
        <v>59.544071654857412</v>
      </c>
      <c r="AJ57" s="85">
        <f t="shared" ca="1" si="5"/>
        <v>3.4305667522221571E-5</v>
      </c>
      <c r="AK57" s="85">
        <f t="shared" ca="1" si="6"/>
        <v>6.2041645616714565E-7</v>
      </c>
      <c r="AL57" s="85">
        <f t="shared" ca="1" si="7"/>
        <v>1.3104738944761146E-6</v>
      </c>
      <c r="AM57" s="85">
        <f t="shared" ca="1" si="8"/>
        <v>1.1873565122633547E-6</v>
      </c>
      <c r="AN57" s="85">
        <f t="shared" ca="1" si="9"/>
        <v>438.51462802759983</v>
      </c>
      <c r="AO57" s="85">
        <f t="shared" ca="1" si="10"/>
        <v>59.544051966855704</v>
      </c>
    </row>
    <row r="58" spans="1:41" x14ac:dyDescent="0.35">
      <c r="A58" s="13">
        <v>2076</v>
      </c>
      <c r="B58" s="12">
        <f ca="1">MAX(0,MIN(1,B57*(1+'Model - Scarcity &amp; Growth Rates'!$D57-'Model - Scarcity &amp; Growth Rates'!$E57)))</f>
        <v>0.76843121720049901</v>
      </c>
      <c r="C58" s="12">
        <f ca="1">MAX(0,MIN(1,C57*(1+'Model - Scarcity &amp; Growth Rates'!$D57-'Model - Scarcity &amp; Growth Rates'!$E57)))</f>
        <v>0.76843121720049901</v>
      </c>
      <c r="D58" s="12">
        <f ca="1">MAX(0,MIN(1,D57*(1+'Model - Scarcity &amp; Growth Rates'!$D57-'Model - Scarcity &amp; Growth Rates'!$E57)))</f>
        <v>0.76843121720049901</v>
      </c>
      <c r="E58" s="12">
        <f ca="1">B58*('Model - Scarcity &amp; Growth Rates'!$D58*(1-'Model - Scarcity &amp; Growth Rates'!$I58)-'Model - Scarcity &amp; Growth Rates'!$I58)+(1-'Model - Supply'!B58)*('Model - Scarcity &amp; Growth Rates'!$E58*(1-'Model - Scarcity &amp; Growth Rates'!$I58)-'Model - Scarcity &amp; Growth Rates'!$I58)</f>
        <v>-0.3782066608492074</v>
      </c>
      <c r="F58" s="12">
        <f ca="1">C58*('Model - Scarcity &amp; Growth Rates'!$D58*(1-'Model - Scarcity &amp; Growth Rates'!$I58)-'Model - Scarcity &amp; Growth Rates'!$I58)+(1-'Model - Supply'!C58)*('Model - Scarcity &amp; Growth Rates'!$E58*(1-'Model - Scarcity &amp; Growth Rates'!$I58)-'Model - Scarcity &amp; Growth Rates'!$I58)</f>
        <v>-0.3782066608492074</v>
      </c>
      <c r="G58" s="12">
        <f ca="1">D58*('Model - Scarcity &amp; Growth Rates'!$D58*(1-'Model - Scarcity &amp; Growth Rates'!$I58)-'Model - Scarcity &amp; Growth Rates'!$I58)+(1-'Model - Supply'!D58)*('Model - Scarcity &amp; Growth Rates'!$E58*(1-'Model - Scarcity &amp; Growth Rates'!$I58)-'Model - Scarcity &amp; Growth Rates'!$I58)</f>
        <v>-0.3782066608492074</v>
      </c>
      <c r="H58" s="12">
        <f ca="1">'Model - Scarcity &amp; Growth Rates'!J58</f>
        <v>1.4423195914835154E-2</v>
      </c>
      <c r="I58" s="21">
        <f ca="1">(1+E57)*I57*(1-(SUM(I$5:I57)/'Static Parameters'!C$17)^2)</f>
        <v>5.3202160552687569E-5</v>
      </c>
      <c r="J58" s="21">
        <f ca="1">(1+F57)*J57*(1-(SUM(J$5:J57)/'Static Parameters'!D$17)^2)</f>
        <v>9.2302161751554444E-7</v>
      </c>
      <c r="K58" s="21">
        <f ca="1">(1+G57)*K57*(1-(SUM(K$5:K57)/'Static Parameters'!E$17)^2)</f>
        <v>1.8565654525059829E-6</v>
      </c>
      <c r="L58" s="21">
        <f ca="1">(1+H57)*L57*(1-(SUM(L$5:L57)/'Static Parameters'!F$17)^2)</f>
        <v>6.4335243293825287E-7</v>
      </c>
      <c r="M58" s="21">
        <f ca="1">I58*B58*'Static Parameters'!C$15</f>
        <v>9.4029062279755592E-6</v>
      </c>
      <c r="N58" s="21">
        <f ca="1">J58*C58*'Static Parameters'!D$15</f>
        <v>1.6313408376146395E-7</v>
      </c>
      <c r="O58" s="21">
        <f ca="1">K58*D58*'Static Parameters'!E$15</f>
        <v>3.4239428411557623E-7</v>
      </c>
      <c r="P58" s="84">
        <f t="shared" ca="1" si="11"/>
        <v>6.4335243293825287E-7</v>
      </c>
      <c r="Q58" s="54">
        <f t="shared" ca="1" si="12"/>
        <v>1.2319959561489488E-5</v>
      </c>
      <c r="R58" s="54">
        <f t="shared" ca="1" si="13"/>
        <v>2.1374299246570118E-7</v>
      </c>
      <c r="S58" s="54">
        <f t="shared" ca="1" si="14"/>
        <v>4.2992260202441524E-7</v>
      </c>
      <c r="T58" s="85">
        <f ca="1">I58*'Static Parameters'!C$19/(44/12)/1000</f>
        <v>1.3972821985155853E-6</v>
      </c>
      <c r="U58" s="85">
        <f ca="1">J58*'Static Parameters'!D$19/(44/12)/1000</f>
        <v>1.845204124469711E-8</v>
      </c>
      <c r="V58" s="85">
        <f ca="1">K58*'Static Parameters'!E$19/(44/12)/1000</f>
        <v>2.8405451423341538E-8</v>
      </c>
      <c r="W58" s="85">
        <f ca="1">MAX(0,AC57*'Model - Scarcity &amp; Growth Rates'!$J57*(1-'Model - Supply'!Z57/'Static Parameters'!C$25)+'Model - Supply'!Z57/'Static Parameters'!C$27)</f>
        <v>5.3458282685730349</v>
      </c>
      <c r="X58" s="85">
        <f ca="1">MAX(0,AD57*'Model - Scarcity &amp; Growth Rates'!$J57*(1-'Model - Supply'!AA57/'Static Parameters'!D$25)+'Model - Supply'!AA57/'Static Parameters'!D$27)</f>
        <v>14.461260122381914</v>
      </c>
      <c r="Y58" s="85">
        <f ca="1">MAX(0,AE57*'Model - Scarcity &amp; Growth Rates'!$J57*(1-'Model - Supply'!AB57/'Static Parameters'!E$25)+'Model - Supply'!AB57/'Static Parameters'!E$27)</f>
        <v>0.66736104966235266</v>
      </c>
      <c r="Z58" s="85">
        <f ca="1">Z57+W58-Z57/'Static Parameters'!C$27</f>
        <v>117.21741426404296</v>
      </c>
      <c r="AA58" s="85">
        <f ca="1">AA57+X58-AA57/'Static Parameters'!D$27</f>
        <v>302.59574468398722</v>
      </c>
      <c r="AB58" s="85">
        <f ca="1">AB57+Y58-AB57/'Static Parameters'!E$27</f>
        <v>49.559657113018318</v>
      </c>
      <c r="AC58" s="85">
        <f ca="1">Z58-W58*'Static Parameters'!C$27/'Static Parameters'!C$26</f>
        <v>108.3077004830879</v>
      </c>
      <c r="AD58" s="85">
        <f ca="1">AA58-X58*'Static Parameters'!D$27/'Static Parameters'!D$26</f>
        <v>284.51916953100982</v>
      </c>
      <c r="AE58" s="85">
        <f ca="1">AB58-Y58*'Static Parameters'!E$27/'Static Parameters'!E$26</f>
        <v>48.844627416951511</v>
      </c>
      <c r="AF58" s="85">
        <f ca="1">AG57*'Model - Scarcity &amp; Growth Rates'!K57*(1-'Model - Supply'!AF57/'Static Parameters'!C$33)+'Model - Supply'!AF57</f>
        <v>119.96053641342691</v>
      </c>
      <c r="AG58" s="85">
        <f ca="1">AF58-AF58/'Static Parameters'!$C$34</f>
        <v>59.980268206713454</v>
      </c>
      <c r="AH58" s="85">
        <f t="shared" ca="1" si="15"/>
        <v>441.67150798283626</v>
      </c>
      <c r="AI58" s="85">
        <f t="shared" ca="1" si="16"/>
        <v>59.980281170338607</v>
      </c>
      <c r="AJ58" s="85">
        <f t="shared" ca="1" si="5"/>
        <v>2.1722865789465047E-5</v>
      </c>
      <c r="AK58" s="85">
        <f t="shared" ca="1" si="6"/>
        <v>3.7687707622716514E-7</v>
      </c>
      <c r="AL58" s="85">
        <f t="shared" ca="1" si="7"/>
        <v>7.7231688613999152E-7</v>
      </c>
      <c r="AM58" s="85">
        <f t="shared" ca="1" si="8"/>
        <v>6.4335243293825287E-7</v>
      </c>
      <c r="AN58" s="85">
        <f t="shared" ca="1" si="9"/>
        <v>441.67149743104926</v>
      </c>
      <c r="AO58" s="85">
        <f t="shared" ca="1" si="10"/>
        <v>59.980268206713454</v>
      </c>
    </row>
    <row r="59" spans="1:41" x14ac:dyDescent="0.35">
      <c r="A59" s="13">
        <v>2077</v>
      </c>
      <c r="B59" s="12">
        <f ca="1">MAX(0,MIN(1,B58*(1+'Model - Scarcity &amp; Growth Rates'!$D58-'Model - Scarcity &amp; Growth Rates'!$E58)))</f>
        <v>0.75239271607672786</v>
      </c>
      <c r="C59" s="12">
        <f ca="1">MAX(0,MIN(1,C58*(1+'Model - Scarcity &amp; Growth Rates'!$D58-'Model - Scarcity &amp; Growth Rates'!$E58)))</f>
        <v>0.75239271607672786</v>
      </c>
      <c r="D59" s="12">
        <f ca="1">MAX(0,MIN(1,D58*(1+'Model - Scarcity &amp; Growth Rates'!$D58-'Model - Scarcity &amp; Growth Rates'!$E58)))</f>
        <v>0.75239271607672786</v>
      </c>
      <c r="E59" s="12">
        <f ca="1">B59*('Model - Scarcity &amp; Growth Rates'!$D59*(1-'Model - Scarcity &amp; Growth Rates'!$I59)-'Model - Scarcity &amp; Growth Rates'!$I59)+(1-'Model - Supply'!B59)*('Model - Scarcity &amp; Growth Rates'!$E59*(1-'Model - Scarcity &amp; Growth Rates'!$I59)-'Model - Scarcity &amp; Growth Rates'!$I59)</f>
        <v>-0.37904891468108148</v>
      </c>
      <c r="F59" s="12">
        <f ca="1">C59*('Model - Scarcity &amp; Growth Rates'!$D59*(1-'Model - Scarcity &amp; Growth Rates'!$I59)-'Model - Scarcity &amp; Growth Rates'!$I59)+(1-'Model - Supply'!C59)*('Model - Scarcity &amp; Growth Rates'!$E59*(1-'Model - Scarcity &amp; Growth Rates'!$I59)-'Model - Scarcity &amp; Growth Rates'!$I59)</f>
        <v>-0.37904891468108148</v>
      </c>
      <c r="G59" s="12">
        <f ca="1">D59*('Model - Scarcity &amp; Growth Rates'!$D59*(1-'Model - Scarcity &amp; Growth Rates'!$I59)-'Model - Scarcity &amp; Growth Rates'!$I59)+(1-'Model - Supply'!D59)*('Model - Scarcity &amp; Growth Rates'!$E59*(1-'Model - Scarcity &amp; Growth Rates'!$I59)-'Model - Scarcity &amp; Growth Rates'!$I59)</f>
        <v>-0.37904891468108148</v>
      </c>
      <c r="H59" s="12">
        <f ca="1">'Model - Scarcity &amp; Growth Rates'!J59</f>
        <v>1.3576155387650056E-2</v>
      </c>
      <c r="I59" s="21">
        <f ca="1">(1+E58)*I58*(1-(SUM(I$5:I58)/'Static Parameters'!C$17)^2)</f>
        <v>3.2598915985067752E-5</v>
      </c>
      <c r="J59" s="21">
        <f ca="1">(1+F58)*J58*(1-(SUM(J$5:J58)/'Static Parameters'!D$17)^2)</f>
        <v>5.4256394538158239E-7</v>
      </c>
      <c r="K59" s="21">
        <f ca="1">(1+G58)*K58*(1-(SUM(K$5:K58)/'Static Parameters'!E$17)^2)</f>
        <v>1.0598253369146956E-6</v>
      </c>
      <c r="L59" s="21">
        <f ca="1">(1+H58)*L58*(1-(SUM(L$5:L58)/'Static Parameters'!F$17)^2)</f>
        <v>3.4831064056986007E-7</v>
      </c>
      <c r="M59" s="21">
        <f ca="1">I59*B59*'Static Parameters'!C$15</f>
        <v>5.641252996007303E-6</v>
      </c>
      <c r="N59" s="21">
        <f ca="1">J59*C59*'Static Parameters'!D$15</f>
        <v>9.3890866917519476E-8</v>
      </c>
      <c r="O59" s="21">
        <f ca="1">K59*D59*'Static Parameters'!E$15</f>
        <v>1.9137716731396346E-7</v>
      </c>
      <c r="P59" s="84">
        <f t="shared" ca="1" si="11"/>
        <v>3.4831064056986007E-7</v>
      </c>
      <c r="Q59" s="54">
        <f t="shared" ca="1" si="12"/>
        <v>8.0717290459055658E-6</v>
      </c>
      <c r="R59" s="54">
        <f t="shared" ca="1" si="13"/>
        <v>1.3434278487062817E-7</v>
      </c>
      <c r="S59" s="54">
        <f t="shared" ca="1" si="14"/>
        <v>2.6242047310651462E-7</v>
      </c>
      <c r="T59" s="85">
        <f ca="1">I59*'Static Parameters'!C$19/(44/12)/1000</f>
        <v>8.5616607528055205E-7</v>
      </c>
      <c r="U59" s="85">
        <f ca="1">J59*'Static Parameters'!D$19/(44/12)/1000</f>
        <v>1.0846346508128177E-8</v>
      </c>
      <c r="V59" s="85">
        <f ca="1">K59*'Static Parameters'!E$19/(44/12)/1000</f>
        <v>1.6215327654794844E-8</v>
      </c>
      <c r="W59" s="85">
        <f ca="1">MAX(0,AC58*'Model - Scarcity &amp; Growth Rates'!$J58*(1-'Model - Supply'!Z58/'Static Parameters'!C$25)+'Model - Supply'!Z58/'Static Parameters'!C$27)</f>
        <v>5.3352878305176814</v>
      </c>
      <c r="X59" s="85">
        <f ca="1">MAX(0,AD58*'Model - Scarcity &amp; Growth Rates'!$J58*(1-'Model - Supply'!AA58/'Static Parameters'!D$25)+'Model - Supply'!AA58/'Static Parameters'!D$27)</f>
        <v>14.433570065965563</v>
      </c>
      <c r="Y59" s="85">
        <f ca="1">MAX(0,AE58*'Model - Scarcity &amp; Growth Rates'!$J58*(1-'Model - Supply'!AB58/'Static Parameters'!E$25)+'Model - Supply'!AB58/'Static Parameters'!E$27)</f>
        <v>0.66699982097065746</v>
      </c>
      <c r="Z59" s="85">
        <f ca="1">Z58+W59-Z58/'Static Parameters'!C$27</f>
        <v>117.86400552399893</v>
      </c>
      <c r="AA59" s="85">
        <f ca="1">AA58+X59-AA58/'Static Parameters'!D$27</f>
        <v>304.92548496259332</v>
      </c>
      <c r="AB59" s="85">
        <f ca="1">AB58+Y59-AB58/'Static Parameters'!E$27</f>
        <v>49.565861505815398</v>
      </c>
      <c r="AC59" s="85">
        <f ca="1">Z59-W59*'Static Parameters'!C$27/'Static Parameters'!C$26</f>
        <v>108.97185913980279</v>
      </c>
      <c r="AD59" s="85">
        <f ca="1">AA59-X59*'Static Parameters'!D$27/'Static Parameters'!D$26</f>
        <v>286.88352238013636</v>
      </c>
      <c r="AE59" s="85">
        <f ca="1">AB59-Y59*'Static Parameters'!E$27/'Static Parameters'!E$26</f>
        <v>48.851218840489693</v>
      </c>
      <c r="AF59" s="85">
        <f ca="1">AG58*'Model - Scarcity &amp; Growth Rates'!K58*(1-'Model - Supply'!AF58/'Static Parameters'!C$33)+'Model - Supply'!AF58</f>
        <v>120.80775416658626</v>
      </c>
      <c r="AG59" s="85">
        <f ca="1">AF59-AF59/'Static Parameters'!$C$34</f>
        <v>60.403877083293132</v>
      </c>
      <c r="AH59" s="85">
        <f t="shared" ca="1" si="15"/>
        <v>444.70660663526053</v>
      </c>
      <c r="AI59" s="85">
        <f t="shared" ca="1" si="16"/>
        <v>60.403885551785436</v>
      </c>
      <c r="AJ59" s="85">
        <f t="shared" ca="1" si="5"/>
        <v>1.3712982041912869E-5</v>
      </c>
      <c r="AK59" s="85">
        <f t="shared" ca="1" si="6"/>
        <v>2.2823365178814765E-7</v>
      </c>
      <c r="AL59" s="85">
        <f t="shared" ca="1" si="7"/>
        <v>4.5379764042047808E-7</v>
      </c>
      <c r="AM59" s="85">
        <f t="shared" ca="1" si="8"/>
        <v>3.4831064056986007E-7</v>
      </c>
      <c r="AN59" s="85">
        <f t="shared" ca="1" si="9"/>
        <v>444.70660036042887</v>
      </c>
      <c r="AO59" s="85">
        <f t="shared" ca="1" si="10"/>
        <v>60.403877083293132</v>
      </c>
    </row>
    <row r="60" spans="1:41" x14ac:dyDescent="0.35">
      <c r="A60" s="13">
        <v>2078</v>
      </c>
      <c r="B60" s="12">
        <f ca="1">MAX(0,MIN(1,B59*(1+'Model - Scarcity &amp; Growth Rates'!$D59-'Model - Scarcity &amp; Growth Rates'!$E59)))</f>
        <v>0.73681295095206123</v>
      </c>
      <c r="C60" s="12">
        <f ca="1">MAX(0,MIN(1,C59*(1+'Model - Scarcity &amp; Growth Rates'!$D59-'Model - Scarcity &amp; Growth Rates'!$E59)))</f>
        <v>0.73681295095206123</v>
      </c>
      <c r="D60" s="12">
        <f ca="1">MAX(0,MIN(1,D59*(1+'Model - Scarcity &amp; Growth Rates'!$D59-'Model - Scarcity &amp; Growth Rates'!$E59)))</f>
        <v>0.73681295095206123</v>
      </c>
      <c r="E60" s="12">
        <f ca="1">B60*('Model - Scarcity &amp; Growth Rates'!$D60*(1-'Model - Scarcity &amp; Growth Rates'!$I60)-'Model - Scarcity &amp; Growth Rates'!$I60)+(1-'Model - Supply'!B60)*('Model - Scarcity &amp; Growth Rates'!$E60*(1-'Model - Scarcity &amp; Growth Rates'!$I60)-'Model - Scarcity &amp; Growth Rates'!$I60)</f>
        <v>-0.37987685281405514</v>
      </c>
      <c r="F60" s="12">
        <f ca="1">C60*('Model - Scarcity &amp; Growth Rates'!$D60*(1-'Model - Scarcity &amp; Growth Rates'!$I60)-'Model - Scarcity &amp; Growth Rates'!$I60)+(1-'Model - Supply'!C60)*('Model - Scarcity &amp; Growth Rates'!$E60*(1-'Model - Scarcity &amp; Growth Rates'!$I60)-'Model - Scarcity &amp; Growth Rates'!$I60)</f>
        <v>-0.37987685281405514</v>
      </c>
      <c r="G60" s="12">
        <f ca="1">D60*('Model - Scarcity &amp; Growth Rates'!$D60*(1-'Model - Scarcity &amp; Growth Rates'!$I60)-'Model - Scarcity &amp; Growth Rates'!$I60)+(1-'Model - Supply'!D60)*('Model - Scarcity &amp; Growth Rates'!$E60*(1-'Model - Scarcity &amp; Growth Rates'!$I60)-'Model - Scarcity &amp; Growth Rates'!$I60)</f>
        <v>-0.37987685281405514</v>
      </c>
      <c r="H60" s="12">
        <f ca="1">'Model - Scarcity &amp; Growth Rates'!J60</f>
        <v>1.2762176129388597E-2</v>
      </c>
      <c r="I60" s="21">
        <f ca="1">(1+E59)*I59*(1-(SUM(I$5:I59)/'Static Parameters'!C$17)^2)</f>
        <v>1.9947495364004062E-5</v>
      </c>
      <c r="J60" s="21">
        <f ca="1">(1+F59)*J59*(1-(SUM(J$5:J59)/'Static Parameters'!D$17)^2)</f>
        <v>3.1849404281547603E-7</v>
      </c>
      <c r="K60" s="21">
        <f ca="1">(1+G59)*K59*(1-(SUM(K$5:K59)/'Static Parameters'!E$17)^2)</f>
        <v>6.0418460640632746E-7</v>
      </c>
      <c r="L60" s="21">
        <f ca="1">(1+H59)*L59*(1-(SUM(L$5:L59)/'Static Parameters'!F$17)^2)</f>
        <v>1.884177224327695E-7</v>
      </c>
      <c r="M60" s="21">
        <f ca="1">I60*B60*'Static Parameters'!C$15</f>
        <v>3.380441772348511E-6</v>
      </c>
      <c r="N60" s="21">
        <f ca="1">J60*C60*'Static Parameters'!D$15</f>
        <v>5.3974223175930297E-8</v>
      </c>
      <c r="O60" s="21">
        <f ca="1">K60*D60*'Static Parameters'!E$15</f>
        <v>1.0684105026385339E-7</v>
      </c>
      <c r="P60" s="84">
        <f t="shared" ca="1" si="11"/>
        <v>1.884177224327695E-7</v>
      </c>
      <c r="Q60" s="54">
        <f t="shared" ca="1" si="12"/>
        <v>5.2499224407496686E-6</v>
      </c>
      <c r="R60" s="54">
        <f t="shared" ca="1" si="13"/>
        <v>8.3823507267953005E-8</v>
      </c>
      <c r="S60" s="54">
        <f t="shared" ca="1" si="14"/>
        <v>1.5901356364027168E-7</v>
      </c>
      <c r="T60" s="85">
        <f ca="1">I60*'Static Parameters'!C$19/(44/12)/1000</f>
        <v>5.2389376460552481E-7</v>
      </c>
      <c r="U60" s="85">
        <f ca="1">J60*'Static Parameters'!D$19/(44/12)/1000</f>
        <v>6.3669854559202892E-9</v>
      </c>
      <c r="V60" s="85">
        <f ca="1">K60*'Static Parameters'!E$19/(44/12)/1000</f>
        <v>9.2440244780168111E-9</v>
      </c>
      <c r="W60" s="85">
        <f ca="1">MAX(0,AC59*'Model - Scarcity &amp; Growth Rates'!$J59*(1-'Model - Supply'!Z59/'Static Parameters'!C$25)+'Model - Supply'!Z59/'Static Parameters'!C$27)</f>
        <v>5.3221279308962188</v>
      </c>
      <c r="X60" s="85">
        <f ca="1">MAX(0,AD59*'Model - Scarcity &amp; Growth Rates'!$J59*(1-'Model - Supply'!AA59/'Static Parameters'!D$25)+'Model - Supply'!AA59/'Static Parameters'!D$27)</f>
        <v>14.395200047262632</v>
      </c>
      <c r="Y60" s="85">
        <f ca="1">MAX(0,AE59*'Model - Scarcity &amp; Growth Rates'!$J59*(1-'Model - Supply'!AB59/'Static Parameters'!E$25)+'Model - Supply'!AB59/'Static Parameters'!E$27)</f>
        <v>0.66663666831482682</v>
      </c>
      <c r="Z60" s="85">
        <f ca="1">Z59+W60-Z59/'Static Parameters'!C$27</f>
        <v>118.47157323393519</v>
      </c>
      <c r="AA60" s="85">
        <f ca="1">AA59+X60-AA59/'Static Parameters'!D$27</f>
        <v>307.12366561135218</v>
      </c>
      <c r="AB60" s="85">
        <f ca="1">AB59+Y60-AB59/'Static Parameters'!E$27</f>
        <v>49.571620020719358</v>
      </c>
      <c r="AC60" s="85">
        <f ca="1">Z60-W60*'Static Parameters'!C$27/'Static Parameters'!C$26</f>
        <v>109.60136001577483</v>
      </c>
      <c r="AD60" s="85">
        <f ca="1">AA60-X60*'Static Parameters'!D$27/'Static Parameters'!D$26</f>
        <v>289.12966555227388</v>
      </c>
      <c r="AE60" s="85">
        <f ca="1">AB60-Y60*'Static Parameters'!E$27/'Static Parameters'!E$26</f>
        <v>48.857366447524903</v>
      </c>
      <c r="AF60" s="85">
        <f ca="1">AG59*'Model - Scarcity &amp; Growth Rates'!K59*(1-'Model - Supply'!AF59/'Static Parameters'!C$33)+'Model - Supply'!AF59</f>
        <v>121.62772375758729</v>
      </c>
      <c r="AG60" s="85">
        <f ca="1">AF60-AF60/'Static Parameters'!$C$34</f>
        <v>60.813861878793645</v>
      </c>
      <c r="AH60" s="85">
        <f t="shared" ca="1" si="15"/>
        <v>447.58839574524836</v>
      </c>
      <c r="AI60" s="85">
        <f t="shared" ca="1" si="16"/>
        <v>60.813867371553158</v>
      </c>
      <c r="AJ60" s="85">
        <f t="shared" ca="1" si="5"/>
        <v>8.6303642130981797E-6</v>
      </c>
      <c r="AK60" s="85">
        <f t="shared" ca="1" si="6"/>
        <v>1.377977304438833E-7</v>
      </c>
      <c r="AL60" s="85">
        <f t="shared" ca="1" si="7"/>
        <v>2.6585461390412505E-7</v>
      </c>
      <c r="AM60" s="85">
        <f t="shared" ca="1" si="8"/>
        <v>1.884177224327695E-7</v>
      </c>
      <c r="AN60" s="85">
        <f t="shared" ca="1" si="9"/>
        <v>447.58839201557362</v>
      </c>
      <c r="AO60" s="85">
        <f t="shared" ca="1" si="10"/>
        <v>60.813861878793645</v>
      </c>
    </row>
    <row r="61" spans="1:41" x14ac:dyDescent="0.35">
      <c r="A61" s="13">
        <v>2079</v>
      </c>
      <c r="B61" s="12">
        <f ca="1">MAX(0,MIN(1,B60*(1+'Model - Scarcity &amp; Growth Rates'!$D60-'Model - Scarcity &amp; Growth Rates'!$E60)))</f>
        <v>0.72176052296868443</v>
      </c>
      <c r="C61" s="12">
        <f ca="1">MAX(0,MIN(1,C60*(1+'Model - Scarcity &amp; Growth Rates'!$D60-'Model - Scarcity &amp; Growth Rates'!$E60)))</f>
        <v>0.72176052296868443</v>
      </c>
      <c r="D61" s="12">
        <f ca="1">MAX(0,MIN(1,D60*(1+'Model - Scarcity &amp; Growth Rates'!$D60-'Model - Scarcity &amp; Growth Rates'!$E60)))</f>
        <v>0.72176052296868443</v>
      </c>
      <c r="E61" s="12">
        <f ca="1">B61*('Model - Scarcity &amp; Growth Rates'!$D61*(1-'Model - Scarcity &amp; Growth Rates'!$I61)-'Model - Scarcity &amp; Growth Rates'!$I61)+(1-'Model - Supply'!B61)*('Model - Scarcity &amp; Growth Rates'!$E61*(1-'Model - Scarcity &amp; Growth Rates'!$I61)-'Model - Scarcity &amp; Growth Rates'!$I61)</f>
        <v>-0.38068833097053895</v>
      </c>
      <c r="F61" s="12">
        <f ca="1">C61*('Model - Scarcity &amp; Growth Rates'!$D61*(1-'Model - Scarcity &amp; Growth Rates'!$I61)-'Model - Scarcity &amp; Growth Rates'!$I61)+(1-'Model - Supply'!C61)*('Model - Scarcity &amp; Growth Rates'!$E61*(1-'Model - Scarcity &amp; Growth Rates'!$I61)-'Model - Scarcity &amp; Growth Rates'!$I61)</f>
        <v>-0.38068833097053895</v>
      </c>
      <c r="G61" s="12">
        <f ca="1">D61*('Model - Scarcity &amp; Growth Rates'!$D61*(1-'Model - Scarcity &amp; Growth Rates'!$I61)-'Model - Scarcity &amp; Growth Rates'!$I61)+(1-'Model - Supply'!D61)*('Model - Scarcity &amp; Growth Rates'!$E61*(1-'Model - Scarcity &amp; Growth Rates'!$I61)-'Model - Scarcity &amp; Growth Rates'!$I61)</f>
        <v>-0.38068833097053895</v>
      </c>
      <c r="H61" s="12">
        <f ca="1">'Model - Scarcity &amp; Growth Rates'!J61</f>
        <v>1.1995326682416473E-2</v>
      </c>
      <c r="I61" s="21">
        <f ca="1">(1+E60)*I60*(1-(SUM(I$5:I60)/'Static Parameters'!C$17)^2)</f>
        <v>1.2189731477326907E-5</v>
      </c>
      <c r="J61" s="21">
        <f ca="1">(1+F60)*J60*(1-(SUM(J$5:J60)/'Static Parameters'!D$17)^2)</f>
        <v>1.8671200758570712E-7</v>
      </c>
      <c r="K61" s="21">
        <f ca="1">(1+G60)*K60*(1-(SUM(K$5:K60)/'Static Parameters'!E$17)^2)</f>
        <v>3.4397395987051693E-7</v>
      </c>
      <c r="L61" s="21">
        <f ca="1">(1+H60)*L60*(1-(SUM(L$5:L60)/'Static Parameters'!F$17)^2)</f>
        <v>1.0184221717355026E-7</v>
      </c>
      <c r="M61" s="21">
        <f ca="1">I61*B61*'Static Parameters'!C$15</f>
        <v>2.0235554021623599E-6</v>
      </c>
      <c r="N61" s="21">
        <f ca="1">J61*C61*'Static Parameters'!D$15</f>
        <v>3.0995111935106381E-8</v>
      </c>
      <c r="O61" s="21">
        <f ca="1">K61*D61*'Static Parameters'!E$15</f>
        <v>5.9584038039300851E-8</v>
      </c>
      <c r="P61" s="84">
        <f t="shared" ca="1" si="11"/>
        <v>1.0184221717355026E-7</v>
      </c>
      <c r="Q61" s="54">
        <f t="shared" ca="1" si="12"/>
        <v>3.3916645114036046E-6</v>
      </c>
      <c r="R61" s="54">
        <f t="shared" ca="1" si="13"/>
        <v>5.1950651346114177E-8</v>
      </c>
      <c r="S61" s="54">
        <f t="shared" ca="1" si="14"/>
        <v>9.5707134706763359E-8</v>
      </c>
      <c r="T61" s="85">
        <f ca="1">I61*'Static Parameters'!C$19/(44/12)/1000</f>
        <v>3.2014667489088572E-7</v>
      </c>
      <c r="U61" s="85">
        <f ca="1">J61*'Static Parameters'!D$19/(44/12)/1000</f>
        <v>3.7325427698269991E-9</v>
      </c>
      <c r="V61" s="85">
        <f ca="1">K61*'Static Parameters'!E$19/(44/12)/1000</f>
        <v>5.2628015860189082E-9</v>
      </c>
      <c r="W61" s="85">
        <f ca="1">MAX(0,AC60*'Model - Scarcity &amp; Growth Rates'!$J60*(1-'Model - Supply'!Z60/'Static Parameters'!C$25)+'Model - Supply'!Z60/'Static Parameters'!C$27)</f>
        <v>5.3090531224878221</v>
      </c>
      <c r="X61" s="85">
        <f ca="1">MAX(0,AD60*'Model - Scarcity &amp; Growth Rates'!$J60*(1-'Model - Supply'!AA60/'Static Parameters'!D$25)+'Model - Supply'!AA60/'Static Parameters'!D$27)</f>
        <v>14.355923344053354</v>
      </c>
      <c r="Y61" s="85">
        <f ca="1">MAX(0,AE60*'Model - Scarcity &amp; Growth Rates'!$J60*(1-'Model - Supply'!AB60/'Static Parameters'!E$25)+'Model - Supply'!AB60/'Static Parameters'!E$27)</f>
        <v>0.66629705741464151</v>
      </c>
      <c r="Z61" s="85">
        <f ca="1">Z60+W61-Z60/'Static Parameters'!C$27</f>
        <v>119.0417634270656</v>
      </c>
      <c r="AA61" s="85">
        <f ca="1">AA60+X61-AA60/'Static Parameters'!D$27</f>
        <v>309.19464233095141</v>
      </c>
      <c r="AB61" s="85">
        <f ca="1">AB60+Y61-AB60/'Static Parameters'!E$27</f>
        <v>49.576962144524408</v>
      </c>
      <c r="AC61" s="85">
        <f ca="1">Z61-W61*'Static Parameters'!C$27/'Static Parameters'!C$26</f>
        <v>110.19334155625256</v>
      </c>
      <c r="AD61" s="85">
        <f ca="1">AA61-X61*'Static Parameters'!D$27/'Static Parameters'!D$26</f>
        <v>291.2497381508847</v>
      </c>
      <c r="AE61" s="85">
        <f ca="1">AB61-Y61*'Static Parameters'!E$27/'Static Parameters'!E$26</f>
        <v>48.863072440151576</v>
      </c>
      <c r="AF61" s="85">
        <f ca="1">AG60*'Model - Scarcity &amp; Growth Rates'!K60*(1-'Model - Supply'!AF60/'Static Parameters'!C$33)+'Model - Supply'!AF60</f>
        <v>122.41869199411555</v>
      </c>
      <c r="AG61" s="85">
        <f ca="1">AF61-AF61/'Static Parameters'!$C$34</f>
        <v>61.209345997057774</v>
      </c>
      <c r="AH61" s="85">
        <f t="shared" ca="1" si="15"/>
        <v>450.30615436326565</v>
      </c>
      <c r="AI61" s="85">
        <f t="shared" ca="1" si="16"/>
        <v>61.209349536380074</v>
      </c>
      <c r="AJ61" s="85">
        <f t="shared" ca="1" si="5"/>
        <v>5.4152199135659645E-6</v>
      </c>
      <c r="AK61" s="85">
        <f t="shared" ca="1" si="6"/>
        <v>8.2945763281220558E-8</v>
      </c>
      <c r="AL61" s="85">
        <f t="shared" ca="1" si="7"/>
        <v>1.5529117274606421E-7</v>
      </c>
      <c r="AM61" s="85">
        <f t="shared" ca="1" si="8"/>
        <v>1.0184221717355026E-7</v>
      </c>
      <c r="AN61" s="85">
        <f t="shared" ca="1" si="9"/>
        <v>450.30615214728886</v>
      </c>
      <c r="AO61" s="85">
        <f t="shared" ca="1" si="10"/>
        <v>61.209345997057774</v>
      </c>
    </row>
    <row r="62" spans="1:41" x14ac:dyDescent="0.35">
      <c r="A62" s="13">
        <v>2080</v>
      </c>
      <c r="B62" s="12">
        <f ca="1">MAX(0,MIN(1,B61*(1+'Model - Scarcity &amp; Growth Rates'!$D61-'Model - Scarcity &amp; Growth Rates'!$E61)))</f>
        <v>0.70730342651407818</v>
      </c>
      <c r="C62" s="12">
        <f ca="1">MAX(0,MIN(1,C61*(1+'Model - Scarcity &amp; Growth Rates'!$D61-'Model - Scarcity &amp; Growth Rates'!$E61)))</f>
        <v>0.70730342651407818</v>
      </c>
      <c r="D62" s="12">
        <f ca="1">MAX(0,MIN(1,D61*(1+'Model - Scarcity &amp; Growth Rates'!$D61-'Model - Scarcity &amp; Growth Rates'!$E61)))</f>
        <v>0.70730342651407818</v>
      </c>
      <c r="E62" s="12">
        <f ca="1">B62*('Model - Scarcity &amp; Growth Rates'!$D62*(1-'Model - Scarcity &amp; Growth Rates'!$I62)-'Model - Scarcity &amp; Growth Rates'!$I62)+(1-'Model - Supply'!B62)*('Model - Scarcity &amp; Growth Rates'!$E62*(1-'Model - Scarcity &amp; Growth Rates'!$I62)-'Model - Scarcity &amp; Growth Rates'!$I62)</f>
        <v>-0.38149116934208521</v>
      </c>
      <c r="F62" s="12">
        <f ca="1">C62*('Model - Scarcity &amp; Growth Rates'!$D62*(1-'Model - Scarcity &amp; Growth Rates'!$I62)-'Model - Scarcity &amp; Growth Rates'!$I62)+(1-'Model - Supply'!C62)*('Model - Scarcity &amp; Growth Rates'!$E62*(1-'Model - Scarcity &amp; Growth Rates'!$I62)-'Model - Scarcity &amp; Growth Rates'!$I62)</f>
        <v>-0.38149116934208521</v>
      </c>
      <c r="G62" s="12">
        <f ca="1">D62*('Model - Scarcity &amp; Growth Rates'!$D62*(1-'Model - Scarcity &amp; Growth Rates'!$I62)-'Model - Scarcity &amp; Growth Rates'!$I62)+(1-'Model - Supply'!D62)*('Model - Scarcity &amp; Growth Rates'!$E62*(1-'Model - Scarcity &amp; Growth Rates'!$I62)-'Model - Scarcity &amp; Growth Rates'!$I62)</f>
        <v>-0.38149116934208521</v>
      </c>
      <c r="H62" s="12">
        <f ca="1">'Model - Scarcity &amp; Growth Rates'!J62</f>
        <v>1.126377112120441E-2</v>
      </c>
      <c r="I62" s="21">
        <f ca="1">(1+E61)*I61*(1-(SUM(I$5:I61)/'Static Parameters'!C$17)^2)</f>
        <v>7.4392854875697487E-6</v>
      </c>
      <c r="J62" s="21">
        <f ca="1">(1+F61)*J61*(1-(SUM(J$5:J61)/'Static Parameters'!D$17)^2)</f>
        <v>1.093136773226816E-7</v>
      </c>
      <c r="K62" s="21">
        <f ca="1">(1+G61)*K61*(1-(SUM(K$5:K61)/'Static Parameters'!E$17)^2)</f>
        <v>1.9557475583975375E-7</v>
      </c>
      <c r="L62" s="21">
        <f ca="1">(1+H61)*L61*(1-(SUM(L$5:L61)/'Static Parameters'!F$17)^2)</f>
        <v>5.5005355397889703E-8</v>
      </c>
      <c r="M62" s="21">
        <f ca="1">I62*B62*'Static Parameters'!C$15</f>
        <v>1.2102213867201438E-6</v>
      </c>
      <c r="N62" s="21">
        <f ca="1">J62*C62*'Static Parameters'!D$15</f>
        <v>1.7783125863093004E-8</v>
      </c>
      <c r="O62" s="21">
        <f ca="1">K62*D62*'Static Parameters'!E$15</f>
        <v>3.3199366786826893E-8</v>
      </c>
      <c r="P62" s="84">
        <f t="shared" ca="1" si="11"/>
        <v>5.5005355397889703E-8</v>
      </c>
      <c r="Q62" s="54">
        <f t="shared" ca="1" si="12"/>
        <v>2.1774533713952106E-6</v>
      </c>
      <c r="R62" s="54">
        <f t="shared" ca="1" si="13"/>
        <v>3.1995738787494618E-8</v>
      </c>
      <c r="S62" s="54">
        <f t="shared" ca="1" si="14"/>
        <v>5.7244060894641697E-8</v>
      </c>
      <c r="T62" s="85">
        <f ca="1">I62*'Static Parameters'!C$19/(44/12)/1000</f>
        <v>1.9538268885080913E-7</v>
      </c>
      <c r="U62" s="85">
        <f ca="1">J62*'Static Parameters'!D$19/(44/12)/1000</f>
        <v>2.1852797857506986E-9</v>
      </c>
      <c r="V62" s="85">
        <f ca="1">K62*'Static Parameters'!E$19/(44/12)/1000</f>
        <v>2.9922937643482325E-9</v>
      </c>
      <c r="W62" s="85">
        <f ca="1">MAX(0,AC61*'Model - Scarcity &amp; Growth Rates'!$J61*(1-'Model - Supply'!Z61/'Static Parameters'!C$25)+'Model - Supply'!Z61/'Static Parameters'!C$27)</f>
        <v>5.2967255992505864</v>
      </c>
      <c r="X62" s="85">
        <f ca="1">MAX(0,AD61*'Model - Scarcity &amp; Growth Rates'!$J61*(1-'Model - Supply'!AA61/'Static Parameters'!D$25)+'Model - Supply'!AA61/'Static Parameters'!D$27)</f>
        <v>14.318259365967698</v>
      </c>
      <c r="Y62" s="85">
        <f ca="1">MAX(0,AE61*'Model - Scarcity &amp; Growth Rates'!$J61*(1-'Model - Supply'!AB61/'Static Parameters'!E$25)+'Model - Supply'!AB61/'Static Parameters'!E$27)</f>
        <v>0.66598525294112487</v>
      </c>
      <c r="Z62" s="85">
        <f ca="1">Z61+W62-Z61/'Static Parameters'!C$27</f>
        <v>119.57681848923357</v>
      </c>
      <c r="AA62" s="85">
        <f ca="1">AA61+X62-AA61/'Static Parameters'!D$27</f>
        <v>311.1451160036811</v>
      </c>
      <c r="AB62" s="85">
        <f ca="1">AB61+Y62-AB61/'Static Parameters'!E$27</f>
        <v>49.581921235538545</v>
      </c>
      <c r="AC62" s="85">
        <f ca="1">Z62-W62*'Static Parameters'!C$27/'Static Parameters'!C$26</f>
        <v>110.74894249048259</v>
      </c>
      <c r="AD62" s="85">
        <f ca="1">AA62-X62*'Static Parameters'!D$27/'Static Parameters'!D$26</f>
        <v>293.24729179622148</v>
      </c>
      <c r="AE62" s="85">
        <f ca="1">AB62-Y62*'Static Parameters'!E$27/'Static Parameters'!E$26</f>
        <v>48.868365607387339</v>
      </c>
      <c r="AF62" s="85">
        <f ca="1">AG61*'Model - Scarcity &amp; Growth Rates'!K61*(1-'Model - Supply'!AF61/'Static Parameters'!C$33)+'Model - Supply'!AF61</f>
        <v>123.17909318911033</v>
      </c>
      <c r="AG62" s="85">
        <f ca="1">AF62-AF62/'Static Parameters'!$C$34</f>
        <v>61.589546594555166</v>
      </c>
      <c r="AH62" s="85">
        <f t="shared" ca="1" si="15"/>
        <v>452.86460121030063</v>
      </c>
      <c r="AI62" s="85">
        <f t="shared" ca="1" si="16"/>
        <v>61.589548861248339</v>
      </c>
      <c r="AJ62" s="85">
        <f t="shared" ca="1" si="5"/>
        <v>3.3876747581153543E-6</v>
      </c>
      <c r="AK62" s="85">
        <f t="shared" ca="1" si="6"/>
        <v>4.9778864650587618E-8</v>
      </c>
      <c r="AL62" s="85">
        <f t="shared" ca="1" si="7"/>
        <v>9.044342768146859E-8</v>
      </c>
      <c r="AM62" s="85">
        <f t="shared" ca="1" si="8"/>
        <v>5.5005355397889703E-8</v>
      </c>
      <c r="AN62" s="85">
        <f t="shared" ca="1" si="9"/>
        <v>452.86459989409138</v>
      </c>
      <c r="AO62" s="85">
        <f t="shared" ca="1" si="10"/>
        <v>61.589546594555166</v>
      </c>
    </row>
    <row r="63" spans="1:41" x14ac:dyDescent="0.35">
      <c r="A63" s="13">
        <v>2081</v>
      </c>
      <c r="B63" s="12">
        <f ca="1">MAX(0,MIN(1,B62*(1+'Model - Scarcity &amp; Growth Rates'!$D62-'Model - Scarcity &amp; Growth Rates'!$E62)))</f>
        <v>0.69348642526498261</v>
      </c>
      <c r="C63" s="12">
        <f ca="1">MAX(0,MIN(1,C62*(1+'Model - Scarcity &amp; Growth Rates'!$D62-'Model - Scarcity &amp; Growth Rates'!$E62)))</f>
        <v>0.69348642526498261</v>
      </c>
      <c r="D63" s="12">
        <f ca="1">MAX(0,MIN(1,D62*(1+'Model - Scarcity &amp; Growth Rates'!$D62-'Model - Scarcity &amp; Growth Rates'!$E62)))</f>
        <v>0.69348642526498261</v>
      </c>
      <c r="E63" s="12">
        <f ca="1">B63*('Model - Scarcity &amp; Growth Rates'!$D63*(1-'Model - Scarcity &amp; Growth Rates'!$I63)-'Model - Scarcity &amp; Growth Rates'!$I63)+(1-'Model - Supply'!B63)*('Model - Scarcity &amp; Growth Rates'!$E63*(1-'Model - Scarcity &amp; Growth Rates'!$I63)-'Model - Scarcity &amp; Growth Rates'!$I63)</f>
        <v>-0.38229523796762316</v>
      </c>
      <c r="F63" s="12">
        <f ca="1">C63*('Model - Scarcity &amp; Growth Rates'!$D63*(1-'Model - Scarcity &amp; Growth Rates'!$I63)-'Model - Scarcity &amp; Growth Rates'!$I63)+(1-'Model - Supply'!C63)*('Model - Scarcity &amp; Growth Rates'!$E63*(1-'Model - Scarcity &amp; Growth Rates'!$I63)-'Model - Scarcity &amp; Growth Rates'!$I63)</f>
        <v>-0.38229523796762316</v>
      </c>
      <c r="G63" s="12">
        <f ca="1">D63*('Model - Scarcity &amp; Growth Rates'!$D63*(1-'Model - Scarcity &amp; Growth Rates'!$I63)-'Model - Scarcity &amp; Growth Rates'!$I63)+(1-'Model - Supply'!D63)*('Model - Scarcity &amp; Growth Rates'!$E63*(1-'Model - Scarcity &amp; Growth Rates'!$I63)-'Model - Scarcity &amp; Growth Rates'!$I63)</f>
        <v>-0.38229523796762316</v>
      </c>
      <c r="H63" s="12">
        <f ca="1">'Model - Scarcity &amp; Growth Rates'!J63</f>
        <v>1.0547741029588406E-2</v>
      </c>
      <c r="I63" s="21">
        <f ca="1">(1+E62)*I62*(1-(SUM(I$5:I62)/'Static Parameters'!C$17)^2)</f>
        <v>4.5342446936590966E-6</v>
      </c>
      <c r="J63" s="21">
        <f ca="1">(1+F62)*J62*(1-(SUM(J$5:J62)/'Static Parameters'!D$17)^2)</f>
        <v>6.3916561218265883E-8</v>
      </c>
      <c r="K63" s="21">
        <f ca="1">(1+G62)*K62*(1-(SUM(K$5:K62)/'Static Parameters'!E$17)^2)</f>
        <v>1.1105462984815528E-7</v>
      </c>
      <c r="L63" s="21">
        <f ca="1">(1+H62)*L62*(1-(SUM(L$5:L62)/'Static Parameters'!F$17)^2)</f>
        <v>2.9687118515889894E-8</v>
      </c>
      <c r="M63" s="21">
        <f ca="1">I63*B63*'Static Parameters'!C$15</f>
        <v>7.2322054309294355E-7</v>
      </c>
      <c r="N63" s="21">
        <f ca="1">J63*C63*'Static Parameters'!D$15</f>
        <v>1.0194811537531696E-8</v>
      </c>
      <c r="O63" s="21">
        <f ca="1">K63*D63*'Static Parameters'!E$15</f>
        <v>1.8483570783005529E-8</v>
      </c>
      <c r="P63" s="84">
        <f t="shared" ca="1" si="11"/>
        <v>2.9687118515889894E-8</v>
      </c>
      <c r="Q63" s="54">
        <f t="shared" ca="1" si="12"/>
        <v>1.3898075497767336E-6</v>
      </c>
      <c r="R63" s="54">
        <f t="shared" ca="1" si="13"/>
        <v>1.9591293663780255E-8</v>
      </c>
      <c r="S63" s="54">
        <f t="shared" ca="1" si="14"/>
        <v>3.4039751585632236E-8</v>
      </c>
      <c r="T63" s="85">
        <f ca="1">I63*'Static Parameters'!C$19/(44/12)/1000</f>
        <v>1.1908575381801028E-7</v>
      </c>
      <c r="U63" s="85">
        <f ca="1">J63*'Static Parameters'!D$19/(44/12)/1000</f>
        <v>1.277750164717879E-9</v>
      </c>
      <c r="V63" s="85">
        <f ca="1">K63*'Static Parameters'!E$19/(44/12)/1000</f>
        <v>1.6991358366767759E-9</v>
      </c>
      <c r="W63" s="85">
        <f ca="1">MAX(0,AC62*'Model - Scarcity &amp; Growth Rates'!$J62*(1-'Model - Supply'!Z62/'Static Parameters'!C$25)+'Model - Supply'!Z62/'Static Parameters'!C$27)</f>
        <v>5.2846925260647044</v>
      </c>
      <c r="X63" s="85">
        <f ca="1">MAX(0,AD62*'Model - Scarcity &amp; Growth Rates'!$J62*(1-'Model - Supply'!AA62/'Static Parameters'!D$25)+'Model - Supply'!AA62/'Static Parameters'!D$27)</f>
        <v>14.280683280383766</v>
      </c>
      <c r="Y63" s="85">
        <f ca="1">MAX(0,AE62*'Model - Scarcity &amp; Growth Rates'!$J62*(1-'Model - Supply'!AB62/'Static Parameters'!E$25)+'Model - Supply'!AB62/'Static Parameters'!E$27)</f>
        <v>0.66569484607885054</v>
      </c>
      <c r="Z63" s="85">
        <f ca="1">Z62+W63-Z62/'Static Parameters'!C$27</f>
        <v>120.07843827572893</v>
      </c>
      <c r="AA63" s="85">
        <f ca="1">AA62+X63-AA62/'Static Parameters'!D$27</f>
        <v>312.97999464391762</v>
      </c>
      <c r="AB63" s="85">
        <f ca="1">AB62+Y63-AB62/'Static Parameters'!E$27</f>
        <v>49.586523798476883</v>
      </c>
      <c r="AC63" s="85">
        <f ca="1">Z63-W63*'Static Parameters'!C$27/'Static Parameters'!C$26</f>
        <v>111.27061739895441</v>
      </c>
      <c r="AD63" s="85">
        <f ca="1">AA63-X63*'Static Parameters'!D$27/'Static Parameters'!D$26</f>
        <v>295.12914054343793</v>
      </c>
      <c r="AE63" s="85">
        <f ca="1">AB63-Y63*'Static Parameters'!E$27/'Static Parameters'!E$26</f>
        <v>48.873279320535254</v>
      </c>
      <c r="AF63" s="85">
        <f ca="1">AG62*'Model - Scarcity &amp; Growth Rates'!K62*(1-'Model - Supply'!AF62/'Static Parameters'!C$33)+'Model - Supply'!AF62</f>
        <v>123.90768857430382</v>
      </c>
      <c r="AG63" s="85">
        <f ca="1">AF63-AF63/'Static Parameters'!$C$34</f>
        <v>61.953844287151909</v>
      </c>
      <c r="AH63" s="85">
        <f t="shared" ca="1" si="15"/>
        <v>455.27303804451361</v>
      </c>
      <c r="AI63" s="85">
        <f t="shared" ca="1" si="16"/>
        <v>61.953845730590501</v>
      </c>
      <c r="AJ63" s="85">
        <f t="shared" ca="1" si="5"/>
        <v>2.1130280928696773E-6</v>
      </c>
      <c r="AK63" s="85">
        <f t="shared" ca="1" si="6"/>
        <v>2.9786105201311951E-8</v>
      </c>
      <c r="AL63" s="85">
        <f t="shared" ca="1" si="7"/>
        <v>5.2523322368637768E-8</v>
      </c>
      <c r="AM63" s="85">
        <f t="shared" ca="1" si="8"/>
        <v>2.9687118515889894E-8</v>
      </c>
      <c r="AN63" s="85">
        <f t="shared" ca="1" si="9"/>
        <v>455.27303726292757</v>
      </c>
      <c r="AO63" s="85">
        <f t="shared" ca="1" si="10"/>
        <v>61.953844287151909</v>
      </c>
    </row>
    <row r="64" spans="1:41" x14ac:dyDescent="0.35">
      <c r="A64" s="13">
        <v>2082</v>
      </c>
      <c r="B64" s="12">
        <f ca="1">MAX(0,MIN(1,B63*(1+'Model - Scarcity &amp; Growth Rates'!$D63-'Model - Scarcity &amp; Growth Rates'!$E63)))</f>
        <v>0.68032874225392215</v>
      </c>
      <c r="C64" s="12">
        <f ca="1">MAX(0,MIN(1,C63*(1+'Model - Scarcity &amp; Growth Rates'!$D63-'Model - Scarcity &amp; Growth Rates'!$E63)))</f>
        <v>0.68032874225392215</v>
      </c>
      <c r="D64" s="12">
        <f ca="1">MAX(0,MIN(1,D63*(1+'Model - Scarcity &amp; Growth Rates'!$D63-'Model - Scarcity &amp; Growth Rates'!$E63)))</f>
        <v>0.68032874225392215</v>
      </c>
      <c r="E64" s="12">
        <f ca="1">B64*('Model - Scarcity &amp; Growth Rates'!$D64*(1-'Model - Scarcity &amp; Growth Rates'!$I64)-'Model - Scarcity &amp; Growth Rates'!$I64)+(1-'Model - Supply'!B64)*('Model - Scarcity &amp; Growth Rates'!$E64*(1-'Model - Scarcity &amp; Growth Rates'!$I64)-'Model - Scarcity &amp; Growth Rates'!$I64)</f>
        <v>-0.38310773400743997</v>
      </c>
      <c r="F64" s="12">
        <f ca="1">C64*('Model - Scarcity &amp; Growth Rates'!$D64*(1-'Model - Scarcity &amp; Growth Rates'!$I64)-'Model - Scarcity &amp; Growth Rates'!$I64)+(1-'Model - Supply'!C64)*('Model - Scarcity &amp; Growth Rates'!$E64*(1-'Model - Scarcity &amp; Growth Rates'!$I64)-'Model - Scarcity &amp; Growth Rates'!$I64)</f>
        <v>-0.38310773400743997</v>
      </c>
      <c r="G64" s="12">
        <f ca="1">D64*('Model - Scarcity &amp; Growth Rates'!$D64*(1-'Model - Scarcity &amp; Growth Rates'!$I64)-'Model - Scarcity &amp; Growth Rates'!$I64)+(1-'Model - Supply'!D64)*('Model - Scarcity &amp; Growth Rates'!$E64*(1-'Model - Scarcity &amp; Growth Rates'!$I64)-'Model - Scarcity &amp; Growth Rates'!$I64)</f>
        <v>-0.38310773400743997</v>
      </c>
      <c r="H64" s="12">
        <f ca="1">'Model - Scarcity &amp; Growth Rates'!J64</f>
        <v>9.8312371019332861E-3</v>
      </c>
      <c r="I64" s="21">
        <f ca="1">(1+E63)*I63*(1-(SUM(I$5:I63)/'Static Parameters'!C$17)^2)</f>
        <v>2.7600295149890676E-6</v>
      </c>
      <c r="J64" s="21">
        <f ca="1">(1+F63)*J63*(1-(SUM(J$5:J63)/'Static Parameters'!D$17)^2)</f>
        <v>3.7323928037616707E-8</v>
      </c>
      <c r="K64" s="21">
        <f ca="1">(1+G63)*K63*(1-(SUM(K$5:K63)/'Static Parameters'!E$17)^2)</f>
        <v>6.2978974690072193E-8</v>
      </c>
      <c r="L64" s="21">
        <f ca="1">(1+H63)*L63*(1-(SUM(L$5:L63)/'Static Parameters'!F$17)^2)</f>
        <v>1.6011186056664602E-8</v>
      </c>
      <c r="M64" s="21">
        <f ca="1">I64*B64*'Static Parameters'!C$15</f>
        <v>4.3187730395872947E-7</v>
      </c>
      <c r="N64" s="21">
        <f ca="1">J64*C64*'Static Parameters'!D$15</f>
        <v>5.8402844340957655E-9</v>
      </c>
      <c r="O64" s="21">
        <f ca="1">K64*D64*'Static Parameters'!E$15</f>
        <v>1.0283137593441218E-8</v>
      </c>
      <c r="P64" s="84">
        <f t="shared" ca="1" si="11"/>
        <v>1.6011186056664602E-8</v>
      </c>
      <c r="Q64" s="54">
        <f t="shared" ca="1" si="12"/>
        <v>8.8230210647285246E-7</v>
      </c>
      <c r="R64" s="54">
        <f t="shared" ca="1" si="13"/>
        <v>1.1931387019809032E-8</v>
      </c>
      <c r="S64" s="54">
        <f t="shared" ca="1" si="14"/>
        <v>2.013256805073378E-8</v>
      </c>
      <c r="T64" s="85">
        <f ca="1">I64*'Static Parameters'!C$19/(44/12)/1000</f>
        <v>7.2488411534576511E-8</v>
      </c>
      <c r="U64" s="85">
        <f ca="1">J64*'Static Parameters'!D$19/(44/12)/1000</f>
        <v>7.4613925231562868E-10</v>
      </c>
      <c r="V64" s="85">
        <f ca="1">K64*'Static Parameters'!E$19/(44/12)/1000</f>
        <v>9.6357831275810452E-10</v>
      </c>
      <c r="W64" s="85">
        <f ca="1">MAX(0,AC63*'Model - Scarcity &amp; Growth Rates'!$J63*(1-'Model - Supply'!Z63/'Static Parameters'!C$25)+'Model - Supply'!Z63/'Static Parameters'!C$27)</f>
        <v>5.2721386967941868</v>
      </c>
      <c r="X64" s="85">
        <f ca="1">MAX(0,AD63*'Model - Scarcity &amp; Growth Rates'!$J63*(1-'Model - Supply'!AA63/'Static Parameters'!D$25)+'Model - Supply'!AA63/'Static Parameters'!D$27)</f>
        <v>14.240303041187245</v>
      </c>
      <c r="Y64" s="85">
        <f ca="1">MAX(0,AE63*'Model - Scarcity &amp; Growth Rates'!$J63*(1-'Model - Supply'!AB63/'Static Parameters'!E$25)+'Model - Supply'!AB63/'Static Parameters'!E$27)</f>
        <v>0.66541661255835338</v>
      </c>
      <c r="Z64" s="85">
        <f ca="1">Z63+W64-Z63/'Static Parameters'!C$27</f>
        <v>120.54743944149396</v>
      </c>
      <c r="AA64" s="85">
        <f ca="1">AA63+X64-AA63/'Static Parameters'!D$27</f>
        <v>314.70109789934816</v>
      </c>
      <c r="AB64" s="85">
        <f ca="1">AB63+Y64-AB63/'Static Parameters'!E$27</f>
        <v>49.59078676038888</v>
      </c>
      <c r="AC64" s="85">
        <f ca="1">Z64-W64*'Static Parameters'!C$27/'Static Parameters'!C$26</f>
        <v>111.76054161350365</v>
      </c>
      <c r="AD64" s="85">
        <f ca="1">AA64-X64*'Static Parameters'!D$27/'Static Parameters'!D$26</f>
        <v>296.90071909786411</v>
      </c>
      <c r="AE64" s="85">
        <f ca="1">AB64-Y64*'Static Parameters'!E$27/'Static Parameters'!E$26</f>
        <v>48.877840389790641</v>
      </c>
      <c r="AF64" s="85">
        <f ca="1">AG63*'Model - Scarcity &amp; Growth Rates'!K63*(1-'Model - Supply'!AF63/'Static Parameters'!C$33)+'Model - Supply'!AF63</f>
        <v>124.60352922668122</v>
      </c>
      <c r="AG64" s="85">
        <f ca="1">AF64-AF64/'Static Parameters'!$C$34</f>
        <v>62.301764613340609</v>
      </c>
      <c r="AH64" s="85">
        <f t="shared" ca="1" si="15"/>
        <v>457.53910156517031</v>
      </c>
      <c r="AI64" s="85">
        <f t="shared" ca="1" si="16"/>
        <v>62.301765527706671</v>
      </c>
      <c r="AJ64" s="85">
        <f t="shared" ca="1" si="5"/>
        <v>1.314179410431582E-6</v>
      </c>
      <c r="AK64" s="85">
        <f t="shared" ca="1" si="6"/>
        <v>1.7771671453904799E-8</v>
      </c>
      <c r="AL64" s="85">
        <f t="shared" ca="1" si="7"/>
        <v>3.0415705644174996E-8</v>
      </c>
      <c r="AM64" s="85">
        <f t="shared" ca="1" si="8"/>
        <v>1.6011186056664602E-8</v>
      </c>
      <c r="AN64" s="85">
        <f t="shared" ca="1" si="9"/>
        <v>457.53910110115839</v>
      </c>
      <c r="AO64" s="85">
        <f t="shared" ca="1" si="10"/>
        <v>62.301764613340609</v>
      </c>
    </row>
    <row r="65" spans="1:41" x14ac:dyDescent="0.35">
      <c r="A65" s="13">
        <v>2083</v>
      </c>
      <c r="B65" s="12">
        <f ca="1">MAX(0,MIN(1,B64*(1+'Model - Scarcity &amp; Growth Rates'!$D64-'Model - Scarcity &amp; Growth Rates'!$E64)))</f>
        <v>0.66783108382358458</v>
      </c>
      <c r="C65" s="12">
        <f ca="1">MAX(0,MIN(1,C64*(1+'Model - Scarcity &amp; Growth Rates'!$D64-'Model - Scarcity &amp; Growth Rates'!$E64)))</f>
        <v>0.66783108382358458</v>
      </c>
      <c r="D65" s="12">
        <f ca="1">MAX(0,MIN(1,D64*(1+'Model - Scarcity &amp; Growth Rates'!$D64-'Model - Scarcity &amp; Growth Rates'!$E64)))</f>
        <v>0.66783108382358458</v>
      </c>
      <c r="E65" s="12">
        <f ca="1">B65*('Model - Scarcity &amp; Growth Rates'!$D65*(1-'Model - Scarcity &amp; Growth Rates'!$I65)-'Model - Scarcity &amp; Growth Rates'!$I65)+(1-'Model - Supply'!B65)*('Model - Scarcity &amp; Growth Rates'!$E65*(1-'Model - Scarcity &amp; Growth Rates'!$I65)-'Model - Scarcity &amp; Growth Rates'!$I65)</f>
        <v>-0.38392596419766828</v>
      </c>
      <c r="F65" s="12">
        <f ca="1">C65*('Model - Scarcity &amp; Growth Rates'!$D65*(1-'Model - Scarcity &amp; Growth Rates'!$I65)-'Model - Scarcity &amp; Growth Rates'!$I65)+(1-'Model - Supply'!C65)*('Model - Scarcity &amp; Growth Rates'!$E65*(1-'Model - Scarcity &amp; Growth Rates'!$I65)-'Model - Scarcity &amp; Growth Rates'!$I65)</f>
        <v>-0.38392596419766828</v>
      </c>
      <c r="G65" s="12">
        <f ca="1">D65*('Model - Scarcity &amp; Growth Rates'!$D65*(1-'Model - Scarcity &amp; Growth Rates'!$I65)-'Model - Scarcity &amp; Growth Rates'!$I65)+(1-'Model - Supply'!D65)*('Model - Scarcity &amp; Growth Rates'!$E65*(1-'Model - Scarcity &amp; Growth Rates'!$I65)-'Model - Scarcity &amp; Growth Rates'!$I65)</f>
        <v>-0.38392596419766828</v>
      </c>
      <c r="H65" s="12">
        <f ca="1">'Model - Scarcity &amp; Growth Rates'!J65</f>
        <v>9.1162276292661056E-3</v>
      </c>
      <c r="I65" s="21">
        <f ca="1">(1+E64)*I64*(1-(SUM(I$5:I64)/'Static Parameters'!C$17)^2)</f>
        <v>1.6778412804339994E-6</v>
      </c>
      <c r="J65" s="21">
        <f ca="1">(1+F64)*J64*(1-(SUM(J$5:J64)/'Static Parameters'!D$17)^2)</f>
        <v>2.1766553143171318E-8</v>
      </c>
      <c r="K65" s="21">
        <f ca="1">(1+G64)*K64*(1-(SUM(K$5:K64)/'Static Parameters'!E$17)^2)</f>
        <v>3.5668338461957529E-8</v>
      </c>
      <c r="L65" s="21">
        <f ca="1">(1+H64)*L64*(1-(SUM(L$5:L64)/'Static Parameters'!F$17)^2)</f>
        <v>8.629207796934127E-9</v>
      </c>
      <c r="M65" s="21">
        <f ca="1">I65*B65*'Static Parameters'!C$15</f>
        <v>2.577183489831234E-7</v>
      </c>
      <c r="N65" s="21">
        <f ca="1">J65*C65*'Static Parameters'!D$15</f>
        <v>3.3433675786427833E-9</v>
      </c>
      <c r="O65" s="21">
        <f ca="1">K65*D65*'Static Parameters'!E$15</f>
        <v>5.7169020319765304E-9</v>
      </c>
      <c r="P65" s="84">
        <f t="shared" ca="1" si="11"/>
        <v>8.629207796934127E-9</v>
      </c>
      <c r="Q65" s="54">
        <f t="shared" ca="1" si="12"/>
        <v>5.5732671963781071E-7</v>
      </c>
      <c r="R65" s="54">
        <f t="shared" ca="1" si="13"/>
        <v>7.2301723664635647E-9</v>
      </c>
      <c r="S65" s="54">
        <f t="shared" ca="1" si="14"/>
        <v>1.1847913328721984E-8</v>
      </c>
      <c r="T65" s="85">
        <f ca="1">I65*'Static Parameters'!C$19/(44/12)/1000</f>
        <v>4.4066213265216581E-8</v>
      </c>
      <c r="U65" s="85">
        <f ca="1">J65*'Static Parameters'!D$19/(44/12)/1000</f>
        <v>4.3513318510757933E-10</v>
      </c>
      <c r="V65" s="85">
        <f ca="1">K65*'Static Parameters'!E$19/(44/12)/1000</f>
        <v>5.4572557846795014E-10</v>
      </c>
      <c r="W65" s="85">
        <f ca="1">MAX(0,AC64*'Model - Scarcity &amp; Growth Rates'!$J64*(1-'Model - Supply'!Z64/'Static Parameters'!C$25)+'Model - Supply'!Z64/'Static Parameters'!C$27)</f>
        <v>5.2583878508993571</v>
      </c>
      <c r="X65" s="85">
        <f ca="1">MAX(0,AD64*'Model - Scarcity &amp; Growth Rates'!$J64*(1-'Model - Supply'!AA64/'Static Parameters'!D$25)+'Model - Supply'!AA64/'Static Parameters'!D$27)</f>
        <v>14.194686046468361</v>
      </c>
      <c r="Y65" s="85">
        <f ca="1">MAX(0,AE64*'Model - Scarcity &amp; Growth Rates'!$J64*(1-'Model - Supply'!AB64/'Static Parameters'!E$25)+'Model - Supply'!AB64/'Static Parameters'!E$27)</f>
        <v>0.66514327193562306</v>
      </c>
      <c r="Z65" s="85">
        <f ca="1">Z64+W65-Z64/'Static Parameters'!C$27</f>
        <v>120.98392971473356</v>
      </c>
      <c r="AA65" s="85">
        <f ca="1">AA64+X65-AA64/'Static Parameters'!D$27</f>
        <v>316.30774002984259</v>
      </c>
      <c r="AB65" s="85">
        <f ca="1">AB64+Y65-AB64/'Static Parameters'!E$27</f>
        <v>49.594719542185992</v>
      </c>
      <c r="AC65" s="85">
        <f ca="1">Z65-W65*'Static Parameters'!C$27/'Static Parameters'!C$26</f>
        <v>112.21994996323463</v>
      </c>
      <c r="AD65" s="85">
        <f ca="1">AA65-X65*'Static Parameters'!D$27/'Static Parameters'!D$26</f>
        <v>298.56438247175714</v>
      </c>
      <c r="AE65" s="85">
        <f ca="1">AB65-Y65*'Static Parameters'!E$27/'Static Parameters'!E$26</f>
        <v>48.882066036540678</v>
      </c>
      <c r="AF65" s="85">
        <f ca="1">AG64*'Model - Scarcity &amp; Growth Rates'!K64*(1-'Model - Supply'!AF64/'Static Parameters'!C$33)+'Model - Supply'!AF64</f>
        <v>125.26588293067707</v>
      </c>
      <c r="AG65" s="85">
        <f ca="1">AF65-AF65/'Static Parameters'!$C$34</f>
        <v>62.632941465338533</v>
      </c>
      <c r="AH65" s="85">
        <f t="shared" ca="1" si="15"/>
        <v>459.66639874694027</v>
      </c>
      <c r="AI65" s="85">
        <f t="shared" ca="1" si="16"/>
        <v>62.632942041743341</v>
      </c>
      <c r="AJ65" s="85">
        <f t="shared" ca="1" si="5"/>
        <v>8.1504506862093406E-7</v>
      </c>
      <c r="AK65" s="85">
        <f t="shared" ca="1" si="6"/>
        <v>1.0573539945106347E-8</v>
      </c>
      <c r="AL65" s="85">
        <f t="shared" ca="1" si="7"/>
        <v>1.7564815360698514E-8</v>
      </c>
      <c r="AM65" s="85">
        <f t="shared" ca="1" si="8"/>
        <v>8.629207796934127E-9</v>
      </c>
      <c r="AN65" s="85">
        <f t="shared" ca="1" si="9"/>
        <v>459.66639847153243</v>
      </c>
      <c r="AO65" s="85">
        <f t="shared" ca="1" si="10"/>
        <v>62.632941465338533</v>
      </c>
    </row>
    <row r="66" spans="1:41" x14ac:dyDescent="0.35">
      <c r="A66" s="13">
        <v>2084</v>
      </c>
      <c r="B66" s="12">
        <f ca="1">MAX(0,MIN(1,B65*(1+'Model - Scarcity &amp; Growth Rates'!$D65-'Model - Scarcity &amp; Growth Rates'!$E65)))</f>
        <v>0.65598485419180019</v>
      </c>
      <c r="C66" s="12">
        <f ca="1">MAX(0,MIN(1,C65*(1+'Model - Scarcity &amp; Growth Rates'!$D65-'Model - Scarcity &amp; Growth Rates'!$E65)))</f>
        <v>0.65598485419180019</v>
      </c>
      <c r="D66" s="12">
        <f ca="1">MAX(0,MIN(1,D65*(1+'Model - Scarcity &amp; Growth Rates'!$D65-'Model - Scarcity &amp; Growth Rates'!$E65)))</f>
        <v>0.65598485419180019</v>
      </c>
      <c r="E66" s="12">
        <f ca="1">B66*('Model - Scarcity &amp; Growth Rates'!$D66*(1-'Model - Scarcity &amp; Growth Rates'!$I66)-'Model - Scarcity &amp; Growth Rates'!$I66)+(1-'Model - Supply'!B66)*('Model - Scarcity &amp; Growth Rates'!$E66*(1-'Model - Scarcity &amp; Growth Rates'!$I66)-'Model - Scarcity &amp; Growth Rates'!$I66)</f>
        <v>-0.38475070224549696</v>
      </c>
      <c r="F66" s="12">
        <f ca="1">C66*('Model - Scarcity &amp; Growth Rates'!$D66*(1-'Model - Scarcity &amp; Growth Rates'!$I66)-'Model - Scarcity &amp; Growth Rates'!$I66)+(1-'Model - Supply'!C66)*('Model - Scarcity &amp; Growth Rates'!$E66*(1-'Model - Scarcity &amp; Growth Rates'!$I66)-'Model - Scarcity &amp; Growth Rates'!$I66)</f>
        <v>-0.38475070224549696</v>
      </c>
      <c r="G66" s="12">
        <f ca="1">D66*('Model - Scarcity &amp; Growth Rates'!$D66*(1-'Model - Scarcity &amp; Growth Rates'!$I66)-'Model - Scarcity &amp; Growth Rates'!$I66)+(1-'Model - Supply'!D66)*('Model - Scarcity &amp; Growth Rates'!$E66*(1-'Model - Scarcity &amp; Growth Rates'!$I66)-'Model - Scarcity &amp; Growth Rates'!$I66)</f>
        <v>-0.38475070224549696</v>
      </c>
      <c r="H66" s="12">
        <f ca="1">'Model - Scarcity &amp; Growth Rates'!J66</f>
        <v>8.4021090826085047E-3</v>
      </c>
      <c r="I66" s="21">
        <f ca="1">(1+E65)*I65*(1-(SUM(I$5:I65)/'Static Parameters'!C$17)^2)</f>
        <v>1.0186186060494661E-6</v>
      </c>
      <c r="J66" s="21">
        <f ca="1">(1+F65)*J65*(1-(SUM(J$5:J65)/'Static Parameters'!D$17)^2)</f>
        <v>1.2676972846222334E-8</v>
      </c>
      <c r="K66" s="21">
        <f ca="1">(1+G65)*K65*(1-(SUM(K$5:K65)/'Static Parameters'!E$17)^2)</f>
        <v>2.0174080650346982E-8</v>
      </c>
      <c r="L66" s="21">
        <f ca="1">(1+H65)*L65*(1-(SUM(L$5:L65)/'Static Parameters'!F$17)^2)</f>
        <v>4.647407341540539E-9</v>
      </c>
      <c r="M66" s="21">
        <f ca="1">I66*B66*'Static Parameters'!C$15</f>
        <v>1.5368562688627517E-7</v>
      </c>
      <c r="N66" s="21">
        <f ca="1">J66*C66*'Static Parameters'!D$15</f>
        <v>1.9126575023481907E-9</v>
      </c>
      <c r="O66" s="21">
        <f ca="1">K66*D66*'Static Parameters'!E$15</f>
        <v>3.1761339249291556E-9</v>
      </c>
      <c r="P66" s="84">
        <f t="shared" ca="1" si="11"/>
        <v>4.647407341540539E-9</v>
      </c>
      <c r="Q66" s="54">
        <f t="shared" ca="1" si="12"/>
        <v>3.5042022828305233E-7</v>
      </c>
      <c r="R66" s="54">
        <f t="shared" ca="1" si="13"/>
        <v>4.3610706620997659E-9</v>
      </c>
      <c r="S66" s="54">
        <f t="shared" ca="1" si="14"/>
        <v>6.9401892964754996E-9</v>
      </c>
      <c r="T66" s="85">
        <f ca="1">I66*'Static Parameters'!C$19/(44/12)/1000</f>
        <v>2.6752628662517343E-8</v>
      </c>
      <c r="U66" s="85">
        <f ca="1">J66*'Static Parameters'!D$19/(44/12)/1000</f>
        <v>2.5342421171675373E-10</v>
      </c>
      <c r="V66" s="85">
        <f ca="1">K66*'Static Parameters'!E$19/(44/12)/1000</f>
        <v>3.0866343395030883E-10</v>
      </c>
      <c r="W66" s="85">
        <f ca="1">MAX(0,AC65*'Model - Scarcity &amp; Growth Rates'!$J65*(1-'Model - Supply'!Z65/'Static Parameters'!C$25)+'Model - Supply'!Z65/'Static Parameters'!C$27)</f>
        <v>5.2435333202369296</v>
      </c>
      <c r="X66" s="85">
        <f ca="1">MAX(0,AD65*'Model - Scarcity &amp; Growth Rates'!$J65*(1-'Model - Supply'!AA65/'Static Parameters'!D$25)+'Model - Supply'!AA65/'Static Parameters'!D$27)</f>
        <v>14.144204249983563</v>
      </c>
      <c r="Y66" s="85">
        <f ca="1">MAX(0,AE65*'Model - Scarcity &amp; Growth Rates'!$J65*(1-'Model - Supply'!AB65/'Static Parameters'!E$25)+'Model - Supply'!AB65/'Static Parameters'!E$27)</f>
        <v>0.66487494911351919</v>
      </c>
      <c r="Z66" s="85">
        <f ca="1">Z65+W66-Z65/'Static Parameters'!C$27</f>
        <v>121.38810584638115</v>
      </c>
      <c r="AA66" s="85">
        <f ca="1">AA65+X66-AA65/'Static Parameters'!D$27</f>
        <v>317.79963467863246</v>
      </c>
      <c r="AB66" s="85">
        <f ca="1">AB65+Y66-AB65/'Static Parameters'!E$27</f>
        <v>49.598331564070364</v>
      </c>
      <c r="AC66" s="85">
        <f ca="1">Z66-W66*'Static Parameters'!C$27/'Static Parameters'!C$26</f>
        <v>112.64888364598627</v>
      </c>
      <c r="AD66" s="85">
        <f ca="1">AA66-X66*'Static Parameters'!D$27/'Static Parameters'!D$26</f>
        <v>300.119379366153</v>
      </c>
      <c r="AE66" s="85">
        <f ca="1">AB66-Y66*'Static Parameters'!E$27/'Static Parameters'!E$26</f>
        <v>48.885965547163025</v>
      </c>
      <c r="AF66" s="85">
        <f ca="1">AG65*'Model - Scarcity &amp; Growth Rates'!K65*(1-'Model - Supply'!AF65/'Static Parameters'!C$33)+'Model - Supply'!AF65</f>
        <v>125.89439011078839</v>
      </c>
      <c r="AG66" s="85">
        <f ca="1">AF66-AF66/'Static Parameters'!$C$34</f>
        <v>62.947195055394197</v>
      </c>
      <c r="AH66" s="85">
        <f t="shared" ca="1" si="15"/>
        <v>461.65422872272416</v>
      </c>
      <c r="AI66" s="85">
        <f t="shared" ca="1" si="16"/>
        <v>62.947195417115687</v>
      </c>
      <c r="AJ66" s="85">
        <f t="shared" ca="1" si="5"/>
        <v>5.0410585516932753E-7</v>
      </c>
      <c r="AK66" s="85">
        <f t="shared" ca="1" si="6"/>
        <v>6.2737281644479566E-9</v>
      </c>
      <c r="AL66" s="85">
        <f t="shared" ca="1" si="7"/>
        <v>1.0116323221404655E-8</v>
      </c>
      <c r="AM66" s="85">
        <f t="shared" ca="1" si="8"/>
        <v>4.647407341540539E-9</v>
      </c>
      <c r="AN66" s="85">
        <f t="shared" ca="1" si="9"/>
        <v>461.65422855930234</v>
      </c>
      <c r="AO66" s="85">
        <f t="shared" ca="1" si="10"/>
        <v>62.947195055394197</v>
      </c>
    </row>
    <row r="67" spans="1:41" x14ac:dyDescent="0.35">
      <c r="A67" s="13">
        <v>2085</v>
      </c>
      <c r="B67" s="12">
        <f ca="1">MAX(0,MIN(1,B66*(1+'Model - Scarcity &amp; Growth Rates'!$D66-'Model - Scarcity &amp; Growth Rates'!$E66)))</f>
        <v>0.64478109440651477</v>
      </c>
      <c r="C67" s="12">
        <f ca="1">MAX(0,MIN(1,C66*(1+'Model - Scarcity &amp; Growth Rates'!$D66-'Model - Scarcity &amp; Growth Rates'!$E66)))</f>
        <v>0.64478109440651477</v>
      </c>
      <c r="D67" s="12">
        <f ca="1">MAX(0,MIN(1,D66*(1+'Model - Scarcity &amp; Growth Rates'!$D66-'Model - Scarcity &amp; Growth Rates'!$E66)))</f>
        <v>0.64478109440651477</v>
      </c>
      <c r="E67" s="12">
        <f ca="1">B67*('Model - Scarcity &amp; Growth Rates'!$D67*(1-'Model - Scarcity &amp; Growth Rates'!$I67)-'Model - Scarcity &amp; Growth Rates'!$I67)+(1-'Model - Supply'!B67)*('Model - Scarcity &amp; Growth Rates'!$E67*(1-'Model - Scarcity &amp; Growth Rates'!$I67)-'Model - Scarcity &amp; Growth Rates'!$I67)</f>
        <v>-0.38557619852263852</v>
      </c>
      <c r="F67" s="12">
        <f ca="1">C67*('Model - Scarcity &amp; Growth Rates'!$D67*(1-'Model - Scarcity &amp; Growth Rates'!$I67)-'Model - Scarcity &amp; Growth Rates'!$I67)+(1-'Model - Supply'!C67)*('Model - Scarcity &amp; Growth Rates'!$E67*(1-'Model - Scarcity &amp; Growth Rates'!$I67)-'Model - Scarcity &amp; Growth Rates'!$I67)</f>
        <v>-0.38557619852263852</v>
      </c>
      <c r="G67" s="12">
        <f ca="1">D67*('Model - Scarcity &amp; Growth Rates'!$D67*(1-'Model - Scarcity &amp; Growth Rates'!$I67)-'Model - Scarcity &amp; Growth Rates'!$I67)+(1-'Model - Supply'!D67)*('Model - Scarcity &amp; Growth Rates'!$E67*(1-'Model - Scarcity &amp; Growth Rates'!$I67)-'Model - Scarcity &amp; Growth Rates'!$I67)</f>
        <v>-0.38557619852263852</v>
      </c>
      <c r="H67" s="12">
        <f ca="1">'Model - Scarcity &amp; Growth Rates'!J67</f>
        <v>7.6984465280233363E-3</v>
      </c>
      <c r="I67" s="21">
        <f ca="1">(1+E66)*I66*(1-(SUM(I$5:I66)/'Static Parameters'!C$17)^2)</f>
        <v>6.1757620556147209E-7</v>
      </c>
      <c r="J67" s="21">
        <f ca="1">(1+F66)*J66*(1-(SUM(J$5:J66)/'Static Parameters'!D$17)^2)</f>
        <v>7.373262220984377E-9</v>
      </c>
      <c r="K67" s="21">
        <f ca="1">(1+G66)*K66*(1-(SUM(K$5:K66)/'Static Parameters'!E$17)^2)</f>
        <v>1.1395223482447476E-8</v>
      </c>
      <c r="L67" s="21">
        <f ca="1">(1+H66)*L66*(1-(SUM(L$5:L66)/'Static Parameters'!F$17)^2)</f>
        <v>2.5011694037546329E-9</v>
      </c>
      <c r="M67" s="21">
        <f ca="1">I67*B67*'Static Parameters'!C$15</f>
        <v>9.1586336191310198E-8</v>
      </c>
      <c r="N67" s="21">
        <f ca="1">J67*C67*'Static Parameters'!D$15</f>
        <v>1.0934522193642788E-9</v>
      </c>
      <c r="O67" s="21">
        <f ca="1">K67*D67*'Static Parameters'!E$15</f>
        <v>1.763381920324632E-9</v>
      </c>
      <c r="P67" s="84">
        <f t="shared" ca="1" si="11"/>
        <v>2.5011694037546329E-9</v>
      </c>
      <c r="Q67" s="54">
        <f t="shared" ca="1" si="12"/>
        <v>2.1937474386012338E-7</v>
      </c>
      <c r="R67" s="54">
        <f t="shared" ca="1" si="13"/>
        <v>2.6191221367918606E-9</v>
      </c>
      <c r="S67" s="54">
        <f t="shared" ca="1" si="14"/>
        <v>4.0477988144281761E-9</v>
      </c>
      <c r="T67" s="85">
        <f ca="1">I67*'Static Parameters'!C$19/(44/12)/1000</f>
        <v>1.6219796889700846E-8</v>
      </c>
      <c r="U67" s="85">
        <f ca="1">J67*'Static Parameters'!D$19/(44/12)/1000</f>
        <v>1.4739821476313312E-10</v>
      </c>
      <c r="V67" s="85">
        <f ca="1">K67*'Static Parameters'!E$19/(44/12)/1000</f>
        <v>1.743469192814464E-10</v>
      </c>
      <c r="W67" s="85">
        <f ca="1">MAX(0,AC66*'Model - Scarcity &amp; Growth Rates'!$J66*(1-'Model - Supply'!Z66/'Static Parameters'!C$25)+'Model - Supply'!Z66/'Static Parameters'!C$27)</f>
        <v>5.2275503881480603</v>
      </c>
      <c r="X67" s="85">
        <f ca="1">MAX(0,AD66*'Model - Scarcity &amp; Growth Rates'!$J66*(1-'Model - Supply'!AA66/'Static Parameters'!D$25)+'Model - Supply'!AA66/'Static Parameters'!D$27)</f>
        <v>14.088799829884499</v>
      </c>
      <c r="Y67" s="85">
        <f ca="1">MAX(0,AE66*'Model - Scarcity &amp; Growth Rates'!$J66*(1-'Model - Supply'!AB66/'Static Parameters'!E$25)+'Model - Supply'!AB66/'Static Parameters'!E$27)</f>
        <v>0.66461075528352254</v>
      </c>
      <c r="Z67" s="85">
        <f ca="1">Z66+W67-Z66/'Static Parameters'!C$27</f>
        <v>121.76013200067396</v>
      </c>
      <c r="AA67" s="85">
        <f ca="1">AA66+X67-AA66/'Static Parameters'!D$27</f>
        <v>319.17644912137166</v>
      </c>
      <c r="AB67" s="85">
        <f ca="1">AB66+Y67-AB66/'Static Parameters'!E$27</f>
        <v>49.601631231832947</v>
      </c>
      <c r="AC67" s="85">
        <f ca="1">Z67-W67*'Static Parameters'!C$27/'Static Parameters'!C$26</f>
        <v>113.0475480204272</v>
      </c>
      <c r="AD67" s="85">
        <f ca="1">AA67-X67*'Static Parameters'!D$27/'Static Parameters'!D$26</f>
        <v>301.56544933401602</v>
      </c>
      <c r="AE67" s="85">
        <f ca="1">AB67-Y67*'Static Parameters'!E$27/'Static Parameters'!E$26</f>
        <v>48.889548279743458</v>
      </c>
      <c r="AF67" s="85">
        <f ca="1">AG66*'Model - Scarcity &amp; Growth Rates'!K66*(1-'Model - Supply'!AF66/'Static Parameters'!C$33)+'Model - Supply'!AF66</f>
        <v>126.48871080451435</v>
      </c>
      <c r="AG67" s="85">
        <f ca="1">AF67-AF67/'Static Parameters'!$C$34</f>
        <v>63.244355402257177</v>
      </c>
      <c r="AH67" s="85">
        <f t="shared" ca="1" si="15"/>
        <v>463.50254573113102</v>
      </c>
      <c r="AI67" s="85">
        <f t="shared" ca="1" si="16"/>
        <v>63.244355628298841</v>
      </c>
      <c r="AJ67" s="85">
        <f t="shared" ca="1" si="5"/>
        <v>3.1096108005143356E-7</v>
      </c>
      <c r="AK67" s="85">
        <f t="shared" ca="1" si="6"/>
        <v>3.7125743561561394E-9</v>
      </c>
      <c r="AL67" s="85">
        <f t="shared" ca="1" si="7"/>
        <v>5.8111807347528085E-9</v>
      </c>
      <c r="AM67" s="85">
        <f t="shared" ca="1" si="8"/>
        <v>2.5011694037546329E-9</v>
      </c>
      <c r="AN67" s="85">
        <f t="shared" ca="1" si="9"/>
        <v>463.50254563418667</v>
      </c>
      <c r="AO67" s="85">
        <f t="shared" ca="1" si="10"/>
        <v>63.244355402257177</v>
      </c>
    </row>
    <row r="68" spans="1:41" x14ac:dyDescent="0.35">
      <c r="A68" s="13">
        <v>2086</v>
      </c>
      <c r="B68" s="12">
        <f ca="1">MAX(0,MIN(1,B67*(1+'Model - Scarcity &amp; Growth Rates'!$D67-'Model - Scarcity &amp; Growth Rates'!$E67)))</f>
        <v>0.63420998639200121</v>
      </c>
      <c r="C68" s="12">
        <f ca="1">MAX(0,MIN(1,C67*(1+'Model - Scarcity &amp; Growth Rates'!$D67-'Model - Scarcity &amp; Growth Rates'!$E67)))</f>
        <v>0.63420998639200121</v>
      </c>
      <c r="D68" s="12">
        <f ca="1">MAX(0,MIN(1,D67*(1+'Model - Scarcity &amp; Growth Rates'!$D67-'Model - Scarcity &amp; Growth Rates'!$E67)))</f>
        <v>0.63420998639200121</v>
      </c>
      <c r="E68" s="12">
        <f ca="1">B68*('Model - Scarcity &amp; Growth Rates'!$D68*(1-'Model - Scarcity &amp; Growth Rates'!$I68)-'Model - Scarcity &amp; Growth Rates'!$I68)+(1-'Model - Supply'!B68)*('Model - Scarcity &amp; Growth Rates'!$E68*(1-'Model - Scarcity &amp; Growth Rates'!$I68)-'Model - Scarcity &amp; Growth Rates'!$I68)</f>
        <v>-0.38639977258407732</v>
      </c>
      <c r="F68" s="12">
        <f ca="1">C68*('Model - Scarcity &amp; Growth Rates'!$D68*(1-'Model - Scarcity &amp; Growth Rates'!$I68)-'Model - Scarcity &amp; Growth Rates'!$I68)+(1-'Model - Supply'!C68)*('Model - Scarcity &amp; Growth Rates'!$E68*(1-'Model - Scarcity &amp; Growth Rates'!$I68)-'Model - Scarcity &amp; Growth Rates'!$I68)</f>
        <v>-0.38639977258407732</v>
      </c>
      <c r="G68" s="12">
        <f ca="1">D68*('Model - Scarcity &amp; Growth Rates'!$D68*(1-'Model - Scarcity &amp; Growth Rates'!$I68)-'Model - Scarcity &amp; Growth Rates'!$I68)+(1-'Model - Supply'!D68)*('Model - Scarcity &amp; Growth Rates'!$E68*(1-'Model - Scarcity &amp; Growth Rates'!$I68)-'Model - Scarcity &amp; Growth Rates'!$I68)</f>
        <v>-0.38639977258407732</v>
      </c>
      <c r="H68" s="12">
        <f ca="1">'Model - Scarcity &amp; Growth Rates'!J68</f>
        <v>7.010872695118792E-3</v>
      </c>
      <c r="I68" s="21">
        <f ca="1">(1+E67)*I67*(1-(SUM(I$5:I67)/'Static Parameters'!C$17)^2)</f>
        <v>3.7392664186017356E-7</v>
      </c>
      <c r="J68" s="21">
        <f ca="1">(1+F67)*J67*(1-(SUM(J$5:J67)/'Static Parameters'!D$17)^2)</f>
        <v>4.282730071549056E-9</v>
      </c>
      <c r="K68" s="21">
        <f ca="1">(1+G67)*K67*(1-(SUM(K$5:K67)/'Static Parameters'!E$17)^2)</f>
        <v>6.4278960601982449E-9</v>
      </c>
      <c r="L68" s="21">
        <f ca="1">(1+H67)*L67*(1-(SUM(L$5:L67)/'Static Parameters'!F$17)^2)</f>
        <v>1.3451549645919766E-9</v>
      </c>
      <c r="M68" s="21">
        <f ca="1">I68*B68*'Static Parameters'!C$15</f>
        <v>5.4544042402521904E-8</v>
      </c>
      <c r="N68" s="21">
        <f ca="1">J68*C68*'Static Parameters'!D$15</f>
        <v>6.2471454149148044E-10</v>
      </c>
      <c r="O68" s="21">
        <f ca="1">K68*D68*'Static Parameters'!E$15</f>
        <v>9.7839260948820641E-10</v>
      </c>
      <c r="P68" s="84">
        <f t="shared" ca="1" si="11"/>
        <v>1.3451549645919766E-9</v>
      </c>
      <c r="Q68" s="54">
        <f t="shared" ca="1" si="12"/>
        <v>1.3677863141442616E-7</v>
      </c>
      <c r="R68" s="54">
        <f t="shared" ca="1" si="13"/>
        <v>1.5665798911513148E-9</v>
      </c>
      <c r="S68" s="54">
        <f t="shared" ca="1" si="14"/>
        <v>2.3512601873307178E-9</v>
      </c>
      <c r="T68" s="85">
        <f ca="1">I68*'Static Parameters'!C$19/(44/12)/1000</f>
        <v>9.8206733484912854E-9</v>
      </c>
      <c r="U68" s="85">
        <f ca="1">J68*'Static Parameters'!D$19/(44/12)/1000</f>
        <v>8.5615667521239782E-11</v>
      </c>
      <c r="V68" s="85">
        <f ca="1">K68*'Static Parameters'!E$19/(44/12)/1000</f>
        <v>9.8346809721033153E-11</v>
      </c>
      <c r="W68" s="85">
        <f ca="1">MAX(0,AC67*'Model - Scarcity &amp; Growth Rates'!$J67*(1-'Model - Supply'!Z67/'Static Parameters'!C$25)+'Model - Supply'!Z67/'Static Parameters'!C$27)</f>
        <v>5.2108623506247342</v>
      </c>
      <c r="X68" s="85">
        <f ca="1">MAX(0,AD67*'Model - Scarcity &amp; Growth Rates'!$J67*(1-'Model - Supply'!AA67/'Static Parameters'!D$25)+'Model - Supply'!AA67/'Static Parameters'!D$27)</f>
        <v>14.03007857713785</v>
      </c>
      <c r="Y68" s="85">
        <f ca="1">MAX(0,AE67*'Model - Scarcity &amp; Growth Rates'!$J67*(1-'Model - Supply'!AB67/'Static Parameters'!E$25)+'Model - Supply'!AB67/'Static Parameters'!E$27)</f>
        <v>0.66435379262571848</v>
      </c>
      <c r="Z68" s="85">
        <f ca="1">Z67+W68-Z67/'Static Parameters'!C$27</f>
        <v>122.10058907127174</v>
      </c>
      <c r="AA68" s="85">
        <f ca="1">AA67+X68-AA67/'Static Parameters'!D$27</f>
        <v>320.43946973365462</v>
      </c>
      <c r="AB68" s="85">
        <f ca="1">AB67+Y68-AB67/'Static Parameters'!E$27</f>
        <v>49.604629941367563</v>
      </c>
      <c r="AC68" s="85">
        <f ca="1">Z68-W68*'Static Parameters'!C$27/'Static Parameters'!C$26</f>
        <v>113.41581848689718</v>
      </c>
      <c r="AD68" s="85">
        <f ca="1">AA68-X68*'Static Parameters'!D$27/'Static Parameters'!D$26</f>
        <v>302.90187151223233</v>
      </c>
      <c r="AE68" s="85">
        <f ca="1">AB68-Y68*'Static Parameters'!E$27/'Static Parameters'!E$26</f>
        <v>48.892822306411439</v>
      </c>
      <c r="AF68" s="85">
        <f ca="1">AG67*'Model - Scarcity &amp; Growth Rates'!K67*(1-'Model - Supply'!AF67/'Static Parameters'!C$33)+'Model - Supply'!AF67</f>
        <v>127.04878112929582</v>
      </c>
      <c r="AG68" s="85">
        <f ca="1">AF68-AF68/'Static Parameters'!$C$34</f>
        <v>63.524390564647909</v>
      </c>
      <c r="AH68" s="85">
        <f t="shared" ca="1" si="15"/>
        <v>465.21051236303327</v>
      </c>
      <c r="AI68" s="85">
        <f t="shared" ca="1" si="16"/>
        <v>63.524390705344381</v>
      </c>
      <c r="AJ68" s="85">
        <f t="shared" ca="1" si="5"/>
        <v>1.9132267381694806E-7</v>
      </c>
      <c r="AK68" s="85">
        <f t="shared" ca="1" si="6"/>
        <v>2.1912944326427952E-9</v>
      </c>
      <c r="AL68" s="85">
        <f t="shared" ca="1" si="7"/>
        <v>3.329652796818924E-9</v>
      </c>
      <c r="AM68" s="85">
        <f t="shared" ca="1" si="8"/>
        <v>1.3451549645919766E-9</v>
      </c>
      <c r="AN68" s="85">
        <f t="shared" ca="1" si="9"/>
        <v>465.21051230554099</v>
      </c>
      <c r="AO68" s="85">
        <f t="shared" ca="1" si="10"/>
        <v>63.524390564647909</v>
      </c>
    </row>
    <row r="69" spans="1:41" x14ac:dyDescent="0.35">
      <c r="A69" s="13">
        <v>2087</v>
      </c>
      <c r="B69" s="12">
        <f ca="1">MAX(0,MIN(1,B68*(1+'Model - Scarcity &amp; Growth Rates'!$D68-'Model - Scarcity &amp; Growth Rates'!$E68)))</f>
        <v>0.62426342658421774</v>
      </c>
      <c r="C69" s="12">
        <f ca="1">MAX(0,MIN(1,C68*(1+'Model - Scarcity &amp; Growth Rates'!$D68-'Model - Scarcity &amp; Growth Rates'!$E68)))</f>
        <v>0.62426342658421774</v>
      </c>
      <c r="D69" s="12">
        <f ca="1">MAX(0,MIN(1,D68*(1+'Model - Scarcity &amp; Growth Rates'!$D68-'Model - Scarcity &amp; Growth Rates'!$E68)))</f>
        <v>0.62426342658421774</v>
      </c>
      <c r="E69" s="12">
        <f ca="1">B69*('Model - Scarcity &amp; Growth Rates'!$D69*(1-'Model - Scarcity &amp; Growth Rates'!$I69)-'Model - Scarcity &amp; Growth Rates'!$I69)+(1-'Model - Supply'!B69)*('Model - Scarcity &amp; Growth Rates'!$E69*(1-'Model - Scarcity &amp; Growth Rates'!$I69)-'Model - Scarcity &amp; Growth Rates'!$I69)</f>
        <v>-0.38721748412906898</v>
      </c>
      <c r="F69" s="12">
        <f ca="1">C69*('Model - Scarcity &amp; Growth Rates'!$D69*(1-'Model - Scarcity &amp; Growth Rates'!$I69)-'Model - Scarcity &amp; Growth Rates'!$I69)+(1-'Model - Supply'!C69)*('Model - Scarcity &amp; Growth Rates'!$E69*(1-'Model - Scarcity &amp; Growth Rates'!$I69)-'Model - Scarcity &amp; Growth Rates'!$I69)</f>
        <v>-0.38721748412906898</v>
      </c>
      <c r="G69" s="12">
        <f ca="1">D69*('Model - Scarcity &amp; Growth Rates'!$D69*(1-'Model - Scarcity &amp; Growth Rates'!$I69)-'Model - Scarcity &amp; Growth Rates'!$I69)+(1-'Model - Supply'!D69)*('Model - Scarcity &amp; Growth Rates'!$E69*(1-'Model - Scarcity &amp; Growth Rates'!$I69)-'Model - Scarcity &amp; Growth Rates'!$I69)</f>
        <v>-0.38721748412906898</v>
      </c>
      <c r="H69" s="12">
        <f ca="1">'Model - Scarcity &amp; Growth Rates'!J69</f>
        <v>6.345581713567046E-3</v>
      </c>
      <c r="I69" s="21">
        <f ca="1">(1+E68)*I68*(1-(SUM(I$5:I68)/'Static Parameters'!C$17)^2)</f>
        <v>2.2609957426627218E-7</v>
      </c>
      <c r="J69" s="21">
        <f ca="1">(1+F68)*J68*(1-(SUM(J$5:J68)/'Static Parameters'!D$17)^2)</f>
        <v>2.4842723596653594E-9</v>
      </c>
      <c r="K69" s="21">
        <f ca="1">(1+G68)*K68*(1-(SUM(K$5:K68)/'Static Parameters'!E$17)^2)</f>
        <v>3.621031685280084E-9</v>
      </c>
      <c r="L69" s="21">
        <f ca="1">(1+H68)*L68*(1-(SUM(L$5:L68)/'Static Parameters'!F$17)^2)</f>
        <v>7.229447376962683E-10</v>
      </c>
      <c r="M69" s="21">
        <f ca="1">I69*B69*'Static Parameters'!C$15</f>
        <v>3.2463509845560061E-8</v>
      </c>
      <c r="N69" s="21">
        <f ca="1">J69*C69*'Static Parameters'!D$15</f>
        <v>3.5669328643702623E-10</v>
      </c>
      <c r="O69" s="21">
        <f ca="1">K69*D69*'Static Parameters'!E$15</f>
        <v>5.425146354295128E-10</v>
      </c>
      <c r="P69" s="84">
        <f t="shared" ca="1" si="11"/>
        <v>7.229447376962683E-10</v>
      </c>
      <c r="Q69" s="54">
        <f t="shared" ca="1" si="12"/>
        <v>8.495387928557629E-8</v>
      </c>
      <c r="R69" s="54">
        <f t="shared" ca="1" si="13"/>
        <v>9.3343198385220191E-10</v>
      </c>
      <c r="S69" s="54">
        <f t="shared" ca="1" si="14"/>
        <v>1.3605540376571141E-9</v>
      </c>
      <c r="T69" s="85">
        <f ca="1">I69*'Static Parameters'!C$19/(44/12)/1000</f>
        <v>5.9381970005023665E-9</v>
      </c>
      <c r="U69" s="85">
        <f ca="1">J69*'Static Parameters'!D$19/(44/12)/1000</f>
        <v>4.9662862899128411E-11</v>
      </c>
      <c r="V69" s="85">
        <f ca="1">K69*'Static Parameters'!E$19/(44/12)/1000</f>
        <v>5.5401784784785292E-11</v>
      </c>
      <c r="W69" s="85">
        <f ca="1">MAX(0,AC68*'Model - Scarcity &amp; Growth Rates'!$J68*(1-'Model - Supply'!Z68/'Static Parameters'!C$25)+'Model - Supply'!Z68/'Static Parameters'!C$27)</f>
        <v>5.1937297562958102</v>
      </c>
      <c r="X69" s="85">
        <f ca="1">MAX(0,AD68*'Model - Scarcity &amp; Growth Rates'!$J68*(1-'Model - Supply'!AA68/'Static Parameters'!D$25)+'Model - Supply'!AA68/'Static Parameters'!D$27)</f>
        <v>13.969060495264753</v>
      </c>
      <c r="Y69" s="85">
        <f ca="1">MAX(0,AE68*'Model - Scarcity &amp; Growth Rates'!$J68*(1-'Model - Supply'!AB68/'Static Parameters'!E$25)+'Model - Supply'!AB68/'Static Parameters'!E$27)</f>
        <v>0.66410557555674732</v>
      </c>
      <c r="Z69" s="85">
        <f ca="1">Z68+W69-Z68/'Static Parameters'!C$27</f>
        <v>122.41029526471668</v>
      </c>
      <c r="AA69" s="85">
        <f ca="1">AA68+X69-AA68/'Static Parameters'!D$27</f>
        <v>321.59095143957319</v>
      </c>
      <c r="AB69" s="85">
        <f ca="1">AB68+Y69-AB68/'Static Parameters'!E$27</f>
        <v>49.607340451039406</v>
      </c>
      <c r="AC69" s="85">
        <f ca="1">Z69-W69*'Static Parameters'!C$27/'Static Parameters'!C$26</f>
        <v>113.75407900422367</v>
      </c>
      <c r="AD69" s="85">
        <f ca="1">AA69-X69*'Static Parameters'!D$27/'Static Parameters'!D$26</f>
        <v>304.12962582049227</v>
      </c>
      <c r="AE69" s="85">
        <f ca="1">AB69-Y69*'Static Parameters'!E$27/'Static Parameters'!E$26</f>
        <v>48.895798762942889</v>
      </c>
      <c r="AF69" s="85">
        <f ca="1">AG68*'Model - Scarcity &amp; Growth Rates'!K68*(1-'Model - Supply'!AF68/'Static Parameters'!C$33)+'Model - Supply'!AF68</f>
        <v>127.57462771541896</v>
      </c>
      <c r="AG69" s="85">
        <f ca="1">AF69-AF69/'Static Parameters'!$C$34</f>
        <v>63.787313857709478</v>
      </c>
      <c r="AH69" s="85">
        <f t="shared" ca="1" si="15"/>
        <v>466.77950362174448</v>
      </c>
      <c r="AI69" s="85">
        <f t="shared" ca="1" si="16"/>
        <v>63.78731394495734</v>
      </c>
      <c r="AJ69" s="85">
        <f t="shared" ca="1" si="5"/>
        <v>1.1741738913113635E-7</v>
      </c>
      <c r="AK69" s="85">
        <f t="shared" ca="1" si="6"/>
        <v>1.290125270289228E-9</v>
      </c>
      <c r="AL69" s="85">
        <f t="shared" ca="1" si="7"/>
        <v>1.9030686730866267E-9</v>
      </c>
      <c r="AM69" s="85">
        <f t="shared" ca="1" si="8"/>
        <v>7.229447376962683E-10</v>
      </c>
      <c r="AN69" s="85">
        <f t="shared" ca="1" si="9"/>
        <v>466.77950358765884</v>
      </c>
      <c r="AO69" s="85">
        <f t="shared" ca="1" si="10"/>
        <v>63.787313857709478</v>
      </c>
    </row>
    <row r="70" spans="1:41" x14ac:dyDescent="0.35">
      <c r="A70" s="13">
        <v>2088</v>
      </c>
      <c r="B70" s="12">
        <f ca="1">MAX(0,MIN(1,B69*(1+'Model - Scarcity &amp; Growth Rates'!$D69-'Model - Scarcity &amp; Growth Rates'!$E69)))</f>
        <v>0.61493255173882455</v>
      </c>
      <c r="C70" s="12">
        <f ca="1">MAX(0,MIN(1,C69*(1+'Model - Scarcity &amp; Growth Rates'!$D69-'Model - Scarcity &amp; Growth Rates'!$E69)))</f>
        <v>0.61493255173882455</v>
      </c>
      <c r="D70" s="12">
        <f ca="1">MAX(0,MIN(1,D69*(1+'Model - Scarcity &amp; Growth Rates'!$D69-'Model - Scarcity &amp; Growth Rates'!$E69)))</f>
        <v>0.61493255173882455</v>
      </c>
      <c r="E70" s="12">
        <f ca="1">B70*('Model - Scarcity &amp; Growth Rates'!$D70*(1-'Model - Scarcity &amp; Growth Rates'!$I70)-'Model - Scarcity &amp; Growth Rates'!$I70)+(1-'Model - Supply'!B70)*('Model - Scarcity &amp; Growth Rates'!$E70*(1-'Model - Scarcity &amp; Growth Rates'!$I70)-'Model - Scarcity &amp; Growth Rates'!$I70)</f>
        <v>-0.38802823544113962</v>
      </c>
      <c r="F70" s="12">
        <f ca="1">C70*('Model - Scarcity &amp; Growth Rates'!$D70*(1-'Model - Scarcity &amp; Growth Rates'!$I70)-'Model - Scarcity &amp; Growth Rates'!$I70)+(1-'Model - Supply'!C70)*('Model - Scarcity &amp; Growth Rates'!$E70*(1-'Model - Scarcity &amp; Growth Rates'!$I70)-'Model - Scarcity &amp; Growth Rates'!$I70)</f>
        <v>-0.38802823544113962</v>
      </c>
      <c r="G70" s="12">
        <f ca="1">D70*('Model - Scarcity &amp; Growth Rates'!$D70*(1-'Model - Scarcity &amp; Growth Rates'!$I70)-'Model - Scarcity &amp; Growth Rates'!$I70)+(1-'Model - Supply'!D70)*('Model - Scarcity &amp; Growth Rates'!$E70*(1-'Model - Scarcity &amp; Growth Rates'!$I70)-'Model - Scarcity &amp; Growth Rates'!$I70)</f>
        <v>-0.38802823544113962</v>
      </c>
      <c r="H70" s="12">
        <f ca="1">'Model - Scarcity &amp; Growth Rates'!J70</f>
        <v>5.7034975841590329E-3</v>
      </c>
      <c r="I70" s="21">
        <f ca="1">(1+E69)*I69*(1-(SUM(I$5:I69)/'Static Parameters'!C$17)^2)</f>
        <v>1.3653183693590754E-7</v>
      </c>
      <c r="J70" s="21">
        <f ca="1">(1+F69)*J69*(1-(SUM(J$5:J69)/'Static Parameters'!D$17)^2)</f>
        <v>1.4391251578382188E-9</v>
      </c>
      <c r="K70" s="21">
        <f ca="1">(1+G69)*K69*(1-(SUM(K$5:K69)/'Static Parameters'!E$17)^2)</f>
        <v>2.0371202130187113E-9</v>
      </c>
      <c r="L70" s="21">
        <f ca="1">(1+H69)*L69*(1-(SUM(L$5:L69)/'Static Parameters'!F$17)^2)</f>
        <v>3.882852270455873E-10</v>
      </c>
      <c r="M70" s="21">
        <f ca="1">I70*B70*'Static Parameters'!C$15</f>
        <v>1.9310310302534948E-8</v>
      </c>
      <c r="N70" s="21">
        <f ca="1">J70*C70*'Static Parameters'!D$15</f>
        <v>2.0354192828362876E-10</v>
      </c>
      <c r="O70" s="21">
        <f ca="1">K70*D70*'Static Parameters'!E$15</f>
        <v>3.0064596738968013E-10</v>
      </c>
      <c r="P70" s="84">
        <f t="shared" ca="1" si="11"/>
        <v>3.882852270455873E-10</v>
      </c>
      <c r="Q70" s="54">
        <f t="shared" ca="1" si="12"/>
        <v>5.2573966055320821E-8</v>
      </c>
      <c r="R70" s="54">
        <f t="shared" ca="1" si="13"/>
        <v>5.5416025225722426E-10</v>
      </c>
      <c r="S70" s="54">
        <f t="shared" ca="1" si="14"/>
        <v>7.8442868222837728E-10</v>
      </c>
      <c r="T70" s="85">
        <f ca="1">I70*'Static Parameters'!C$19/(44/12)/1000</f>
        <v>3.5858225173439718E-9</v>
      </c>
      <c r="U70" s="85">
        <f ca="1">J70*'Static Parameters'!D$19/(44/12)/1000</f>
        <v>2.8769420200784028E-11</v>
      </c>
      <c r="V70" s="85">
        <f ca="1">K70*'Static Parameters'!E$19/(44/12)/1000</f>
        <v>3.1167939259186285E-11</v>
      </c>
      <c r="W70" s="85">
        <f ca="1">MAX(0,AC69*'Model - Scarcity &amp; Growth Rates'!$J69*(1-'Model - Supply'!Z69/'Static Parameters'!C$25)+'Model - Supply'!Z69/'Static Parameters'!C$27)</f>
        <v>5.1764469449215387</v>
      </c>
      <c r="X70" s="85">
        <f ca="1">MAX(0,AD69*'Model - Scarcity &amp; Growth Rates'!$J69*(1-'Model - Supply'!AA69/'Static Parameters'!D$25)+'Model - Supply'!AA69/'Static Parameters'!D$27)</f>
        <v>13.906900664188401</v>
      </c>
      <c r="Y70" s="85">
        <f ca="1">MAX(0,AE69*'Model - Scarcity &amp; Growth Rates'!$J69*(1-'Model - Supply'!AB69/'Static Parameters'!E$25)+'Model - Supply'!AB69/'Static Parameters'!E$27)</f>
        <v>0.66386783353530299</v>
      </c>
      <c r="Z70" s="85">
        <f ca="1">Z69+W70-Z69/'Static Parameters'!C$27</f>
        <v>122.69033039904954</v>
      </c>
      <c r="AA70" s="85">
        <f ca="1">AA69+X70-AA69/'Static Parameters'!D$27</f>
        <v>322.63421404617867</v>
      </c>
      <c r="AB70" s="85">
        <f ca="1">AB69+Y70-AB69/'Static Parameters'!E$27</f>
        <v>49.609777078560853</v>
      </c>
      <c r="AC70" s="85">
        <f ca="1">Z70-W70*'Static Parameters'!C$27/'Static Parameters'!C$26</f>
        <v>114.06291882418031</v>
      </c>
      <c r="AD70" s="85">
        <f ca="1">AA70-X70*'Static Parameters'!D$27/'Static Parameters'!D$26</f>
        <v>305.25058821594314</v>
      </c>
      <c r="AE70" s="85">
        <f ca="1">AB70-Y70*'Static Parameters'!E$27/'Static Parameters'!E$26</f>
        <v>48.898490114058745</v>
      </c>
      <c r="AF70" s="85">
        <f ca="1">AG69*'Model - Scarcity &amp; Growth Rates'!K69*(1-'Model - Supply'!AF69/'Static Parameters'!C$33)+'Model - Supply'!AF69</f>
        <v>128.06646753281925</v>
      </c>
      <c r="AG70" s="85">
        <f ca="1">AF70-AF70/'Static Parameters'!$C$34</f>
        <v>64.033233766409623</v>
      </c>
      <c r="AH70" s="85">
        <f t="shared" ca="1" si="15"/>
        <v>468.21199717438498</v>
      </c>
      <c r="AI70" s="85">
        <f t="shared" ca="1" si="16"/>
        <v>64.033233820322181</v>
      </c>
      <c r="AJ70" s="85">
        <f t="shared" ref="AJ70:AJ81" ca="1" si="17">Q70+M70</f>
        <v>7.1884276357855769E-8</v>
      </c>
      <c r="AK70" s="85">
        <f t="shared" ref="AK70:AK81" ca="1" si="18">R70+N70</f>
        <v>7.5770218054085305E-10</v>
      </c>
      <c r="AL70" s="85">
        <f t="shared" ref="AL70:AL81" ca="1" si="19">S70+O70</f>
        <v>1.0850746496180573E-9</v>
      </c>
      <c r="AM70" s="85">
        <f t="shared" ref="AM70:AM81" ca="1" si="20">P70</f>
        <v>3.882852270455873E-10</v>
      </c>
      <c r="AN70" s="85">
        <f t="shared" ref="AN70:AN81" ca="1" si="21">SUM(AC70:AE70)</f>
        <v>468.2119971541822</v>
      </c>
      <c r="AO70" s="85">
        <f t="shared" ref="AO70:AO81" ca="1" si="22">AG70</f>
        <v>64.033233766409623</v>
      </c>
    </row>
    <row r="71" spans="1:41" x14ac:dyDescent="0.35">
      <c r="A71" s="13">
        <v>2089</v>
      </c>
      <c r="B71" s="12">
        <f ca="1">MAX(0,MIN(1,B70*(1+'Model - Scarcity &amp; Growth Rates'!$D70-'Model - Scarcity &amp; Growth Rates'!$E70)))</f>
        <v>0.60620736323693847</v>
      </c>
      <c r="C71" s="12">
        <f ca="1">MAX(0,MIN(1,C70*(1+'Model - Scarcity &amp; Growth Rates'!$D70-'Model - Scarcity &amp; Growth Rates'!$E70)))</f>
        <v>0.60620736323693847</v>
      </c>
      <c r="D71" s="12">
        <f ca="1">MAX(0,MIN(1,D70*(1+'Model - Scarcity &amp; Growth Rates'!$D70-'Model - Scarcity &amp; Growth Rates'!$E70)))</f>
        <v>0.60620736323693847</v>
      </c>
      <c r="E71" s="12">
        <f ca="1">B71*('Model - Scarcity &amp; Growth Rates'!$D71*(1-'Model - Scarcity &amp; Growth Rates'!$I71)-'Model - Scarcity &amp; Growth Rates'!$I71)+(1-'Model - Supply'!B71)*('Model - Scarcity &amp; Growth Rates'!$E71*(1-'Model - Scarcity &amp; Growth Rates'!$I71)-'Model - Scarcity &amp; Growth Rates'!$I71)</f>
        <v>-0.38882976349415549</v>
      </c>
      <c r="F71" s="12">
        <f ca="1">C71*('Model - Scarcity &amp; Growth Rates'!$D71*(1-'Model - Scarcity &amp; Growth Rates'!$I71)-'Model - Scarcity &amp; Growth Rates'!$I71)+(1-'Model - Supply'!C71)*('Model - Scarcity &amp; Growth Rates'!$E71*(1-'Model - Scarcity &amp; Growth Rates'!$I71)-'Model - Scarcity &amp; Growth Rates'!$I71)</f>
        <v>-0.38882976349415549</v>
      </c>
      <c r="G71" s="12">
        <f ca="1">D71*('Model - Scarcity &amp; Growth Rates'!$D71*(1-'Model - Scarcity &amp; Growth Rates'!$I71)-'Model - Scarcity &amp; Growth Rates'!$I71)+(1-'Model - Supply'!D71)*('Model - Scarcity &amp; Growth Rates'!$E71*(1-'Model - Scarcity &amp; Growth Rates'!$I71)-'Model - Scarcity &amp; Growth Rates'!$I71)</f>
        <v>-0.38882976349415549</v>
      </c>
      <c r="H71" s="12">
        <f ca="1">'Model - Scarcity &amp; Growth Rates'!J71</f>
        <v>5.0861504489639079E-3</v>
      </c>
      <c r="I71" s="21">
        <f ca="1">(1+E70)*I70*(1-(SUM(I$5:I70)/'Static Parameters'!C$17)^2)</f>
        <v>8.2336640271993657E-8</v>
      </c>
      <c r="J71" s="21">
        <f ca="1">(1+F70)*J70*(1-(SUM(J$5:J70)/'Static Parameters'!D$17)^2)</f>
        <v>8.3257418860795895E-10</v>
      </c>
      <c r="K71" s="21">
        <f ca="1">(1+G70)*K70*(1-(SUM(K$5:K70)/'Static Parameters'!E$17)^2)</f>
        <v>1.1445269161306024E-9</v>
      </c>
      <c r="L71" s="21">
        <f ca="1">(1+H70)*L70*(1-(SUM(L$5:L70)/'Static Parameters'!F$17)^2)</f>
        <v>2.0841043029764198E-10</v>
      </c>
      <c r="M71" s="21">
        <f ca="1">I71*B71*'Static Parameters'!C$15</f>
        <v>1.1480007847326927E-8</v>
      </c>
      <c r="N71" s="21">
        <f ca="1">J71*C71*'Static Parameters'!D$15</f>
        <v>1.1608389882228779E-10</v>
      </c>
      <c r="O71" s="21">
        <f ca="1">K71*D71*'Static Parameters'!E$15</f>
        <v>1.6651695455549689E-10</v>
      </c>
      <c r="P71" s="84">
        <f t="shared" ref="P71:P82" ca="1" si="23">L71</f>
        <v>2.0841043029764198E-10</v>
      </c>
      <c r="Q71" s="54">
        <f t="shared" ref="Q71:Q82" ca="1" si="24">I71*(1-B71)</f>
        <v>3.242356267492006E-8</v>
      </c>
      <c r="R71" s="54">
        <f t="shared" ref="R71:R82" ca="1" si="25">J71*(1-C71)</f>
        <v>3.2786158503279468E-10</v>
      </c>
      <c r="S71" s="54">
        <f t="shared" ref="S71:S82" ca="1" si="26">K71*(1-D71)</f>
        <v>4.507062721493653E-10</v>
      </c>
      <c r="T71" s="85">
        <f ca="1">I71*'Static Parameters'!C$19/(44/12)/1000</f>
        <v>2.1624595795071788E-9</v>
      </c>
      <c r="U71" s="85">
        <f ca="1">J71*'Static Parameters'!D$19/(44/12)/1000</f>
        <v>1.6643914915899108E-11</v>
      </c>
      <c r="V71" s="85">
        <f ca="1">K71*'Static Parameters'!E$19/(44/12)/1000</f>
        <v>1.751126181679822E-11</v>
      </c>
      <c r="W71" s="85">
        <f ca="1">MAX(0,AC70*'Model - Scarcity &amp; Growth Rates'!$J70*(1-'Model - Supply'!Z70/'Static Parameters'!C$25)+'Model - Supply'!Z70/'Static Parameters'!C$27)</f>
        <v>5.1590851745489781</v>
      </c>
      <c r="X71" s="85">
        <f ca="1">MAX(0,AD70*'Model - Scarcity &amp; Growth Rates'!$J70*(1-'Model - Supply'!AA70/'Static Parameters'!D$25)+'Model - Supply'!AA70/'Static Parameters'!D$27)</f>
        <v>13.843929020467701</v>
      </c>
      <c r="Y71" s="85">
        <f ca="1">MAX(0,AE70*'Model - Scarcity &amp; Growth Rates'!$J70*(1-'Model - Supply'!AB70/'Static Parameters'!E$25)+'Model - Supply'!AB70/'Static Parameters'!E$27)</f>
        <v>0.66364029868063468</v>
      </c>
      <c r="Z71" s="85">
        <f ca="1">Z70+W71-Z70/'Static Parameters'!C$27</f>
        <v>122.94180235763653</v>
      </c>
      <c r="AA71" s="85">
        <f ca="1">AA70+X71-AA70/'Static Parameters'!D$27</f>
        <v>323.57277450479927</v>
      </c>
      <c r="AB71" s="85">
        <f ca="1">AB70+Y71-AB70/'Static Parameters'!E$27</f>
        <v>49.611953682860673</v>
      </c>
      <c r="AC71" s="85">
        <f ca="1">Z71-W71*'Static Parameters'!C$27/'Static Parameters'!C$26</f>
        <v>114.34332706672157</v>
      </c>
      <c r="AD71" s="85">
        <f ca="1">AA71-X71*'Static Parameters'!D$27/'Static Parameters'!D$26</f>
        <v>306.26786322921464</v>
      </c>
      <c r="AE71" s="85">
        <f ca="1">AB71-Y71*'Static Parameters'!E$27/'Static Parameters'!E$26</f>
        <v>48.900910505702846</v>
      </c>
      <c r="AF71" s="85">
        <f ca="1">AG70*'Model - Scarcity &amp; Growth Rates'!K70*(1-'Model - Supply'!AF70/'Static Parameters'!C$33)+'Model - Supply'!AF70</f>
        <v>128.52460199767469</v>
      </c>
      <c r="AG71" s="85">
        <f ca="1">AF71-AF71/'Static Parameters'!$C$34</f>
        <v>64.262300998837347</v>
      </c>
      <c r="AH71" s="85">
        <f t="shared" ref="AH71:AH82" ca="1" si="27">SUM(M71:P71,AC71:AE71)</f>
        <v>469.51210081361006</v>
      </c>
      <c r="AI71" s="85">
        <f t="shared" ref="AI71:AI82" ca="1" si="28">SUM(Q71:S71,AG71)</f>
        <v>64.262301032039474</v>
      </c>
      <c r="AJ71" s="85">
        <f t="shared" ca="1" si="17"/>
        <v>4.3903570522246987E-8</v>
      </c>
      <c r="AK71" s="85">
        <f t="shared" ca="1" si="18"/>
        <v>4.4394548385508246E-10</v>
      </c>
      <c r="AL71" s="85">
        <f t="shared" ca="1" si="19"/>
        <v>6.1722322670486221E-10</v>
      </c>
      <c r="AM71" s="85">
        <f t="shared" ca="1" si="20"/>
        <v>2.0841043029764198E-10</v>
      </c>
      <c r="AN71" s="85">
        <f t="shared" ca="1" si="21"/>
        <v>469.51210080163906</v>
      </c>
      <c r="AO71" s="85">
        <f t="shared" ca="1" si="22"/>
        <v>64.262300998837347</v>
      </c>
    </row>
    <row r="72" spans="1:41" x14ac:dyDescent="0.35">
      <c r="A72" s="13">
        <v>2090</v>
      </c>
      <c r="B72" s="12">
        <f ca="1">MAX(0,MIN(1,B71*(1+'Model - Scarcity &amp; Growth Rates'!$D71-'Model - Scarcity &amp; Growth Rates'!$E71)))</f>
        <v>0.59807527314648501</v>
      </c>
      <c r="C72" s="12">
        <f ca="1">MAX(0,MIN(1,C71*(1+'Model - Scarcity &amp; Growth Rates'!$D71-'Model - Scarcity &amp; Growth Rates'!$E71)))</f>
        <v>0.59807527314648501</v>
      </c>
      <c r="D72" s="12">
        <f ca="1">MAX(0,MIN(1,D71*(1+'Model - Scarcity &amp; Growth Rates'!$D71-'Model - Scarcity &amp; Growth Rates'!$E71)))</f>
        <v>0.59807527314648501</v>
      </c>
      <c r="E72" s="12">
        <f ca="1">B72*('Model - Scarcity &amp; Growth Rates'!$D72*(1-'Model - Scarcity &amp; Growth Rates'!$I72)-'Model - Scarcity &amp; Growth Rates'!$I72)+(1-'Model - Supply'!B72)*('Model - Scarcity &amp; Growth Rates'!$E72*(1-'Model - Scarcity &amp; Growth Rates'!$I72)-'Model - Scarcity &amp; Growth Rates'!$I72)</f>
        <v>-0.38962266790964006</v>
      </c>
      <c r="F72" s="12">
        <f ca="1">C72*('Model - Scarcity &amp; Growth Rates'!$D72*(1-'Model - Scarcity &amp; Growth Rates'!$I72)-'Model - Scarcity &amp; Growth Rates'!$I72)+(1-'Model - Supply'!C72)*('Model - Scarcity &amp; Growth Rates'!$E72*(1-'Model - Scarcity &amp; Growth Rates'!$I72)-'Model - Scarcity &amp; Growth Rates'!$I72)</f>
        <v>-0.38962266790964006</v>
      </c>
      <c r="G72" s="12">
        <f ca="1">D72*('Model - Scarcity &amp; Growth Rates'!$D72*(1-'Model - Scarcity &amp; Growth Rates'!$I72)-'Model - Scarcity &amp; Growth Rates'!$I72)+(1-'Model - Supply'!D72)*('Model - Scarcity &amp; Growth Rates'!$E72*(1-'Model - Scarcity &amp; Growth Rates'!$I72)-'Model - Scarcity &amp; Growth Rates'!$I72)</f>
        <v>-0.38962266790964006</v>
      </c>
      <c r="H72" s="12">
        <f ca="1">'Model - Scarcity &amp; Growth Rates'!J72</f>
        <v>4.4903436144226655E-3</v>
      </c>
      <c r="I72" s="21">
        <f ca="1">(1+E71)*I71*(1-(SUM(I$5:I71)/'Static Parameters'!C$17)^2)</f>
        <v>4.958875004958662E-8</v>
      </c>
      <c r="J72" s="21">
        <f ca="1">(1+F71)*J71*(1-(SUM(J$5:J71)/'Static Parameters'!D$17)^2)</f>
        <v>4.8103661156634158E-10</v>
      </c>
      <c r="K72" s="21">
        <f ca="1">(1+G71)*K71*(1-(SUM(K$5:K71)/'Static Parameters'!E$17)^2)</f>
        <v>6.4219389766042462E-10</v>
      </c>
      <c r="L72" s="21">
        <f ca="1">(1+H71)*L71*(1-(SUM(L$5:L71)/'Static Parameters'!F$17)^2)</f>
        <v>1.1179473769853097E-10</v>
      </c>
      <c r="M72" s="21">
        <f ca="1">I72*B72*'Static Parameters'!C$15</f>
        <v>6.8212952031068367E-9</v>
      </c>
      <c r="N72" s="21">
        <f ca="1">J72*C72*'Static Parameters'!D$15</f>
        <v>6.6170103656879858E-11</v>
      </c>
      <c r="O72" s="21">
        <f ca="1">K72*D72*'Static Parameters'!E$15</f>
        <v>9.2179269781503424E-11</v>
      </c>
      <c r="P72" s="84">
        <f t="shared" ca="1" si="23"/>
        <v>1.1179473769853097E-10</v>
      </c>
      <c r="Q72" s="54">
        <f t="shared" ca="1" si="24"/>
        <v>1.9930944818687331E-8</v>
      </c>
      <c r="R72" s="54">
        <f t="shared" ca="1" si="25"/>
        <v>1.9334050871034224E-10</v>
      </c>
      <c r="S72" s="54">
        <f t="shared" ca="1" si="26"/>
        <v>2.5811360690416034E-10</v>
      </c>
      <c r="T72" s="85">
        <f ca="1">I72*'Static Parameters'!C$19/(44/12)/1000</f>
        <v>1.3023808990295977E-9</v>
      </c>
      <c r="U72" s="85">
        <f ca="1">J72*'Static Parameters'!D$19/(44/12)/1000</f>
        <v>9.6163591712216837E-12</v>
      </c>
      <c r="V72" s="85">
        <f ca="1">K72*'Static Parameters'!E$19/(44/12)/1000</f>
        <v>9.8255666342044981E-12</v>
      </c>
      <c r="W72" s="85">
        <f ca="1">MAX(0,AC71*'Model - Scarcity &amp; Growth Rates'!$J71*(1-'Model - Supply'!Z71/'Static Parameters'!C$25)+'Model - Supply'!Z71/'Static Parameters'!C$27)</f>
        <v>5.1417447588069765</v>
      </c>
      <c r="X72" s="85">
        <f ca="1">MAX(0,AD71*'Model - Scarcity &amp; Growth Rates'!$J71*(1-'Model - Supply'!AA71/'Static Parameters'!D$25)+'Model - Supply'!AA71/'Static Parameters'!D$27)</f>
        <v>13.780582244900572</v>
      </c>
      <c r="Y72" s="85">
        <f ca="1">MAX(0,AE71*'Model - Scarcity &amp; Growth Rates'!$J71*(1-'Model - Supply'!AB71/'Static Parameters'!E$25)+'Model - Supply'!AB71/'Static Parameters'!E$27)</f>
        <v>0.66342299309931885</v>
      </c>
      <c r="Z72" s="85">
        <f ca="1">Z71+W72-Z71/'Static Parameters'!C$27</f>
        <v>123.16587502213804</v>
      </c>
      <c r="AA72" s="85">
        <f ca="1">AA71+X72-AA71/'Static Parameters'!D$27</f>
        <v>324.41044576950787</v>
      </c>
      <c r="AB72" s="85">
        <f ca="1">AB71+Y72-AB71/'Static Parameters'!E$27</f>
        <v>49.613883960188517</v>
      </c>
      <c r="AC72" s="85">
        <f ca="1">Z72-W72*'Static Parameters'!C$27/'Static Parameters'!C$26</f>
        <v>114.59630042412641</v>
      </c>
      <c r="AD72" s="85">
        <f ca="1">AA72-X72*'Static Parameters'!D$27/'Static Parameters'!D$26</f>
        <v>307.18471796338218</v>
      </c>
      <c r="AE72" s="85">
        <f ca="1">AB72-Y72*'Static Parameters'!E$27/'Static Parameters'!E$26</f>
        <v>48.903073610439243</v>
      </c>
      <c r="AF72" s="85">
        <f ca="1">AG71*'Model - Scarcity &amp; Growth Rates'!K71*(1-'Model - Supply'!AF71/'Static Parameters'!C$33)+'Model - Supply'!AF71</f>
        <v>128.9494900880872</v>
      </c>
      <c r="AG72" s="85">
        <f ca="1">AF72-AF72/'Static Parameters'!$C$34</f>
        <v>64.474745044043601</v>
      </c>
      <c r="AH72" s="85">
        <f t="shared" ca="1" si="27"/>
        <v>470.6840920050393</v>
      </c>
      <c r="AI72" s="85">
        <f t="shared" ca="1" si="28"/>
        <v>64.474745064426003</v>
      </c>
      <c r="AJ72" s="85">
        <f t="shared" ca="1" si="17"/>
        <v>2.6752240021794168E-8</v>
      </c>
      <c r="AK72" s="85">
        <f t="shared" ca="1" si="18"/>
        <v>2.5951061236722211E-10</v>
      </c>
      <c r="AL72" s="85">
        <f t="shared" ca="1" si="19"/>
        <v>3.5029287668566378E-10</v>
      </c>
      <c r="AM72" s="85">
        <f t="shared" ca="1" si="20"/>
        <v>1.1179473769853097E-10</v>
      </c>
      <c r="AN72" s="85">
        <f t="shared" ca="1" si="21"/>
        <v>470.68409199794786</v>
      </c>
      <c r="AO72" s="85">
        <f t="shared" ca="1" si="22"/>
        <v>64.474745044043601</v>
      </c>
    </row>
    <row r="73" spans="1:41" x14ac:dyDescent="0.35">
      <c r="A73" s="13">
        <v>2091</v>
      </c>
      <c r="B73" s="12">
        <f ca="1">MAX(0,MIN(1,B72*(1+'Model - Scarcity &amp; Growth Rates'!$D72-'Model - Scarcity &amp; Growth Rates'!$E72)))</f>
        <v>0.59052187041924165</v>
      </c>
      <c r="C73" s="12">
        <f ca="1">MAX(0,MIN(1,C72*(1+'Model - Scarcity &amp; Growth Rates'!$D72-'Model - Scarcity &amp; Growth Rates'!$E72)))</f>
        <v>0.59052187041924165</v>
      </c>
      <c r="D73" s="12">
        <f ca="1">MAX(0,MIN(1,D72*(1+'Model - Scarcity &amp; Growth Rates'!$D72-'Model - Scarcity &amp; Growth Rates'!$E72)))</f>
        <v>0.59052187041924165</v>
      </c>
      <c r="E73" s="12">
        <f ca="1">B73*('Model - Scarcity &amp; Growth Rates'!$D73*(1-'Model - Scarcity &amp; Growth Rates'!$I73)-'Model - Scarcity &amp; Growth Rates'!$I73)+(1-'Model - Supply'!B73)*('Model - Scarcity &amp; Growth Rates'!$E73*(1-'Model - Scarcity &amp; Growth Rates'!$I73)-'Model - Scarcity &amp; Growth Rates'!$I73)</f>
        <v>-0.39040668132041095</v>
      </c>
      <c r="F73" s="12">
        <f ca="1">C73*('Model - Scarcity &amp; Growth Rates'!$D73*(1-'Model - Scarcity &amp; Growth Rates'!$I73)-'Model - Scarcity &amp; Growth Rates'!$I73)+(1-'Model - Supply'!C73)*('Model - Scarcity &amp; Growth Rates'!$E73*(1-'Model - Scarcity &amp; Growth Rates'!$I73)-'Model - Scarcity &amp; Growth Rates'!$I73)</f>
        <v>-0.39040668132041095</v>
      </c>
      <c r="G73" s="12">
        <f ca="1">D73*('Model - Scarcity &amp; Growth Rates'!$D73*(1-'Model - Scarcity &amp; Growth Rates'!$I73)-'Model - Scarcity &amp; Growth Rates'!$I73)+(1-'Model - Supply'!D73)*('Model - Scarcity &amp; Growth Rates'!$E73*(1-'Model - Scarcity &amp; Growth Rates'!$I73)-'Model - Scarcity &amp; Growth Rates'!$I73)</f>
        <v>-0.39040668132041095</v>
      </c>
      <c r="H73" s="12">
        <f ca="1">'Model - Scarcity &amp; Growth Rates'!J73</f>
        <v>3.9135953525301853E-3</v>
      </c>
      <c r="I73" s="21">
        <f ca="1">(1+E72)*I72*(1-(SUM(I$5:I72)/'Static Parameters'!C$17)^2)</f>
        <v>2.9826986765092477E-8</v>
      </c>
      <c r="J73" s="21">
        <f ca="1">(1+F72)*J72*(1-(SUM(J$5:J72)/'Static Parameters'!D$17)^2)</f>
        <v>2.7756807971636771E-10</v>
      </c>
      <c r="K73" s="21">
        <f ca="1">(1+G72)*K72*(1-(SUM(K$5:K72)/'Static Parameters'!E$17)^2)</f>
        <v>3.5986742692624833E-10</v>
      </c>
      <c r="L73" s="21">
        <f ca="1">(1+H72)*L72*(1-(SUM(L$5:L72)/'Static Parameters'!F$17)^2)</f>
        <v>5.99329630944011E-11</v>
      </c>
      <c r="M73" s="21">
        <f ca="1">I73*B73*'Static Parameters'!C$15</f>
        <v>4.0511022431032465E-9</v>
      </c>
      <c r="N73" s="21">
        <f ca="1">J73*C73*'Static Parameters'!D$15</f>
        <v>3.7699304968640926E-11</v>
      </c>
      <c r="O73" s="21">
        <f ca="1">K73*D73*'Static Parameters'!E$15</f>
        <v>5.10023006523475E-11</v>
      </c>
      <c r="P73" s="84">
        <f t="shared" ca="1" si="23"/>
        <v>5.99329630944011E-11</v>
      </c>
      <c r="Q73" s="54">
        <f t="shared" ca="1" si="24"/>
        <v>1.2213498751600102E-8</v>
      </c>
      <c r="R73" s="54">
        <f t="shared" ca="1" si="25"/>
        <v>1.1365805811358108E-10</v>
      </c>
      <c r="S73" s="54">
        <f t="shared" ca="1" si="26"/>
        <v>1.4735784087480041E-10</v>
      </c>
      <c r="T73" s="85">
        <f ca="1">I73*'Static Parameters'!C$19/(44/12)/1000</f>
        <v>7.8336513422138347E-10</v>
      </c>
      <c r="U73" s="85">
        <f ca="1">J73*'Static Parameters'!D$19/(44/12)/1000</f>
        <v>5.5488382481481149E-12</v>
      </c>
      <c r="V73" s="85">
        <f ca="1">K73*'Static Parameters'!E$19/(44/12)/1000</f>
        <v>5.5059716319716001E-12</v>
      </c>
      <c r="W73" s="85">
        <f ca="1">MAX(0,AC72*'Model - Scarcity &amp; Growth Rates'!$J72*(1-'Model - Supply'!Z72/'Static Parameters'!C$25)+'Model - Supply'!Z72/'Static Parameters'!C$27)</f>
        <v>5.1243202785740758</v>
      </c>
      <c r="X73" s="85">
        <f ca="1">MAX(0,AD72*'Model - Scarcity &amp; Growth Rates'!$J72*(1-'Model - Supply'!AA72/'Static Parameters'!D$25)+'Model - Supply'!AA72/'Static Parameters'!D$27)</f>
        <v>13.716525061804628</v>
      </c>
      <c r="Y73" s="85">
        <f ca="1">MAX(0,AE72*'Model - Scarcity &amp; Growth Rates'!$J72*(1-'Model - Supply'!AB72/'Static Parameters'!E$25)+'Model - Supply'!AB72/'Static Parameters'!E$27)</f>
        <v>0.66321420961517163</v>
      </c>
      <c r="Z73" s="85">
        <f ca="1">Z72+W73-Z72/'Static Parameters'!C$27</f>
        <v>123.3635602998266</v>
      </c>
      <c r="AA73" s="85">
        <f ca="1">AA72+X73-AA72/'Static Parameters'!D$27</f>
        <v>325.15055300053223</v>
      </c>
      <c r="AB73" s="85">
        <f ca="1">AB72+Y73-AB72/'Static Parameters'!E$27</f>
        <v>49.615579717001175</v>
      </c>
      <c r="AC73" s="85">
        <f ca="1">Z73-W73*'Static Parameters'!C$27/'Static Parameters'!C$26</f>
        <v>114.82302650220315</v>
      </c>
      <c r="AD73" s="85">
        <f ca="1">AA73-X73*'Static Parameters'!D$27/'Static Parameters'!D$26</f>
        <v>308.00489667327645</v>
      </c>
      <c r="AE73" s="85">
        <f ca="1">AB73-Y73*'Static Parameters'!E$27/'Static Parameters'!E$26</f>
        <v>48.904993063842063</v>
      </c>
      <c r="AF73" s="85">
        <f ca="1">AG72*'Model - Scarcity &amp; Growth Rates'!K72*(1-'Model - Supply'!AF72/'Static Parameters'!C$33)+'Model - Supply'!AF72</f>
        <v>129.34161740647977</v>
      </c>
      <c r="AG73" s="85">
        <f ca="1">AF73-AF73/'Static Parameters'!$C$34</f>
        <v>64.670808703239885</v>
      </c>
      <c r="AH73" s="85">
        <f t="shared" ca="1" si="27"/>
        <v>471.7329162435214</v>
      </c>
      <c r="AI73" s="85">
        <f t="shared" ca="1" si="28"/>
        <v>64.670808715714401</v>
      </c>
      <c r="AJ73" s="85">
        <f t="shared" ca="1" si="17"/>
        <v>1.626460099470335E-8</v>
      </c>
      <c r="AK73" s="85">
        <f t="shared" ca="1" si="18"/>
        <v>1.51357363082222E-10</v>
      </c>
      <c r="AL73" s="85">
        <f t="shared" ca="1" si="19"/>
        <v>1.9836014152714791E-10</v>
      </c>
      <c r="AM73" s="85">
        <f t="shared" ca="1" si="20"/>
        <v>5.99329630944011E-11</v>
      </c>
      <c r="AN73" s="85">
        <f t="shared" ca="1" si="21"/>
        <v>471.7329162393217</v>
      </c>
      <c r="AO73" s="85">
        <f t="shared" ca="1" si="22"/>
        <v>64.670808703239885</v>
      </c>
    </row>
    <row r="74" spans="1:41" x14ac:dyDescent="0.35">
      <c r="A74" s="13">
        <v>2092</v>
      </c>
      <c r="B74" s="12">
        <f ca="1">MAX(0,MIN(1,B73*(1+'Model - Scarcity &amp; Growth Rates'!$D73-'Model - Scarcity &amp; Growth Rates'!$E73)))</f>
        <v>0.58353043266374227</v>
      </c>
      <c r="C74" s="12">
        <f ca="1">MAX(0,MIN(1,C73*(1+'Model - Scarcity &amp; Growth Rates'!$D73-'Model - Scarcity &amp; Growth Rates'!$E73)))</f>
        <v>0.58353043266374227</v>
      </c>
      <c r="D74" s="12">
        <f ca="1">MAX(0,MIN(1,D73*(1+'Model - Scarcity &amp; Growth Rates'!$D73-'Model - Scarcity &amp; Growth Rates'!$E73)))</f>
        <v>0.58353043266374227</v>
      </c>
      <c r="E74" s="12">
        <f ca="1">B74*('Model - Scarcity &amp; Growth Rates'!$D74*(1-'Model - Scarcity &amp; Growth Rates'!$I74)-'Model - Scarcity &amp; Growth Rates'!$I74)+(1-'Model - Supply'!B74)*('Model - Scarcity &amp; Growth Rates'!$E74*(1-'Model - Scarcity &amp; Growth Rates'!$I74)-'Model - Scarcity &amp; Growth Rates'!$I74)</f>
        <v>-0.39118122524080373</v>
      </c>
      <c r="F74" s="12">
        <f ca="1">C74*('Model - Scarcity &amp; Growth Rates'!$D74*(1-'Model - Scarcity &amp; Growth Rates'!$I74)-'Model - Scarcity &amp; Growth Rates'!$I74)+(1-'Model - Supply'!C74)*('Model - Scarcity &amp; Growth Rates'!$E74*(1-'Model - Scarcity &amp; Growth Rates'!$I74)-'Model - Scarcity &amp; Growth Rates'!$I74)</f>
        <v>-0.39118122524080373</v>
      </c>
      <c r="G74" s="12">
        <f ca="1">D74*('Model - Scarcity &amp; Growth Rates'!$D74*(1-'Model - Scarcity &amp; Growth Rates'!$I74)-'Model - Scarcity &amp; Growth Rates'!$I74)+(1-'Model - Supply'!D74)*('Model - Scarcity &amp; Growth Rates'!$E74*(1-'Model - Scarcity &amp; Growth Rates'!$I74)-'Model - Scarcity &amp; Growth Rates'!$I74)</f>
        <v>-0.39118122524080373</v>
      </c>
      <c r="H74" s="12">
        <f ca="1">'Model - Scarcity &amp; Growth Rates'!J74</f>
        <v>3.3544960092281944E-3</v>
      </c>
      <c r="I74" s="21">
        <f ca="1">(1+E73)*I73*(1-(SUM(I$5:I73)/'Static Parameters'!C$17)^2)</f>
        <v>1.7917499594043566E-8</v>
      </c>
      <c r="J74" s="21">
        <f ca="1">(1+F73)*J73*(1-(SUM(J$5:J73)/'Static Parameters'!D$17)^2)</f>
        <v>1.5995680165152971E-10</v>
      </c>
      <c r="K74" s="21">
        <f ca="1">(1+G73)*K73*(1-(SUM(K$5:K73)/'Static Parameters'!E$17)^2)</f>
        <v>2.0140057430088827E-10</v>
      </c>
      <c r="L74" s="21">
        <f ca="1">(1+H73)*L73*(1-(SUM(L$5:L73)/'Static Parameters'!F$17)^2)</f>
        <v>3.2111508496014115E-11</v>
      </c>
      <c r="M74" s="21">
        <f ca="1">I74*B74*'Static Parameters'!C$15</f>
        <v>2.4047434467838738E-9</v>
      </c>
      <c r="N74" s="21">
        <f ca="1">J74*C74*'Static Parameters'!D$15</f>
        <v>2.1468122185301873E-11</v>
      </c>
      <c r="O74" s="21">
        <f ca="1">K74*D74*'Static Parameters'!E$15</f>
        <v>2.820560742252564E-11</v>
      </c>
      <c r="P74" s="84">
        <f t="shared" ca="1" si="23"/>
        <v>3.2111508496014115E-11</v>
      </c>
      <c r="Q74" s="54">
        <f t="shared" ca="1" si="24"/>
        <v>7.4620933036788982E-9</v>
      </c>
      <c r="R74" s="54">
        <f t="shared" ca="1" si="25"/>
        <v>6.6617139976304172E-11</v>
      </c>
      <c r="S74" s="54">
        <f t="shared" ca="1" si="26"/>
        <v>8.3877210040364763E-11</v>
      </c>
      <c r="T74" s="85">
        <f ca="1">I74*'Static Parameters'!C$19/(44/12)/1000</f>
        <v>4.7057869388356241E-10</v>
      </c>
      <c r="U74" s="85">
        <f ca="1">J74*'Static Parameters'!D$19/(44/12)/1000</f>
        <v>3.1976818802883075E-12</v>
      </c>
      <c r="V74" s="85">
        <f ca="1">K74*'Static Parameters'!E$19/(44/12)/1000</f>
        <v>3.0814287868035909E-12</v>
      </c>
      <c r="W74" s="85">
        <f ca="1">MAX(0,AC73*'Model - Scarcity &amp; Growth Rates'!$J73*(1-'Model - Supply'!Z73/'Static Parameters'!C$25)+'Model - Supply'!Z73/'Static Parameters'!C$27)</f>
        <v>5.1067333271746014</v>
      </c>
      <c r="X74" s="85">
        <f ca="1">MAX(0,AD73*'Model - Scarcity &amp; Growth Rates'!$J73*(1-'Model - Supply'!AA73/'Static Parameters'!D$25)+'Model - Supply'!AA73/'Static Parameters'!D$27)</f>
        <v>13.651516365730036</v>
      </c>
      <c r="Y74" s="85">
        <f ca="1">MAX(0,AE73*'Model - Scarcity &amp; Growth Rates'!$J73*(1-'Model - Supply'!AB73/'Static Parameters'!E$25)+'Model - Supply'!AB73/'Static Parameters'!E$27)</f>
        <v>0.66301258032462551</v>
      </c>
      <c r="Z74" s="85">
        <f ca="1">Z73+W74-Z73/'Static Parameters'!C$27</f>
        <v>123.53575121500815</v>
      </c>
      <c r="AA74" s="85">
        <f ca="1">AA73+X74-AA73/'Static Parameters'!D$27</f>
        <v>325.79604724624102</v>
      </c>
      <c r="AB74" s="85">
        <f ca="1">AB73+Y74-AB73/'Static Parameters'!E$27</f>
        <v>49.617051234432452</v>
      </c>
      <c r="AC74" s="85">
        <f ca="1">Z74-W74*'Static Parameters'!C$27/'Static Parameters'!C$26</f>
        <v>115.02452900305047</v>
      </c>
      <c r="AD74" s="85">
        <f ca="1">AA74-X74*'Static Parameters'!D$27/'Static Parameters'!D$26</f>
        <v>308.73165178907846</v>
      </c>
      <c r="AE74" s="85">
        <f ca="1">AB74-Y74*'Static Parameters'!E$27/'Static Parameters'!E$26</f>
        <v>48.906680612656068</v>
      </c>
      <c r="AF74" s="85">
        <f ca="1">AG73*'Model - Scarcity &amp; Growth Rates'!K73*(1-'Model - Supply'!AF73/'Static Parameters'!C$33)+'Model - Supply'!AF73</f>
        <v>129.70153721213782</v>
      </c>
      <c r="AG74" s="85">
        <f ca="1">AF74-AF74/'Static Parameters'!$C$34</f>
        <v>64.850768606068911</v>
      </c>
      <c r="AH74" s="85">
        <f t="shared" ca="1" si="27"/>
        <v>472.66286140727158</v>
      </c>
      <c r="AI74" s="85">
        <f t="shared" ca="1" si="28"/>
        <v>64.850768613681495</v>
      </c>
      <c r="AJ74" s="85">
        <f t="shared" ca="1" si="17"/>
        <v>9.8668367504627728E-9</v>
      </c>
      <c r="AK74" s="85">
        <f t="shared" ca="1" si="18"/>
        <v>8.8085262161606039E-11</v>
      </c>
      <c r="AL74" s="85">
        <f t="shared" ca="1" si="19"/>
        <v>1.1208281746289041E-10</v>
      </c>
      <c r="AM74" s="85">
        <f t="shared" ca="1" si="20"/>
        <v>3.2111508496014115E-11</v>
      </c>
      <c r="AN74" s="85">
        <f t="shared" ca="1" si="21"/>
        <v>472.66286140478502</v>
      </c>
      <c r="AO74" s="85">
        <f t="shared" ca="1" si="22"/>
        <v>64.850768606068911</v>
      </c>
    </row>
    <row r="75" spans="1:41" x14ac:dyDescent="0.35">
      <c r="A75" s="13">
        <v>2093</v>
      </c>
      <c r="B75" s="12">
        <f ca="1">MAX(0,MIN(1,B74*(1+'Model - Scarcity &amp; Growth Rates'!$D74-'Model - Scarcity &amp; Growth Rates'!$E74)))</f>
        <v>0.5770832357072373</v>
      </c>
      <c r="C75" s="12">
        <f ca="1">MAX(0,MIN(1,C74*(1+'Model - Scarcity &amp; Growth Rates'!$D74-'Model - Scarcity &amp; Growth Rates'!$E74)))</f>
        <v>0.5770832357072373</v>
      </c>
      <c r="D75" s="12">
        <f ca="1">MAX(0,MIN(1,D74*(1+'Model - Scarcity &amp; Growth Rates'!$D74-'Model - Scarcity &amp; Growth Rates'!$E74)))</f>
        <v>0.5770832357072373</v>
      </c>
      <c r="E75" s="12">
        <f ca="1">B75*('Model - Scarcity &amp; Growth Rates'!$D75*(1-'Model - Scarcity &amp; Growth Rates'!$I75)-'Model - Scarcity &amp; Growth Rates'!$I75)+(1-'Model - Supply'!B75)*('Model - Scarcity &amp; Growth Rates'!$E75*(1-'Model - Scarcity &amp; Growth Rates'!$I75)-'Model - Scarcity &amp; Growth Rates'!$I75)</f>
        <v>-0.39194659551259137</v>
      </c>
      <c r="F75" s="12">
        <f ca="1">C75*('Model - Scarcity &amp; Growth Rates'!$D75*(1-'Model - Scarcity &amp; Growth Rates'!$I75)-'Model - Scarcity &amp; Growth Rates'!$I75)+(1-'Model - Supply'!C75)*('Model - Scarcity &amp; Growth Rates'!$E75*(1-'Model - Scarcity &amp; Growth Rates'!$I75)-'Model - Scarcity &amp; Growth Rates'!$I75)</f>
        <v>-0.39194659551259137</v>
      </c>
      <c r="G75" s="12">
        <f ca="1">D75*('Model - Scarcity &amp; Growth Rates'!$D75*(1-'Model - Scarcity &amp; Growth Rates'!$I75)-'Model - Scarcity &amp; Growth Rates'!$I75)+(1-'Model - Supply'!D75)*('Model - Scarcity &amp; Growth Rates'!$E75*(1-'Model - Scarcity &amp; Growth Rates'!$I75)-'Model - Scarcity &amp; Growth Rates'!$I75)</f>
        <v>-0.39194659551259137</v>
      </c>
      <c r="H75" s="12">
        <f ca="1">'Model - Scarcity &amp; Growth Rates'!J75</f>
        <v>2.8106809675493829E-3</v>
      </c>
      <c r="I75" s="21">
        <f ca="1">(1+E74)*I74*(1-(SUM(I$5:I74)/'Static Parameters'!C$17)^2)</f>
        <v>1.0749623745027417E-8</v>
      </c>
      <c r="J75" s="21">
        <f ca="1">(1+F74)*J74*(1-(SUM(J$5:J74)/'Static Parameters'!D$17)^2)</f>
        <v>9.2062707091524945E-11</v>
      </c>
      <c r="K75" s="21">
        <f ca="1">(1+G74)*K74*(1-(SUM(K$5:K74)/'Static Parameters'!E$17)^2)</f>
        <v>1.125710479285362E-10</v>
      </c>
      <c r="L75" s="21">
        <f ca="1">(1+H74)*L74*(1-(SUM(L$5:L74)/'Static Parameters'!F$17)^2)</f>
        <v>1.7195457347896699E-11</v>
      </c>
      <c r="M75" s="21">
        <f ca="1">I75*B75*'Static Parameters'!C$15</f>
        <v>1.4267883602856277E-9</v>
      </c>
      <c r="N75" s="21">
        <f ca="1">J75*C75*'Static Parameters'!D$15</f>
        <v>1.2219404326159313E-11</v>
      </c>
      <c r="O75" s="21">
        <f ca="1">K75*D75*'Static Parameters'!E$15</f>
        <v>1.5591087500532997E-11</v>
      </c>
      <c r="P75" s="84">
        <f t="shared" ca="1" si="23"/>
        <v>1.7195457347896699E-11</v>
      </c>
      <c r="Q75" s="54">
        <f t="shared" ca="1" si="24"/>
        <v>4.5461960916116452E-9</v>
      </c>
      <c r="R75" s="54">
        <f t="shared" ca="1" si="25"/>
        <v>3.8934862195180106E-11</v>
      </c>
      <c r="S75" s="54">
        <f t="shared" ca="1" si="26"/>
        <v>4.7608183342982036E-11</v>
      </c>
      <c r="T75" s="85">
        <f ca="1">I75*'Static Parameters'!C$19/(44/12)/1000</f>
        <v>2.8232420908531097E-10</v>
      </c>
      <c r="U75" s="85">
        <f ca="1">J75*'Static Parameters'!D$19/(44/12)/1000</f>
        <v>1.8404172081296671E-12</v>
      </c>
      <c r="V75" s="85">
        <f ca="1">K75*'Static Parameters'!E$19/(44/12)/1000</f>
        <v>1.7223370333066039E-12</v>
      </c>
      <c r="W75" s="85">
        <f ca="1">MAX(0,AC74*'Model - Scarcity &amp; Growth Rates'!$J74*(1-'Model - Supply'!Z74/'Static Parameters'!C$25)+'Model - Supply'!Z74/'Static Parameters'!C$27)</f>
        <v>5.0889484419300119</v>
      </c>
      <c r="X75" s="85">
        <f ca="1">MAX(0,AD74*'Model - Scarcity &amp; Growth Rates'!$J74*(1-'Model - Supply'!AA74/'Static Parameters'!D$25)+'Model - Supply'!AA74/'Static Parameters'!D$27)</f>
        <v>13.585470807770465</v>
      </c>
      <c r="Y75" s="85">
        <f ca="1">MAX(0,AE74*'Model - Scarcity &amp; Growth Rates'!$J74*(1-'Model - Supply'!AB74/'Static Parameters'!E$25)+'Model - Supply'!AB74/'Static Parameters'!E$27)</f>
        <v>0.66281719366758729</v>
      </c>
      <c r="Z75" s="85">
        <f ca="1">Z74+W75-Z74/'Static Parameters'!C$27</f>
        <v>123.68326960833784</v>
      </c>
      <c r="AA75" s="85">
        <f ca="1">AA74+X75-AA74/'Static Parameters'!D$27</f>
        <v>326.34967616416185</v>
      </c>
      <c r="AB75" s="85">
        <f ca="1">AB74+Y75-AB74/'Static Parameters'!E$27</f>
        <v>49.618307744974274</v>
      </c>
      <c r="AC75" s="85">
        <f ca="1">Z75-W75*'Static Parameters'!C$27/'Static Parameters'!C$26</f>
        <v>115.20168887178782</v>
      </c>
      <c r="AD75" s="85">
        <f ca="1">AA75-X75*'Static Parameters'!D$27/'Static Parameters'!D$26</f>
        <v>309.36783765444875</v>
      </c>
      <c r="AE75" s="85">
        <f ca="1">AB75-Y75*'Static Parameters'!E$27/'Static Parameters'!E$26</f>
        <v>48.90814646604472</v>
      </c>
      <c r="AF75" s="85">
        <f ca="1">AG74*'Model - Scarcity &amp; Growth Rates'!K74*(1-'Model - Supply'!AF74/'Static Parameters'!C$33)+'Model - Supply'!AF74</f>
        <v>130.02984935927958</v>
      </c>
      <c r="AG75" s="85">
        <f ca="1">AF75-AF75/'Static Parameters'!$C$34</f>
        <v>65.01492467963979</v>
      </c>
      <c r="AH75" s="85">
        <f t="shared" ca="1" si="27"/>
        <v>473.47767299375312</v>
      </c>
      <c r="AI75" s="85">
        <f t="shared" ca="1" si="28"/>
        <v>65.014924684272529</v>
      </c>
      <c r="AJ75" s="85">
        <f t="shared" ca="1" si="17"/>
        <v>5.9729844518972727E-9</v>
      </c>
      <c r="AK75" s="85">
        <f t="shared" ca="1" si="18"/>
        <v>5.1154266521339421E-11</v>
      </c>
      <c r="AL75" s="85">
        <f t="shared" ca="1" si="19"/>
        <v>6.319927084351503E-11</v>
      </c>
      <c r="AM75" s="85">
        <f t="shared" ca="1" si="20"/>
        <v>1.7195457347896699E-11</v>
      </c>
      <c r="AN75" s="85">
        <f t="shared" ca="1" si="21"/>
        <v>473.47767299228133</v>
      </c>
      <c r="AO75" s="85">
        <f t="shared" ca="1" si="22"/>
        <v>65.01492467963979</v>
      </c>
    </row>
    <row r="76" spans="1:41" x14ac:dyDescent="0.35">
      <c r="A76" s="13">
        <v>2094</v>
      </c>
      <c r="B76" s="12">
        <f ca="1">MAX(0,MIN(1,B75*(1+'Model - Scarcity &amp; Growth Rates'!$D75-'Model - Scarcity &amp; Growth Rates'!$E75)))</f>
        <v>0.57116248655907831</v>
      </c>
      <c r="C76" s="12">
        <f ca="1">MAX(0,MIN(1,C75*(1+'Model - Scarcity &amp; Growth Rates'!$D75-'Model - Scarcity &amp; Growth Rates'!$E75)))</f>
        <v>0.57116248655907831</v>
      </c>
      <c r="D76" s="12">
        <f ca="1">MAX(0,MIN(1,D75*(1+'Model - Scarcity &amp; Growth Rates'!$D75-'Model - Scarcity &amp; Growth Rates'!$E75)))</f>
        <v>0.57116248655907831</v>
      </c>
      <c r="E76" s="12">
        <f ca="1">B76*('Model - Scarcity &amp; Growth Rates'!$D76*(1-'Model - Scarcity &amp; Growth Rates'!$I76)-'Model - Scarcity &amp; Growth Rates'!$I76)+(1-'Model - Supply'!B76)*('Model - Scarcity &amp; Growth Rates'!$E76*(1-'Model - Scarcity &amp; Growth Rates'!$I76)-'Model - Scarcity &amp; Growth Rates'!$I76)</f>
        <v>-0.3927036568636475</v>
      </c>
      <c r="F76" s="12">
        <f ca="1">C76*('Model - Scarcity &amp; Growth Rates'!$D76*(1-'Model - Scarcity &amp; Growth Rates'!$I76)-'Model - Scarcity &amp; Growth Rates'!$I76)+(1-'Model - Supply'!C76)*('Model - Scarcity &amp; Growth Rates'!$E76*(1-'Model - Scarcity &amp; Growth Rates'!$I76)-'Model - Scarcity &amp; Growth Rates'!$I76)</f>
        <v>-0.3927036568636475</v>
      </c>
      <c r="G76" s="12">
        <f ca="1">D76*('Model - Scarcity &amp; Growth Rates'!$D76*(1-'Model - Scarcity &amp; Growth Rates'!$I76)-'Model - Scarcity &amp; Growth Rates'!$I76)+(1-'Model - Supply'!D76)*('Model - Scarcity &amp; Growth Rates'!$E76*(1-'Model - Scarcity &amp; Growth Rates'!$I76)-'Model - Scarcity &amp; Growth Rates'!$I76)</f>
        <v>-0.3927036568636475</v>
      </c>
      <c r="H76" s="12">
        <f ca="1">'Model - Scarcity &amp; Growth Rates'!J76</f>
        <v>2.2789171569836137E-3</v>
      </c>
      <c r="I76" s="21">
        <f ca="1">(1+E75)*I75*(1-(SUM(I$5:I75)/'Static Parameters'!C$17)^2)</f>
        <v>6.4411410762402302E-9</v>
      </c>
      <c r="J76" s="21">
        <f ca="1">(1+F75)*J75*(1-(SUM(J$5:J75)/'Static Parameters'!D$17)^2)</f>
        <v>5.291983216074565E-11</v>
      </c>
      <c r="K76" s="21">
        <f ca="1">(1+G75)*K75*(1-(SUM(K$5:K75)/'Static Parameters'!E$17)^2)</f>
        <v>6.2841479465535149E-11</v>
      </c>
      <c r="L76" s="21">
        <f ca="1">(1+H75)*L75*(1-(SUM(L$5:L75)/'Static Parameters'!F$17)^2)</f>
        <v>9.2030398932454417E-12</v>
      </c>
      <c r="M76" s="21">
        <f ca="1">I76*B76*'Static Parameters'!C$15</f>
        <v>8.4615577527813317E-10</v>
      </c>
      <c r="N76" s="21">
        <f ca="1">J76*C76*'Static Parameters'!D$15</f>
        <v>6.9519392728007303E-12</v>
      </c>
      <c r="O76" s="21">
        <f ca="1">K76*D76*'Static Parameters'!E$15</f>
        <v>8.6142469609407163E-12</v>
      </c>
      <c r="P76" s="84">
        <f t="shared" ca="1" si="23"/>
        <v>9.2030398932454417E-12</v>
      </c>
      <c r="Q76" s="54">
        <f t="shared" ca="1" si="24"/>
        <v>2.7622029228570426E-9</v>
      </c>
      <c r="R76" s="54">
        <f t="shared" ca="1" si="25"/>
        <v>2.2694009235525083E-11</v>
      </c>
      <c r="S76" s="54">
        <f t="shared" ca="1" si="26"/>
        <v>2.6948783794948835E-11</v>
      </c>
      <c r="T76" s="85">
        <f ca="1">I76*'Static Parameters'!C$19/(44/12)/1000</f>
        <v>1.6916778699325477E-10</v>
      </c>
      <c r="U76" s="85">
        <f ca="1">J76*'Static Parameters'!D$19/(44/12)/1000</f>
        <v>1.0579155538316335E-12</v>
      </c>
      <c r="V76" s="85">
        <f ca="1">K76*'Static Parameters'!E$19/(44/12)/1000</f>
        <v>9.6147463582268794E-13</v>
      </c>
      <c r="W76" s="85">
        <f ca="1">MAX(0,AC75*'Model - Scarcity &amp; Growth Rates'!$J75*(1-'Model - Supply'!Z75/'Static Parameters'!C$25)+'Model - Supply'!Z75/'Static Parameters'!C$27)</f>
        <v>5.0708857370768863</v>
      </c>
      <c r="X76" s="85">
        <f ca="1">MAX(0,AD75*'Model - Scarcity &amp; Growth Rates'!$J75*(1-'Model - Supply'!AA75/'Static Parameters'!D$25)+'Model - Supply'!AA75/'Static Parameters'!D$27)</f>
        <v>13.518132432660304</v>
      </c>
      <c r="Y76" s="85">
        <f ca="1">MAX(0,AE75*'Model - Scarcity &amp; Growth Rates'!$J75*(1-'Model - Supply'!AB75/'Static Parameters'!E$25)+'Model - Supply'!AB75/'Static Parameters'!E$27)</f>
        <v>0.66262682461591715</v>
      </c>
      <c r="Z76" s="85">
        <f ca="1">Z75+W76-Z75/'Static Parameters'!C$27</f>
        <v>123.8068245610812</v>
      </c>
      <c r="AA76" s="85">
        <f ca="1">AA75+X76-AA75/'Static Parameters'!D$27</f>
        <v>326.81382155025568</v>
      </c>
      <c r="AB76" s="85">
        <f ca="1">AB75+Y76-AB75/'Static Parameters'!E$27</f>
        <v>49.619357132990537</v>
      </c>
      <c r="AC76" s="85">
        <f ca="1">Z76-W76*'Static Parameters'!C$27/'Static Parameters'!C$26</f>
        <v>115.35534833261973</v>
      </c>
      <c r="AD76" s="85">
        <f ca="1">AA76-X76*'Static Parameters'!D$27/'Static Parameters'!D$26</f>
        <v>309.91615600943032</v>
      </c>
      <c r="AE76" s="85">
        <f ca="1">AB76-Y76*'Static Parameters'!E$27/'Static Parameters'!E$26</f>
        <v>48.909399820902053</v>
      </c>
      <c r="AF76" s="85">
        <f ca="1">AG75*'Model - Scarcity &amp; Growth Rates'!K75*(1-'Model - Supply'!AF75/'Static Parameters'!C$33)+'Model - Supply'!AF75</f>
        <v>130.32714387853514</v>
      </c>
      <c r="AG76" s="85">
        <f ca="1">AF76-AF76/'Static Parameters'!$C$34</f>
        <v>65.16357193926757</v>
      </c>
      <c r="AH76" s="85">
        <f t="shared" ca="1" si="27"/>
        <v>474.18090416382302</v>
      </c>
      <c r="AI76" s="85">
        <f t="shared" ca="1" si="28"/>
        <v>65.163571942079415</v>
      </c>
      <c r="AJ76" s="85">
        <f t="shared" ca="1" si="17"/>
        <v>3.6083586981351756E-9</v>
      </c>
      <c r="AK76" s="85">
        <f t="shared" ca="1" si="18"/>
        <v>2.9645948508325812E-11</v>
      </c>
      <c r="AL76" s="85">
        <f t="shared" ca="1" si="19"/>
        <v>3.556303075588955E-11</v>
      </c>
      <c r="AM76" s="85">
        <f t="shared" ca="1" si="20"/>
        <v>9.2030398932454417E-12</v>
      </c>
      <c r="AN76" s="85">
        <f t="shared" ca="1" si="21"/>
        <v>474.18090416295206</v>
      </c>
      <c r="AO76" s="85">
        <f t="shared" ca="1" si="22"/>
        <v>65.16357193926757</v>
      </c>
    </row>
    <row r="77" spans="1:41" x14ac:dyDescent="0.35">
      <c r="A77" s="13">
        <v>2095</v>
      </c>
      <c r="B77" s="12">
        <f ca="1">MAX(0,MIN(1,B76*(1+'Model - Scarcity &amp; Growth Rates'!$D76-'Model - Scarcity &amp; Growth Rates'!$E76)))</f>
        <v>0.56575051177571223</v>
      </c>
      <c r="C77" s="12">
        <f ca="1">MAX(0,MIN(1,C76*(1+'Model - Scarcity &amp; Growth Rates'!$D76-'Model - Scarcity &amp; Growth Rates'!$E76)))</f>
        <v>0.56575051177571223</v>
      </c>
      <c r="D77" s="12">
        <f ca="1">MAX(0,MIN(1,D76*(1+'Model - Scarcity &amp; Growth Rates'!$D76-'Model - Scarcity &amp; Growth Rates'!$E76)))</f>
        <v>0.56575051177571223</v>
      </c>
      <c r="E77" s="12">
        <f ca="1">B77*('Model - Scarcity &amp; Growth Rates'!$D77*(1-'Model - Scarcity &amp; Growth Rates'!$I77)-'Model - Scarcity &amp; Growth Rates'!$I77)+(1-'Model - Supply'!B77)*('Model - Scarcity &amp; Growth Rates'!$E77*(1-'Model - Scarcity &amp; Growth Rates'!$I77)-'Model - Scarcity &amp; Growth Rates'!$I77)</f>
        <v>-0.39345008634669321</v>
      </c>
      <c r="F77" s="12">
        <f ca="1">C77*('Model - Scarcity &amp; Growth Rates'!$D77*(1-'Model - Scarcity &amp; Growth Rates'!$I77)-'Model - Scarcity &amp; Growth Rates'!$I77)+(1-'Model - Supply'!C77)*('Model - Scarcity &amp; Growth Rates'!$E77*(1-'Model - Scarcity &amp; Growth Rates'!$I77)-'Model - Scarcity &amp; Growth Rates'!$I77)</f>
        <v>-0.39345008634669321</v>
      </c>
      <c r="G77" s="12">
        <f ca="1">D77*('Model - Scarcity &amp; Growth Rates'!$D77*(1-'Model - Scarcity &amp; Growth Rates'!$I77)-'Model - Scarcity &amp; Growth Rates'!$I77)+(1-'Model - Supply'!D77)*('Model - Scarcity &amp; Growth Rates'!$E77*(1-'Model - Scarcity &amp; Growth Rates'!$I77)-'Model - Scarcity &amp; Growth Rates'!$I77)</f>
        <v>-0.39345008634669321</v>
      </c>
      <c r="H77" s="12">
        <f ca="1">'Model - Scarcity &amp; Growth Rates'!J77</f>
        <v>1.7614716547658981E-3</v>
      </c>
      <c r="I77" s="21">
        <f ca="1">(1+E76)*I76*(1-(SUM(I$5:I76)/'Static Parameters'!C$17)^2)</f>
        <v>3.8547063633755737E-9</v>
      </c>
      <c r="J77" s="21">
        <f ca="1">(1+F76)*J76*(1-(SUM(J$5:J76)/'Static Parameters'!D$17)^2)</f>
        <v>3.0381703194141012E-11</v>
      </c>
      <c r="K77" s="21">
        <f ca="1">(1+G76)*K76*(1-(SUM(K$5:K76)/'Static Parameters'!E$17)^2)</f>
        <v>3.5036848447346389E-11</v>
      </c>
      <c r="L77" s="21">
        <f ca="1">(1+H76)*L76*(1-(SUM(L$5:L76)/'Static Parameters'!F$17)^2)</f>
        <v>4.9228717538471857E-12</v>
      </c>
      <c r="M77" s="21">
        <f ca="1">I77*B77*'Static Parameters'!C$15</f>
        <v>5.0158448249970976E-10</v>
      </c>
      <c r="N77" s="21">
        <f ca="1">J77*C77*'Static Parameters'!D$15</f>
        <v>3.9533467500617062E-12</v>
      </c>
      <c r="O77" s="21">
        <f ca="1">K77*D77*'Static Parameters'!E$15</f>
        <v>4.7573075856226291E-12</v>
      </c>
      <c r="P77" s="84">
        <f t="shared" ca="1" si="23"/>
        <v>4.9228717538471857E-12</v>
      </c>
      <c r="Q77" s="54">
        <f t="shared" ca="1" si="24"/>
        <v>1.6739042655507483E-9</v>
      </c>
      <c r="R77" s="54">
        <f t="shared" ca="1" si="25"/>
        <v>1.3193239063437944E-11</v>
      </c>
      <c r="S77" s="54">
        <f t="shared" ca="1" si="26"/>
        <v>1.52147335072521E-11</v>
      </c>
      <c r="T77" s="85">
        <f ca="1">I77*'Static Parameters'!C$19/(44/12)/1000</f>
        <v>1.0123860621629121E-10</v>
      </c>
      <c r="U77" s="85">
        <f ca="1">J77*'Static Parameters'!D$19/(44/12)/1000</f>
        <v>6.0735786658105542E-13</v>
      </c>
      <c r="V77" s="85">
        <f ca="1">K77*'Static Parameters'!E$19/(44/12)/1000</f>
        <v>5.3606378124439977E-13</v>
      </c>
      <c r="W77" s="85">
        <f ca="1">MAX(0,AC76*'Model - Scarcity &amp; Growth Rates'!$J76*(1-'Model - Supply'!Z76/'Static Parameters'!C$25)+'Model - Supply'!Z76/'Static Parameters'!C$27)</f>
        <v>5.0524233046790865</v>
      </c>
      <c r="X77" s="85">
        <f ca="1">MAX(0,AD76*'Model - Scarcity &amp; Growth Rates'!$J76*(1-'Model - Supply'!AA76/'Static Parameters'!D$25)+'Model - Supply'!AA76/'Static Parameters'!D$27)</f>
        <v>13.449083452440483</v>
      </c>
      <c r="Y77" s="85">
        <f ca="1">MAX(0,AE76*'Model - Scarcity &amp; Growth Rates'!$J76*(1-'Model - Supply'!AB76/'Static Parameters'!E$25)+'Model - Supply'!AB76/'Static Parameters'!E$27)</f>
        <v>0.66243996110002046</v>
      </c>
      <c r="Z77" s="85">
        <f ca="1">Z76+W77-Z76/'Static Parameters'!C$27</f>
        <v>123.90697488331705</v>
      </c>
      <c r="AA77" s="85">
        <f ca="1">AA76+X77-AA76/'Static Parameters'!D$27</f>
        <v>327.19035214068595</v>
      </c>
      <c r="AB77" s="85">
        <f ca="1">AB76+Y77-AB76/'Static Parameters'!E$27</f>
        <v>49.62020566565068</v>
      </c>
      <c r="AC77" s="85">
        <f ca="1">Z77-W77*'Static Parameters'!C$27/'Static Parameters'!C$26</f>
        <v>115.48626937551857</v>
      </c>
      <c r="AD77" s="85">
        <f ca="1">AA77-X77*'Static Parameters'!D$27/'Static Parameters'!D$26</f>
        <v>310.37899782513534</v>
      </c>
      <c r="AE77" s="85">
        <f ca="1">AB77-Y77*'Static Parameters'!E$27/'Static Parameters'!E$26</f>
        <v>48.910448564472084</v>
      </c>
      <c r="AF77" s="85">
        <f ca="1">AG76*'Model - Scarcity &amp; Growth Rates'!K76*(1-'Model - Supply'!AF76/'Static Parameters'!C$33)+'Model - Supply'!AF76</f>
        <v>130.59397392094849</v>
      </c>
      <c r="AG77" s="85">
        <f ca="1">AF77-AF77/'Static Parameters'!$C$34</f>
        <v>65.296986960474243</v>
      </c>
      <c r="AH77" s="85">
        <f t="shared" ca="1" si="27"/>
        <v>474.77571576564117</v>
      </c>
      <c r="AI77" s="85">
        <f t="shared" ca="1" si="28"/>
        <v>65.296986962176561</v>
      </c>
      <c r="AJ77" s="85">
        <f t="shared" ca="1" si="17"/>
        <v>2.175488748050458E-9</v>
      </c>
      <c r="AK77" s="85">
        <f t="shared" ca="1" si="18"/>
        <v>1.7146585813499649E-11</v>
      </c>
      <c r="AL77" s="85">
        <f t="shared" ca="1" si="19"/>
        <v>1.997204109287473E-11</v>
      </c>
      <c r="AM77" s="85">
        <f t="shared" ca="1" si="20"/>
        <v>4.9228717538471857E-12</v>
      </c>
      <c r="AN77" s="85">
        <f t="shared" ca="1" si="21"/>
        <v>474.77571576512599</v>
      </c>
      <c r="AO77" s="85">
        <f t="shared" ca="1" si="22"/>
        <v>65.296986960474243</v>
      </c>
    </row>
    <row r="78" spans="1:41" x14ac:dyDescent="0.35">
      <c r="A78" s="13">
        <v>2096</v>
      </c>
      <c r="B78" s="12">
        <f ca="1">MAX(0,MIN(1,B77*(1+'Model - Scarcity &amp; Growth Rates'!$D77-'Model - Scarcity &amp; Growth Rates'!$E77)))</f>
        <v>0.56083007171549004</v>
      </c>
      <c r="C78" s="12">
        <f ca="1">MAX(0,MIN(1,C77*(1+'Model - Scarcity &amp; Growth Rates'!$D77-'Model - Scarcity &amp; Growth Rates'!$E77)))</f>
        <v>0.56083007171549004</v>
      </c>
      <c r="D78" s="12">
        <f ca="1">MAX(0,MIN(1,D77*(1+'Model - Scarcity &amp; Growth Rates'!$D77-'Model - Scarcity &amp; Growth Rates'!$E77)))</f>
        <v>0.56083007171549004</v>
      </c>
      <c r="E78" s="12">
        <f ca="1">B78*('Model - Scarcity &amp; Growth Rates'!$D78*(1-'Model - Scarcity &amp; Growth Rates'!$I78)-'Model - Scarcity &amp; Growth Rates'!$I78)+(1-'Model - Supply'!B78)*('Model - Scarcity &amp; Growth Rates'!$E78*(1-'Model - Scarcity &amp; Growth Rates'!$I78)-'Model - Scarcity &amp; Growth Rates'!$I78)</f>
        <v>-0.39418597293982061</v>
      </c>
      <c r="F78" s="12">
        <f ca="1">C78*('Model - Scarcity &amp; Growth Rates'!$D78*(1-'Model - Scarcity &amp; Growth Rates'!$I78)-'Model - Scarcity &amp; Growth Rates'!$I78)+(1-'Model - Supply'!C78)*('Model - Scarcity &amp; Growth Rates'!$E78*(1-'Model - Scarcity &amp; Growth Rates'!$I78)-'Model - Scarcity &amp; Growth Rates'!$I78)</f>
        <v>-0.39418597293982061</v>
      </c>
      <c r="G78" s="12">
        <f ca="1">D78*('Model - Scarcity &amp; Growth Rates'!$D78*(1-'Model - Scarcity &amp; Growth Rates'!$I78)-'Model - Scarcity &amp; Growth Rates'!$I78)+(1-'Model - Supply'!D78)*('Model - Scarcity &amp; Growth Rates'!$E78*(1-'Model - Scarcity &amp; Growth Rates'!$I78)-'Model - Scarcity &amp; Growth Rates'!$I78)</f>
        <v>-0.39418597293982061</v>
      </c>
      <c r="H78" s="12">
        <f ca="1">'Model - Scarcity &amp; Growth Rates'!J78</f>
        <v>1.2577706442884226E-3</v>
      </c>
      <c r="I78" s="21">
        <f ca="1">(1+E77)*I77*(1-(SUM(I$5:I77)/'Static Parameters'!C$17)^2)</f>
        <v>2.3040169483938294E-9</v>
      </c>
      <c r="J78" s="21">
        <f ca="1">(1+F77)*J77*(1-(SUM(J$5:J77)/'Static Parameters'!D$17)^2)</f>
        <v>1.7420942788779144E-11</v>
      </c>
      <c r="K78" s="21">
        <f ca="1">(1+G77)*K77*(1-(SUM(K$5:K77)/'Static Parameters'!E$17)^2)</f>
        <v>1.9510551580306181E-11</v>
      </c>
      <c r="L78" s="21">
        <f ca="1">(1+H77)*L77*(1-(SUM(L$5:L77)/'Static Parameters'!F$17)^2)</f>
        <v>2.631973237064941E-12</v>
      </c>
      <c r="M78" s="21">
        <f ca="1">I78*B78*'Static Parameters'!C$15</f>
        <v>2.9719725779232568E-10</v>
      </c>
      <c r="N78" s="21">
        <f ca="1">J78*C78*'Static Parameters'!D$15</f>
        <v>2.2471433765239652E-12</v>
      </c>
      <c r="O78" s="21">
        <f ca="1">K78*D78*'Static Parameters'!E$15</f>
        <v>2.6261049700780519E-12</v>
      </c>
      <c r="P78" s="84">
        <f t="shared" ca="1" si="23"/>
        <v>2.631973237064941E-12</v>
      </c>
      <c r="Q78" s="54">
        <f t="shared" ca="1" si="24"/>
        <v>1.0118549579924136E-9</v>
      </c>
      <c r="R78" s="54">
        <f t="shared" ca="1" si="25"/>
        <v>7.6507541951966881E-12</v>
      </c>
      <c r="S78" s="54">
        <f t="shared" ca="1" si="26"/>
        <v>8.568447538314298E-12</v>
      </c>
      <c r="T78" s="85">
        <f ca="1">I78*'Static Parameters'!C$19/(44/12)/1000</f>
        <v>6.0511863308270662E-11</v>
      </c>
      <c r="U78" s="85">
        <f ca="1">J78*'Static Parameters'!D$19/(44/12)/1000</f>
        <v>3.4826048356841217E-13</v>
      </c>
      <c r="V78" s="85">
        <f ca="1">K78*'Static Parameters'!E$19/(44/12)/1000</f>
        <v>2.9851143917868458E-13</v>
      </c>
      <c r="W78" s="85">
        <f ca="1">MAX(0,AC77*'Model - Scarcity &amp; Growth Rates'!$J77*(1-'Model - Supply'!Z77/'Static Parameters'!C$25)+'Model - Supply'!Z77/'Static Parameters'!C$27)</f>
        <v>5.0336754140794078</v>
      </c>
      <c r="X78" s="85">
        <f ca="1">MAX(0,AD77*'Model - Scarcity &amp; Growth Rates'!$J77*(1-'Model - Supply'!AA77/'Static Parameters'!D$25)+'Model - Supply'!AA77/'Static Parameters'!D$27)</f>
        <v>13.378791099810357</v>
      </c>
      <c r="Y78" s="85">
        <f ca="1">MAX(0,AE77*'Model - Scarcity &amp; Growth Rates'!$J77*(1-'Model - Supply'!AB77/'Static Parameters'!E$25)+'Model - Supply'!AB77/'Static Parameters'!E$27)</f>
        <v>0.66225716103142784</v>
      </c>
      <c r="Z78" s="85">
        <f ca="1">Z77+W78-Z77/'Static Parameters'!C$27</f>
        <v>123.98437130206376</v>
      </c>
      <c r="AA78" s="85">
        <f ca="1">AA77+X78-AA77/'Static Parameters'!D$27</f>
        <v>327.48152915486889</v>
      </c>
      <c r="AB78" s="85">
        <f ca="1">AB77+Y78-AB77/'Static Parameters'!E$27</f>
        <v>49.620860084473428</v>
      </c>
      <c r="AC78" s="85">
        <f ca="1">Z78-W78*'Static Parameters'!C$27/'Static Parameters'!C$26</f>
        <v>115.59491227859809</v>
      </c>
      <c r="AD78" s="85">
        <f ca="1">AA78-X78*'Static Parameters'!D$27/'Static Parameters'!D$26</f>
        <v>310.75804028010594</v>
      </c>
      <c r="AE78" s="85">
        <f ca="1">AB78-Y78*'Static Parameters'!E$27/'Static Parameters'!E$26</f>
        <v>48.911298840511186</v>
      </c>
      <c r="AF78" s="85">
        <f ca="1">AG77*'Model - Scarcity &amp; Growth Rates'!K77*(1-'Model - Supply'!AF77/'Static Parameters'!C$33)+'Model - Supply'!AF77</f>
        <v>130.83096743777088</v>
      </c>
      <c r="AG78" s="85">
        <f ca="1">AF78-AF78/'Static Parameters'!$C$34</f>
        <v>65.41548371888544</v>
      </c>
      <c r="AH78" s="85">
        <f t="shared" ca="1" si="27"/>
        <v>475.26425139951988</v>
      </c>
      <c r="AI78" s="85">
        <f t="shared" ca="1" si="28"/>
        <v>65.41548371991351</v>
      </c>
      <c r="AJ78" s="85">
        <f t="shared" ca="1" si="17"/>
        <v>1.3090522157847392E-9</v>
      </c>
      <c r="AK78" s="85">
        <f t="shared" ca="1" si="18"/>
        <v>9.8978975717206536E-12</v>
      </c>
      <c r="AL78" s="85">
        <f t="shared" ca="1" si="19"/>
        <v>1.119455250839235E-11</v>
      </c>
      <c r="AM78" s="85">
        <f t="shared" ca="1" si="20"/>
        <v>2.631973237064941E-12</v>
      </c>
      <c r="AN78" s="85">
        <f t="shared" ca="1" si="21"/>
        <v>475.2642513992152</v>
      </c>
      <c r="AO78" s="85">
        <f t="shared" ca="1" si="22"/>
        <v>65.41548371888544</v>
      </c>
    </row>
    <row r="79" spans="1:41" x14ac:dyDescent="0.35">
      <c r="A79" s="13">
        <v>2097</v>
      </c>
      <c r="B79" s="12">
        <f ca="1">MAX(0,MIN(1,B78*(1+'Model - Scarcity &amp; Growth Rates'!$D78-'Model - Scarcity &amp; Growth Rates'!$E78)))</f>
        <v>0.55638580136036631</v>
      </c>
      <c r="C79" s="12">
        <f ca="1">MAX(0,MIN(1,C78*(1+'Model - Scarcity &amp; Growth Rates'!$D78-'Model - Scarcity &amp; Growth Rates'!$E78)))</f>
        <v>0.55638580136036631</v>
      </c>
      <c r="D79" s="12">
        <f ca="1">MAX(0,MIN(1,D78*(1+'Model - Scarcity &amp; Growth Rates'!$D78-'Model - Scarcity &amp; Growth Rates'!$E78)))</f>
        <v>0.55638580136036631</v>
      </c>
      <c r="E79" s="12">
        <f ca="1">B79*('Model - Scarcity &amp; Growth Rates'!$D79*(1-'Model - Scarcity &amp; Growth Rates'!$I79)-'Model - Scarcity &amp; Growth Rates'!$I79)+(1-'Model - Supply'!B79)*('Model - Scarcity &amp; Growth Rates'!$E79*(1-'Model - Scarcity &amp; Growth Rates'!$I79)-'Model - Scarcity &amp; Growth Rates'!$I79)</f>
        <v>-0.39490627352114088</v>
      </c>
      <c r="F79" s="12">
        <f ca="1">C79*('Model - Scarcity &amp; Growth Rates'!$D79*(1-'Model - Scarcity &amp; Growth Rates'!$I79)-'Model - Scarcity &amp; Growth Rates'!$I79)+(1-'Model - Supply'!C79)*('Model - Scarcity &amp; Growth Rates'!$E79*(1-'Model - Scarcity &amp; Growth Rates'!$I79)-'Model - Scarcity &amp; Growth Rates'!$I79)</f>
        <v>-0.39490627352114088</v>
      </c>
      <c r="G79" s="12">
        <f ca="1">D79*('Model - Scarcity &amp; Growth Rates'!$D79*(1-'Model - Scarcity &amp; Growth Rates'!$I79)-'Model - Scarcity &amp; Growth Rates'!$I79)+(1-'Model - Supply'!D79)*('Model - Scarcity &amp; Growth Rates'!$E79*(1-'Model - Scarcity &amp; Growth Rates'!$I79)-'Model - Scarcity &amp; Growth Rates'!$I79)</f>
        <v>-0.39490627352114088</v>
      </c>
      <c r="H79" s="12">
        <f ca="1">'Model - Scarcity &amp; Growth Rates'!J79</f>
        <v>7.7505392129883382E-4</v>
      </c>
      <c r="I79" s="21">
        <f ca="1">(1+E78)*I78*(1-(SUM(I$5:I78)/'Static Parameters'!C$17)^2)</f>
        <v>1.3754753686819522E-9</v>
      </c>
      <c r="J79" s="21">
        <f ca="1">(1+F78)*J78*(1-(SUM(J$5:J78)/'Static Parameters'!D$17)^2)</f>
        <v>9.9770918842703679E-12</v>
      </c>
      <c r="K79" s="21">
        <f ca="1">(1+G78)*K78*(1-(SUM(K$5:K78)/'Static Parameters'!E$17)^2)</f>
        <v>1.0851426667474896E-11</v>
      </c>
      <c r="L79" s="21">
        <f ca="1">(1+H78)*L78*(1-(SUM(L$5:L78)/'Static Parameters'!F$17)^2)</f>
        <v>1.4064554842743893E-12</v>
      </c>
      <c r="M79" s="21">
        <f ca="1">I79*B79*'Static Parameters'!C$15</f>
        <v>1.7601784200877725E-10</v>
      </c>
      <c r="N79" s="21">
        <f ca="1">J79*C79*'Static Parameters'!D$15</f>
        <v>1.2767558205534285E-12</v>
      </c>
      <c r="O79" s="21">
        <f ca="1">K79*D79*'Static Parameters'!E$15</f>
        <v>1.4490191333487046E-12</v>
      </c>
      <c r="P79" s="84">
        <f t="shared" ca="1" si="23"/>
        <v>1.4064554842743893E-12</v>
      </c>
      <c r="Q79" s="54">
        <f t="shared" ca="1" si="24"/>
        <v>6.101804034263989E-10</v>
      </c>
      <c r="R79" s="54">
        <f t="shared" ca="1" si="25"/>
        <v>4.4259796209945922E-12</v>
      </c>
      <c r="S79" s="54">
        <f t="shared" ca="1" si="26"/>
        <v>4.8138469451886272E-12</v>
      </c>
      <c r="T79" s="85">
        <f ca="1">I79*'Static Parameters'!C$19/(44/12)/1000</f>
        <v>3.6124984910201449E-11</v>
      </c>
      <c r="U79" s="85">
        <f ca="1">J79*'Static Parameters'!D$19/(44/12)/1000</f>
        <v>1.9945113685009582E-13</v>
      </c>
      <c r="V79" s="85">
        <f ca="1">K79*'Static Parameters'!E$19/(44/12)/1000</f>
        <v>1.6602682801236595E-13</v>
      </c>
      <c r="W79" s="85">
        <f ca="1">MAX(0,AC78*'Model - Scarcity &amp; Growth Rates'!$J78*(1-'Model - Supply'!Z78/'Static Parameters'!C$25)+'Model - Supply'!Z78/'Static Parameters'!C$27)</f>
        <v>5.014635130683379</v>
      </c>
      <c r="X79" s="85">
        <f ca="1">MAX(0,AD78*'Model - Scarcity &amp; Growth Rates'!$J78*(1-'Model - Supply'!AA78/'Static Parameters'!D$25)+'Model - Supply'!AA78/'Static Parameters'!D$27)</f>
        <v>13.307266082493687</v>
      </c>
      <c r="Y79" s="85">
        <f ca="1">MAX(0,AE78*'Model - Scarcity &amp; Growth Rates'!$J78*(1-'Model - Supply'!AB78/'Static Parameters'!E$25)+'Model - Supply'!AB78/'Static Parameters'!E$27)</f>
        <v>0.66207795544737824</v>
      </c>
      <c r="Z79" s="85">
        <f ca="1">Z78+W79-Z78/'Static Parameters'!C$27</f>
        <v>124.03963158066459</v>
      </c>
      <c r="AA79" s="85">
        <f ca="1">AA78+X79-AA78/'Static Parameters'!D$27</f>
        <v>327.68953407116783</v>
      </c>
      <c r="AB79" s="85">
        <f ca="1">AB78+Y79-AB78/'Static Parameters'!E$27</f>
        <v>49.621326572127828</v>
      </c>
      <c r="AC79" s="85">
        <f ca="1">Z79-W79*'Static Parameters'!C$27/'Static Parameters'!C$26</f>
        <v>115.68190636285895</v>
      </c>
      <c r="AD79" s="85">
        <f ca="1">AA79-X79*'Static Parameters'!D$27/'Static Parameters'!D$26</f>
        <v>311.05545146805071</v>
      </c>
      <c r="AE79" s="85">
        <f ca="1">AB79-Y79*'Static Parameters'!E$27/'Static Parameters'!E$26</f>
        <v>48.911957334148497</v>
      </c>
      <c r="AF79" s="85">
        <f ca="1">AG78*'Model - Scarcity &amp; Growth Rates'!K78*(1-'Model - Supply'!AF78/'Static Parameters'!C$33)+'Model - Supply'!AF78</f>
        <v>131.038702607408</v>
      </c>
      <c r="AG79" s="85">
        <f ca="1">AF79-AF79/'Static Parameters'!$C$34</f>
        <v>65.519351303703999</v>
      </c>
      <c r="AH79" s="85">
        <f t="shared" ca="1" si="27"/>
        <v>475.64931516523831</v>
      </c>
      <c r="AI79" s="85">
        <f t="shared" ca="1" si="28"/>
        <v>65.519351304323422</v>
      </c>
      <c r="AJ79" s="85">
        <f t="shared" ca="1" si="17"/>
        <v>7.8619824543517618E-10</v>
      </c>
      <c r="AK79" s="85">
        <f t="shared" ca="1" si="18"/>
        <v>5.7027354415480206E-12</v>
      </c>
      <c r="AL79" s="85">
        <f t="shared" ca="1" si="19"/>
        <v>6.2628660785373318E-12</v>
      </c>
      <c r="AM79" s="85">
        <f t="shared" ca="1" si="20"/>
        <v>1.4064554842743893E-12</v>
      </c>
      <c r="AN79" s="85">
        <f t="shared" ca="1" si="21"/>
        <v>475.64931516505817</v>
      </c>
      <c r="AO79" s="85">
        <f t="shared" ca="1" si="22"/>
        <v>65.519351303703999</v>
      </c>
    </row>
    <row r="80" spans="1:41" x14ac:dyDescent="0.35">
      <c r="A80" s="13">
        <v>2098</v>
      </c>
      <c r="B80" s="12">
        <f ca="1">MAX(0,MIN(1,B79*(1+'Model - Scarcity &amp; Growth Rates'!$D79-'Model - Scarcity &amp; Growth Rates'!$E79)))</f>
        <v>0.55240315333591672</v>
      </c>
      <c r="C80" s="12">
        <f ca="1">MAX(0,MIN(1,C79*(1+'Model - Scarcity &amp; Growth Rates'!$D79-'Model - Scarcity &amp; Growth Rates'!$E79)))</f>
        <v>0.55240315333591672</v>
      </c>
      <c r="D80" s="12">
        <f ca="1">MAX(0,MIN(1,D79*(1+'Model - Scarcity &amp; Growth Rates'!$D79-'Model - Scarcity &amp; Growth Rates'!$E79)))</f>
        <v>0.55240315333591672</v>
      </c>
      <c r="E80" s="12">
        <f ca="1">B80*('Model - Scarcity &amp; Growth Rates'!$D80*(1-'Model - Scarcity &amp; Growth Rates'!$I80)-'Model - Scarcity &amp; Growth Rates'!$I80)+(1-'Model - Supply'!B80)*('Model - Scarcity &amp; Growth Rates'!$E80*(1-'Model - Scarcity &amp; Growth Rates'!$I80)-'Model - Scarcity &amp; Growth Rates'!$I80)</f>
        <v>-0.39561029889675464</v>
      </c>
      <c r="F80" s="12">
        <f ca="1">C80*('Model - Scarcity &amp; Growth Rates'!$D80*(1-'Model - Scarcity &amp; Growth Rates'!$I80)-'Model - Scarcity &amp; Growth Rates'!$I80)+(1-'Model - Supply'!C80)*('Model - Scarcity &amp; Growth Rates'!$E80*(1-'Model - Scarcity &amp; Growth Rates'!$I80)-'Model - Scarcity &amp; Growth Rates'!$I80)</f>
        <v>-0.39561029889675464</v>
      </c>
      <c r="G80" s="12">
        <f ca="1">D80*('Model - Scarcity &amp; Growth Rates'!$D80*(1-'Model - Scarcity &amp; Growth Rates'!$I80)-'Model - Scarcity &amp; Growth Rates'!$I80)+(1-'Model - Supply'!D80)*('Model - Scarcity &amp; Growth Rates'!$E80*(1-'Model - Scarcity &amp; Growth Rates'!$I80)-'Model - Scarcity &amp; Growth Rates'!$I80)</f>
        <v>-0.39561029889675464</v>
      </c>
      <c r="H80" s="12">
        <f ca="1">'Model - Scarcity &amp; Growth Rates'!J80</f>
        <v>3.145068685921138E-4</v>
      </c>
      <c r="I80" s="21">
        <f ca="1">(1+E79)*I79*(1-(SUM(I$5:I79)/'Static Parameters'!C$17)^2)</f>
        <v>8.201688888791379E-10</v>
      </c>
      <c r="J80" s="21">
        <f ca="1">(1+F79)*J79*(1-(SUM(J$5:J79)/'Static Parameters'!D$17)^2)</f>
        <v>5.7071543041147526E-12</v>
      </c>
      <c r="K80" s="21">
        <f ca="1">(1+G79)*K79*(1-(SUM(K$5:K79)/'Static Parameters'!E$17)^2)</f>
        <v>6.0281972942105659E-12</v>
      </c>
      <c r="L80" s="21">
        <f ca="1">(1+H79)*L79*(1-(SUM(L$5:L79)/'Static Parameters'!F$17)^2)</f>
        <v>7.5120952247192008E-13</v>
      </c>
      <c r="M80" s="21">
        <f ca="1">I80*B80*'Static Parameters'!C$15</f>
        <v>1.042046925115157E-10</v>
      </c>
      <c r="N80" s="21">
        <f ca="1">J80*C80*'Static Parameters'!D$15</f>
        <v>7.2510950785855695E-13</v>
      </c>
      <c r="O80" s="21">
        <f ca="1">K80*D80*'Static Parameters'!E$15</f>
        <v>7.9919884662070972E-13</v>
      </c>
      <c r="P80" s="84">
        <f t="shared" ca="1" si="23"/>
        <v>7.5120952247192008E-13</v>
      </c>
      <c r="Q80" s="54">
        <f t="shared" ca="1" si="24"/>
        <v>3.6710500839428706E-10</v>
      </c>
      <c r="R80" s="54">
        <f t="shared" ca="1" si="25"/>
        <v>2.554504269947114E-12</v>
      </c>
      <c r="S80" s="54">
        <f t="shared" ca="1" si="26"/>
        <v>2.6982020999576086E-12</v>
      </c>
      <c r="T80" s="85">
        <f ca="1">I80*'Static Parameters'!C$19/(44/12)/1000</f>
        <v>2.1540617454289358E-11</v>
      </c>
      <c r="U80" s="85">
        <f ca="1">J80*'Static Parameters'!D$19/(44/12)/1000</f>
        <v>1.1409120286134856E-13</v>
      </c>
      <c r="V80" s="85">
        <f ca="1">K80*'Static Parameters'!E$19/(44/12)/1000</f>
        <v>9.2231418601421659E-14</v>
      </c>
      <c r="W80" s="85">
        <f ca="1">MAX(0,AC79*'Model - Scarcity &amp; Growth Rates'!$J79*(1-'Model - Supply'!Z79/'Static Parameters'!C$25)+'Model - Supply'!Z79/'Static Parameters'!C$27)</f>
        <v>4.9956381882023635</v>
      </c>
      <c r="X80" s="85">
        <f ca="1">MAX(0,AD79*'Model - Scarcity &amp; Growth Rates'!$J79*(1-'Model - Supply'!AA79/'Static Parameters'!D$25)+'Model - Supply'!AA79/'Static Parameters'!D$27)</f>
        <v>13.235807612323082</v>
      </c>
      <c r="Y80" s="85">
        <f ca="1">MAX(0,AE79*'Model - Scarcity &amp; Growth Rates'!$J79*(1-'Model - Supply'!AB79/'Static Parameters'!E$25)+'Model - Supply'!AB79/'Static Parameters'!E$27)</f>
        <v>0.66190479331009744</v>
      </c>
      <c r="Z80" s="85">
        <f ca="1">Z79+W80-Z79/'Static Parameters'!C$27</f>
        <v>124.07368450564037</v>
      </c>
      <c r="AA80" s="85">
        <f ca="1">AA79+X80-AA79/'Static Parameters'!D$27</f>
        <v>327.8177603206442</v>
      </c>
      <c r="AB80" s="85">
        <f ca="1">AB79+Y80-AB79/'Static Parameters'!E$27</f>
        <v>49.621613677809556</v>
      </c>
      <c r="AC80" s="85">
        <f ca="1">Z80-W80*'Static Parameters'!C$27/'Static Parameters'!C$26</f>
        <v>115.74762085863644</v>
      </c>
      <c r="AD80" s="85">
        <f ca="1">AA80-X80*'Static Parameters'!D$27/'Static Parameters'!D$26</f>
        <v>311.27300080524037</v>
      </c>
      <c r="AE80" s="85">
        <f ca="1">AB80-Y80*'Static Parameters'!E$27/'Static Parameters'!E$26</f>
        <v>48.912429970691598</v>
      </c>
      <c r="AF80" s="85">
        <f ca="1">AG79*'Model - Scarcity &amp; Growth Rates'!K79*(1-'Model - Supply'!AF79/'Static Parameters'!C$33)+'Model - Supply'!AF79</f>
        <v>131.21792373561919</v>
      </c>
      <c r="AG80" s="85">
        <f ca="1">AF80-AF80/'Static Parameters'!$C$34</f>
        <v>65.608961867809597</v>
      </c>
      <c r="AH80" s="85">
        <f t="shared" ca="1" si="27"/>
        <v>475.93305163467494</v>
      </c>
      <c r="AI80" s="85">
        <f t="shared" ca="1" si="28"/>
        <v>65.60896186818195</v>
      </c>
      <c r="AJ80" s="85">
        <f t="shared" ca="1" si="17"/>
        <v>4.7130970090580279E-10</v>
      </c>
      <c r="AK80" s="85">
        <f t="shared" ca="1" si="18"/>
        <v>3.2796137778056712E-12</v>
      </c>
      <c r="AL80" s="85">
        <f t="shared" ca="1" si="19"/>
        <v>3.4974009465783183E-12</v>
      </c>
      <c r="AM80" s="85">
        <f t="shared" ca="1" si="20"/>
        <v>7.5120952247192008E-13</v>
      </c>
      <c r="AN80" s="85">
        <f t="shared" ca="1" si="21"/>
        <v>475.93305163456841</v>
      </c>
      <c r="AO80" s="85">
        <f t="shared" ca="1" si="22"/>
        <v>65.608961867809597</v>
      </c>
    </row>
    <row r="81" spans="1:41" x14ac:dyDescent="0.35">
      <c r="A81" s="13">
        <v>2099</v>
      </c>
      <c r="B81" s="12">
        <f ca="1">MAX(0,MIN(1,B80*(1+'Model - Scarcity &amp; Growth Rates'!$D80-'Model - Scarcity &amp; Growth Rates'!$E80)))</f>
        <v>0.54886975177426078</v>
      </c>
      <c r="C81" s="12">
        <f ca="1">MAX(0,MIN(1,C80*(1+'Model - Scarcity &amp; Growth Rates'!$D80-'Model - Scarcity &amp; Growth Rates'!$E80)))</f>
        <v>0.54886975177426078</v>
      </c>
      <c r="D81" s="12">
        <f ca="1">MAX(0,MIN(1,D80*(1+'Model - Scarcity &amp; Growth Rates'!$D80-'Model - Scarcity &amp; Growth Rates'!$E80)))</f>
        <v>0.54886975177426078</v>
      </c>
      <c r="E81" s="12">
        <f ca="1">B81*('Model - Scarcity &amp; Growth Rates'!$D81*(1-'Model - Scarcity &amp; Growth Rates'!$I81)-'Model - Scarcity &amp; Growth Rates'!$I81)+(1-'Model - Supply'!B81)*('Model - Scarcity &amp; Growth Rates'!$E81*(1-'Model - Scarcity &amp; Growth Rates'!$I81)-'Model - Scarcity &amp; Growth Rates'!$I81)</f>
        <v>-0.3962978037960716</v>
      </c>
      <c r="F81" s="12">
        <f ca="1">C81*('Model - Scarcity &amp; Growth Rates'!$D81*(1-'Model - Scarcity &amp; Growth Rates'!$I81)-'Model - Scarcity &amp; Growth Rates'!$I81)+(1-'Model - Supply'!C81)*('Model - Scarcity &amp; Growth Rates'!$E81*(1-'Model - Scarcity &amp; Growth Rates'!$I81)-'Model - Scarcity &amp; Growth Rates'!$I81)</f>
        <v>-0.3962978037960716</v>
      </c>
      <c r="G81" s="12">
        <f ca="1">D81*('Model - Scarcity &amp; Growth Rates'!$D81*(1-'Model - Scarcity &amp; Growth Rates'!$I81)-'Model - Scarcity &amp; Growth Rates'!$I81)+(1-'Model - Supply'!D81)*('Model - Scarcity &amp; Growth Rates'!$E81*(1-'Model - Scarcity &amp; Growth Rates'!$I81)-'Model - Scarcity &amp; Growth Rates'!$I81)</f>
        <v>-0.3962978037960716</v>
      </c>
      <c r="H81" s="12">
        <f ca="1">'Model - Scarcity &amp; Growth Rates'!J81</f>
        <v>-1.2523569395499366E-4</v>
      </c>
      <c r="I81" s="21">
        <f ca="1">(1+E80)*I80*(1-(SUM(I$5:I80)/'Static Parameters'!C$17)^2)</f>
        <v>4.8848155568111711E-10</v>
      </c>
      <c r="J81" s="21">
        <f ca="1">(1+F80)*J80*(1-(SUM(J$5:J80)/'Static Parameters'!D$17)^2)</f>
        <v>3.2608412975525713E-12</v>
      </c>
      <c r="K81" s="21">
        <f ca="1">(1+G80)*K80*(1-(SUM(K$5:K80)/'Static Parameters'!E$17)^2)</f>
        <v>3.3448949327177836E-12</v>
      </c>
      <c r="L81" s="21">
        <f ca="1">(1+H80)*L80*(1-(SUM(L$5:L80)/'Static Parameters'!F$17)^2)</f>
        <v>4.01047925285318E-13</v>
      </c>
      <c r="M81" s="21">
        <f ca="1">I81*B81*'Static Parameters'!C$15</f>
        <v>6.1665932548989881E-11</v>
      </c>
      <c r="N81" s="21">
        <f ca="1">J81*C81*'Static Parameters'!D$15</f>
        <v>4.116487453194758E-13</v>
      </c>
      <c r="O81" s="21">
        <f ca="1">K81*D81*'Static Parameters'!E$15</f>
        <v>4.4061879634363027E-13</v>
      </c>
      <c r="P81" s="84">
        <f t="shared" ca="1" si="23"/>
        <v>4.01047925285318E-13</v>
      </c>
      <c r="Q81" s="54">
        <f t="shared" ca="1" si="24"/>
        <v>2.2036880546811762E-10</v>
      </c>
      <c r="R81" s="54">
        <f t="shared" ca="1" si="25"/>
        <v>1.4710641439896331E-12</v>
      </c>
      <c r="S81" s="54">
        <f t="shared" ca="1" si="26"/>
        <v>1.508983281285991E-12</v>
      </c>
      <c r="T81" s="85">
        <f ca="1">I81*'Static Parameters'!C$19/(44/12)/1000</f>
        <v>1.2829301948752248E-11</v>
      </c>
      <c r="U81" s="85">
        <f ca="1">J81*'Static Parameters'!D$19/(44/12)/1000</f>
        <v>6.5187181939255502E-14</v>
      </c>
      <c r="V81" s="85">
        <f ca="1">K81*'Static Parameters'!E$19/(44/12)/1000</f>
        <v>5.1176892470582093E-14</v>
      </c>
      <c r="W81" s="85">
        <f ca="1">MAX(0,AC80*'Model - Scarcity &amp; Growth Rates'!$J80*(1-'Model - Supply'!Z80/'Static Parameters'!C$25)+'Model - Supply'!Z80/'Static Parameters'!C$27)</f>
        <v>4.9767672686625568</v>
      </c>
      <c r="X81" s="85">
        <f ca="1">MAX(0,AD80*'Model - Scarcity &amp; Growth Rates'!$J80*(1-'Model - Supply'!AA80/'Static Parameters'!D$25)+'Model - Supply'!AA80/'Static Parameters'!D$27)</f>
        <v>13.164761426544819</v>
      </c>
      <c r="Y81" s="85">
        <f ca="1">MAX(0,AE80*'Model - Scarcity &amp; Growth Rates'!$J80*(1-'Model - Supply'!AB80/'Static Parameters'!E$25)+'Model - Supply'!AB80/'Static Parameters'!E$27)</f>
        <v>0.66173793227389421</v>
      </c>
      <c r="Z81" s="85">
        <f ca="1">Z80+W81-Z80/'Static Parameters'!C$27</f>
        <v>124.08750439407731</v>
      </c>
      <c r="AA81" s="85">
        <f ca="1">AA80+X81-AA80/'Static Parameters'!D$27</f>
        <v>327.86981133436325</v>
      </c>
      <c r="AB81" s="85">
        <f ca="1">AB80+Y81-AB80/'Static Parameters'!E$27</f>
        <v>49.621730094379323</v>
      </c>
      <c r="AC81" s="85">
        <f ca="1">Z81-W81*'Static Parameters'!C$27/'Static Parameters'!C$26</f>
        <v>115.79289227963972</v>
      </c>
      <c r="AD81" s="85">
        <f ca="1">AA81-X81*'Static Parameters'!D$27/'Static Parameters'!D$26</f>
        <v>311.41385955118221</v>
      </c>
      <c r="AE81" s="85">
        <f ca="1">AB81-Y81*'Static Parameters'!E$27/'Static Parameters'!E$26</f>
        <v>48.912725166943005</v>
      </c>
      <c r="AF81" s="85">
        <f ca="1">AG80*'Model - Scarcity &amp; Growth Rates'!K80*(1-'Model - Supply'!AF80/'Static Parameters'!C$33)+'Model - Supply'!AF80</f>
        <v>131.36934638435923</v>
      </c>
      <c r="AG81" s="85">
        <f ca="1">AF81-AF81/'Static Parameters'!$C$34</f>
        <v>65.684673192179616</v>
      </c>
      <c r="AH81" s="85">
        <f t="shared" ca="1" si="27"/>
        <v>476.11947699782786</v>
      </c>
      <c r="AI81" s="85">
        <f t="shared" ca="1" si="28"/>
        <v>65.684673192402968</v>
      </c>
      <c r="AJ81" s="85">
        <f t="shared" ca="1" si="17"/>
        <v>2.8203473801710748E-10</v>
      </c>
      <c r="AK81" s="85">
        <f t="shared" ca="1" si="18"/>
        <v>1.8827128893091088E-12</v>
      </c>
      <c r="AL81" s="85">
        <f t="shared" ca="1" si="19"/>
        <v>1.9496020776296214E-12</v>
      </c>
      <c r="AM81" s="85">
        <f t="shared" ca="1" si="20"/>
        <v>4.01047925285318E-13</v>
      </c>
      <c r="AN81" s="85">
        <f t="shared" ca="1" si="21"/>
        <v>476.11947699776493</v>
      </c>
      <c r="AO81" s="85">
        <f t="shared" ca="1" si="22"/>
        <v>65.684673192179616</v>
      </c>
    </row>
    <row r="82" spans="1:41" x14ac:dyDescent="0.35">
      <c r="A82" s="13">
        <v>2100</v>
      </c>
      <c r="B82" s="12">
        <f ca="1">MAX(0,MIN(1,B81*(1+'Model - Scarcity &amp; Growth Rates'!$D81-'Model - Scarcity &amp; Growth Rates'!$E81)))</f>
        <v>0.5457730080281048</v>
      </c>
      <c r="C82" s="12">
        <f ca="1">MAX(0,MIN(1,C81*(1+'Model - Scarcity &amp; Growth Rates'!$D81-'Model - Scarcity &amp; Growth Rates'!$E81)))</f>
        <v>0.5457730080281048</v>
      </c>
      <c r="D82" s="12">
        <f ca="1">MAX(0,MIN(1,D81*(1+'Model - Scarcity &amp; Growth Rates'!$D81-'Model - Scarcity &amp; Growth Rates'!$E81)))</f>
        <v>0.5457730080281048</v>
      </c>
      <c r="E82" s="12">
        <f ca="1">B82*('Model - Scarcity &amp; Growth Rates'!$D82*(1-'Model - Scarcity &amp; Growth Rates'!$I82)-'Model - Scarcity &amp; Growth Rates'!$I82)+(1-'Model - Supply'!B82)*('Model - Scarcity &amp; Growth Rates'!$E82*(1-'Model - Scarcity &amp; Growth Rates'!$I82)-'Model - Scarcity &amp; Growth Rates'!$I82)</f>
        <v>-0.39696675733092029</v>
      </c>
      <c r="F82" s="12">
        <f ca="1">C82*('Model - Scarcity &amp; Growth Rates'!$D82*(1-'Model - Scarcity &amp; Growth Rates'!$I82)-'Model - Scarcity &amp; Growth Rates'!$I82)+(1-'Model - Supply'!C82)*('Model - Scarcity &amp; Growth Rates'!$E82*(1-'Model - Scarcity &amp; Growth Rates'!$I82)-'Model - Scarcity &amp; Growth Rates'!$I82)</f>
        <v>-0.39696675733092029</v>
      </c>
      <c r="G82" s="12">
        <f ca="1">D82*('Model - Scarcity &amp; Growth Rates'!$D82*(1-'Model - Scarcity &amp; Growth Rates'!$I82)-'Model - Scarcity &amp; Growth Rates'!$I82)+(1-'Model - Supply'!D82)*('Model - Scarcity &amp; Growth Rates'!$E82*(1-'Model - Scarcity &amp; Growth Rates'!$I82)-'Model - Scarcity &amp; Growth Rates'!$I82)</f>
        <v>-0.39696675733092029</v>
      </c>
      <c r="H82" s="12">
        <f ca="1">'Model - Scarcity &amp; Growth Rates'!J82</f>
        <v>-5.4296417114130973E-4</v>
      </c>
      <c r="I82" s="21">
        <f ca="1">(1+E81)*I81*(1-SUM(I$5:I81)/'Static Parameters'!$C$17)</f>
        <v>2.5930709405227998E-10</v>
      </c>
      <c r="J82" s="21">
        <f ca="1">(1+F81)*J81*(1-SUM(J$5:J81)/'Static Parameters'!$C$17)</f>
        <v>1.7984310013138589E-12</v>
      </c>
      <c r="K82" s="21">
        <f ca="1">(1+G81)*K81*(1-SUM(K$5:K81)/'Static Parameters'!$C$17)</f>
        <v>1.8594168691020019E-12</v>
      </c>
      <c r="L82" s="21">
        <f ca="1">(1+H81)*L81*(1-SUM(L$5:L81)/'Static Parameters'!$C$17)</f>
        <v>3.8731077337597918E-13</v>
      </c>
      <c r="M82" s="21">
        <f ca="1">I82*B82*'Static Parameters'!C$15</f>
        <v>3.2550246926506095E-11</v>
      </c>
      <c r="N82" s="21">
        <f ca="1">J82*C82*'Static Parameters'!D$15</f>
        <v>2.2575307238315408E-13</v>
      </c>
      <c r="O82" s="21">
        <f ca="1">K82*D82*'Static Parameters'!E$15</f>
        <v>2.4355668907872007E-13</v>
      </c>
      <c r="P82" s="84">
        <f t="shared" ca="1" si="23"/>
        <v>3.8731077337597918E-13</v>
      </c>
      <c r="Q82" s="54">
        <f t="shared" ca="1" si="24"/>
        <v>1.1778428132834044E-10</v>
      </c>
      <c r="R82" s="54">
        <f t="shared" ca="1" si="25"/>
        <v>8.1689590399579767E-13</v>
      </c>
      <c r="S82" s="54">
        <f t="shared" ca="1" si="26"/>
        <v>8.445973312740015E-13</v>
      </c>
      <c r="T82" s="85">
        <f ca="1">I82*'Static Parameters'!C$19/(44/12)/1000</f>
        <v>6.8103472247003356E-12</v>
      </c>
      <c r="U82" s="85">
        <f ca="1">J82*'Static Parameters'!D$19/(44/12)/1000</f>
        <v>3.595227065353796E-14</v>
      </c>
      <c r="V82" s="85">
        <f ca="1">K82*'Static Parameters'!E$19/(44/12)/1000</f>
        <v>2.8449078097260633E-14</v>
      </c>
      <c r="W82" s="85">
        <f ca="1">MAX(0,AC81*'Model - Scarcity &amp; Growth Rates'!$J81*(1-'Model - Supply'!Z81/'Static Parameters'!C$25)+'Model - Supply'!Z81/'Static Parameters'!C$27)</f>
        <v>4.9579959872221178</v>
      </c>
      <c r="X82" s="85">
        <f ca="1">MAX(0,AD81*'Model - Scarcity &amp; Growth Rates'!$J81*(1-'Model - Supply'!AA81/'Static Parameters'!D$25)+'Model - Supply'!AA81/'Static Parameters'!D$27)</f>
        <v>13.094059416180814</v>
      </c>
      <c r="Y82" s="85">
        <f ca="1">MAX(0,AE81*'Model - Scarcity &amp; Growth Rates'!$J81*(1-'Model - Supply'!AB81/'Static Parameters'!E$25)+'Model - Supply'!AB81/'Static Parameters'!E$27)</f>
        <v>0.66157672517803612</v>
      </c>
      <c r="Z82" s="85">
        <f ca="1">Z81+W82-Z81/'Static Parameters'!C$27</f>
        <v>124.08200020553635</v>
      </c>
      <c r="AA82" s="85">
        <f ca="1">AA81+X82-AA81/'Static Parameters'!D$27</f>
        <v>327.84907829716951</v>
      </c>
      <c r="AB82" s="85">
        <f ca="1">AB81+Y82-AB81/'Static Parameters'!E$27</f>
        <v>49.621683751632304</v>
      </c>
      <c r="AC82" s="85">
        <f ca="1">Z82-W82*'Static Parameters'!C$27/'Static Parameters'!C$26</f>
        <v>115.81867356016615</v>
      </c>
      <c r="AD82" s="85">
        <f ca="1">AA82-X82*'Static Parameters'!D$27/'Static Parameters'!D$26</f>
        <v>311.48150402694347</v>
      </c>
      <c r="AE82" s="85">
        <f ca="1">AB82-Y82*'Static Parameters'!E$27/'Static Parameters'!E$26</f>
        <v>48.912851546084411</v>
      </c>
      <c r="AF82" s="85">
        <f ca="1">AG81*'Model - Scarcity &amp; Growth Rates'!K81*(1-'Model - Supply'!AF81/'Static Parameters'!C$33)+'Model - Supply'!AF81</f>
        <v>131.49369460302364</v>
      </c>
      <c r="AG82" s="85">
        <f ca="1">AF82-AF82/'Static Parameters'!$C$34</f>
        <v>65.746847301511821</v>
      </c>
      <c r="AH82" s="85">
        <f t="shared" ca="1" si="27"/>
        <v>476.21302913322745</v>
      </c>
      <c r="AI82" s="85">
        <f t="shared" ca="1" si="28"/>
        <v>65.746847301631263</v>
      </c>
      <c r="AJ82" s="85">
        <f t="shared" ref="AJ82" ca="1" si="29">Q82+M82</f>
        <v>1.5033452825484653E-10</v>
      </c>
      <c r="AK82" s="85">
        <f t="shared" ref="AK82" ca="1" si="30">R82+N82</f>
        <v>1.0426489763789517E-12</v>
      </c>
      <c r="AL82" s="85">
        <f t="shared" ref="AL82" ca="1" si="31">S82+O82</f>
        <v>1.0881540203527215E-12</v>
      </c>
      <c r="AM82" s="85">
        <f t="shared" ref="AM82" ca="1" si="32">P82</f>
        <v>3.8731077337597918E-13</v>
      </c>
      <c r="AN82" s="85">
        <f t="shared" ref="AN82" ca="1" si="33">SUM(AC82:AE82)</f>
        <v>476.21302913319403</v>
      </c>
      <c r="AO82" s="85">
        <f t="shared" ref="AO82" ca="1" si="34">AG82</f>
        <v>65.746847301511821</v>
      </c>
    </row>
  </sheetData>
  <mergeCells count="18">
    <mergeCell ref="AJ3:AO3"/>
    <mergeCell ref="AH3:AI3"/>
    <mergeCell ref="AF3:AG3"/>
    <mergeCell ref="AF2:AG2"/>
    <mergeCell ref="AJ2:AO2"/>
    <mergeCell ref="AH2:AI2"/>
    <mergeCell ref="E2:V2"/>
    <mergeCell ref="Q4:S4"/>
    <mergeCell ref="A2:A3"/>
    <mergeCell ref="E4:H4"/>
    <mergeCell ref="M4:P4"/>
    <mergeCell ref="I4:L4"/>
    <mergeCell ref="B4:D4"/>
    <mergeCell ref="W4:Y4"/>
    <mergeCell ref="Z4:AB4"/>
    <mergeCell ref="AC4:AE4"/>
    <mergeCell ref="W2:AE2"/>
    <mergeCell ref="T4:V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5046E-B9D8-47EA-B8CC-06EF5C0F3CBF}">
  <dimension ref="A1:K82"/>
  <sheetViews>
    <sheetView workbookViewId="0">
      <selection activeCell="D3" sqref="D3:E3"/>
    </sheetView>
  </sheetViews>
  <sheetFormatPr defaultRowHeight="15" x14ac:dyDescent="0.35"/>
  <cols>
    <col min="1" max="1" width="8.88671875" style="7"/>
    <col min="2" max="5" width="14.21875" style="7" customWidth="1"/>
    <col min="6" max="7" width="16.44140625" style="7" customWidth="1"/>
    <col min="8" max="8" width="14.21875" style="7" customWidth="1"/>
    <col min="9" max="9" width="16.77734375" style="7" customWidth="1"/>
    <col min="10" max="11" width="14.21875" style="7" customWidth="1"/>
    <col min="12" max="16384" width="8.88671875" style="7"/>
  </cols>
  <sheetData>
    <row r="1" spans="1:11" x14ac:dyDescent="0.35">
      <c r="I1" s="7" t="s">
        <v>104</v>
      </c>
      <c r="J1" s="51">
        <v>0.2</v>
      </c>
      <c r="K1" s="51">
        <v>0.2</v>
      </c>
    </row>
    <row r="3" spans="1:11" x14ac:dyDescent="0.35">
      <c r="A3" s="17"/>
      <c r="B3" s="34" t="s">
        <v>82</v>
      </c>
      <c r="C3" s="34"/>
      <c r="D3" s="34" t="s">
        <v>81</v>
      </c>
      <c r="E3" s="34"/>
      <c r="F3" s="34" t="s">
        <v>11</v>
      </c>
      <c r="G3" s="34"/>
      <c r="H3" s="34"/>
      <c r="I3" s="34"/>
      <c r="J3" s="34" t="s">
        <v>83</v>
      </c>
      <c r="K3" s="34"/>
    </row>
    <row r="4" spans="1:11" ht="50.4" customHeight="1" x14ac:dyDescent="0.35">
      <c r="A4" s="19" t="s">
        <v>3</v>
      </c>
      <c r="B4" s="19" t="s">
        <v>85</v>
      </c>
      <c r="C4" s="19" t="s">
        <v>86</v>
      </c>
      <c r="D4" s="19" t="s">
        <v>87</v>
      </c>
      <c r="E4" s="19" t="s">
        <v>88</v>
      </c>
      <c r="F4" s="90" t="s">
        <v>89</v>
      </c>
      <c r="G4" s="90" t="s">
        <v>90</v>
      </c>
      <c r="H4" s="91" t="s">
        <v>91</v>
      </c>
      <c r="I4" s="91" t="s">
        <v>92</v>
      </c>
      <c r="J4" s="19" t="s">
        <v>93</v>
      </c>
      <c r="K4" s="19" t="s">
        <v>94</v>
      </c>
    </row>
    <row r="5" spans="1:11" x14ac:dyDescent="0.35">
      <c r="A5" s="13">
        <v>2023</v>
      </c>
      <c r="B5" s="85">
        <f ca="1">'Model - Demand'!I5-'Model - Supply'!AH5</f>
        <v>-5.3925307113951106</v>
      </c>
      <c r="C5" s="85">
        <f ca="1">'Model - Demand'!Q5-'Model - Supply'!AI5</f>
        <v>26.168277252940925</v>
      </c>
      <c r="D5" s="86">
        <f ca="1">B5/'Model - Demand'!I5</f>
        <v>-6.094937568364011E-2</v>
      </c>
      <c r="E5" s="86">
        <f ca="1">C5/'Model - Demand'!Q5</f>
        <v>8.7619460922485612E-2</v>
      </c>
      <c r="F5" s="85">
        <f>'Static Parameters'!C40</f>
        <v>9.8742444545454546</v>
      </c>
      <c r="G5" s="85">
        <f>SUM('Model - Supply'!T5:V5)</f>
        <v>9.8860909090909086</v>
      </c>
      <c r="H5" s="85">
        <f>SUM(G$5:G5)/SUM(F$5:F5)-1</f>
        <v>1.1997327592998541E-3</v>
      </c>
      <c r="I5" s="85">
        <f ca="1">H5*'Scenario Picker'!$B$10</f>
        <v>5.9986637964992706E-4</v>
      </c>
      <c r="J5" s="20">
        <f ca="1">MIN(D5+I5,J$1,D5)</f>
        <v>-6.094937568364011E-2</v>
      </c>
      <c r="K5" s="20">
        <f ca="1">MIN(E5+I5,K$1,E5)</f>
        <v>8.7619460922485612E-2</v>
      </c>
    </row>
    <row r="6" spans="1:11" x14ac:dyDescent="0.35">
      <c r="A6" s="13">
        <v>2024</v>
      </c>
      <c r="B6" s="85">
        <f ca="1">'Model - Demand'!I6-'Model - Supply'!AH6</f>
        <v>15.433102284647049</v>
      </c>
      <c r="C6" s="85">
        <f ca="1">'Model - Demand'!Q6-'Model - Supply'!AI6</f>
        <v>-26.703181252669253</v>
      </c>
      <c r="D6" s="86">
        <f ca="1">B6/'Model - Demand'!I6</f>
        <v>0.15614857349407377</v>
      </c>
      <c r="E6" s="86">
        <f ca="1">C6/'Model - Demand'!Q6</f>
        <v>-9.1571733595075561E-2</v>
      </c>
      <c r="F6" s="85">
        <f>'Static Parameters'!C41</f>
        <v>18.102781499999999</v>
      </c>
      <c r="G6" s="85">
        <f>G5+SUM('Model - Supply'!T5:V5)</f>
        <v>19.772181818181817</v>
      </c>
      <c r="H6" s="85">
        <f>SUM(G$5:G6)/SUM(F$5:F6)-1</f>
        <v>6.0093834686317571E-2</v>
      </c>
      <c r="I6" s="85">
        <f ca="1">H6*'Scenario Picker'!$B$10</f>
        <v>3.0046917343158785E-2</v>
      </c>
      <c r="J6" s="20">
        <f t="shared" ref="J6:J69" ca="1" si="0">MIN(D6+I6,J$1,D6)</f>
        <v>0.15614857349407377</v>
      </c>
      <c r="K6" s="20">
        <f t="shared" ref="K6:K69" ca="1" si="1">MIN(E6+I6,K$1,E6)</f>
        <v>-9.1571733595075561E-2</v>
      </c>
    </row>
    <row r="7" spans="1:11" x14ac:dyDescent="0.35">
      <c r="A7" s="13">
        <v>2025</v>
      </c>
      <c r="B7" s="85">
        <f ca="1">'Model - Demand'!I7-'Model - Supply'!AH7</f>
        <v>13.129208551692344</v>
      </c>
      <c r="C7" s="85">
        <f ca="1">'Model - Demand'!Q7-'Model - Supply'!AI7</f>
        <v>32.068930151905363</v>
      </c>
      <c r="D7" s="86">
        <f ca="1">B7/'Model - Demand'!I7</f>
        <v>0.1202601108774182</v>
      </c>
      <c r="E7" s="86">
        <f ca="1">C7/'Model - Demand'!Q7</f>
        <v>0.11276419000356677</v>
      </c>
      <c r="F7" s="85">
        <f>'Static Parameters'!C42</f>
        <v>25.508464840909092</v>
      </c>
      <c r="G7" s="85">
        <f ca="1">G6+SUM('Model - Supply'!T6:V6)</f>
        <v>29.732136557025882</v>
      </c>
      <c r="H7" s="85">
        <f ca="1">SUM(G$5:G7)/SUM(F$5:F7)-1</f>
        <v>0.11040224930208331</v>
      </c>
      <c r="I7" s="85">
        <f ca="1">H7*'Scenario Picker'!$B$10</f>
        <v>5.5201124651041655E-2</v>
      </c>
      <c r="J7" s="20">
        <f t="shared" ca="1" si="0"/>
        <v>0.1202601108774182</v>
      </c>
      <c r="K7" s="20">
        <f t="shared" ca="1" si="1"/>
        <v>0.11276419000356677</v>
      </c>
    </row>
    <row r="8" spans="1:11" x14ac:dyDescent="0.35">
      <c r="A8" s="13">
        <v>2026</v>
      </c>
      <c r="B8" s="85">
        <f ca="1">'Model - Demand'!I8-'Model - Supply'!AH8</f>
        <v>14.765797053705953</v>
      </c>
      <c r="C8" s="85">
        <f ca="1">'Model - Demand'!Q8-'Model - Supply'!AI8</f>
        <v>14.553578820148175</v>
      </c>
      <c r="D8" s="86">
        <f ca="1">B8/'Model - Demand'!I8</f>
        <v>0.12358181301334956</v>
      </c>
      <c r="E8" s="86">
        <f ca="1">C8/'Model - Demand'!Q8</f>
        <v>5.254248470164815E-2</v>
      </c>
      <c r="F8" s="85">
        <f>'Static Parameters'!C43</f>
        <v>32.091294477272726</v>
      </c>
      <c r="G8" s="85">
        <f ca="1">G7+SUM('Model - Supply'!T7:V7)</f>
        <v>39.555764165808277</v>
      </c>
      <c r="H8" s="85">
        <f ca="1">SUM(G$5:G8)/SUM(F$5:F8)-1</f>
        <v>0.15622681004868655</v>
      </c>
      <c r="I8" s="85">
        <f ca="1">H8*'Scenario Picker'!$B$10</f>
        <v>7.8113405024343274E-2</v>
      </c>
      <c r="J8" s="20">
        <f t="shared" ca="1" si="0"/>
        <v>0.12358181301334956</v>
      </c>
      <c r="K8" s="20">
        <f t="shared" ca="1" si="1"/>
        <v>5.254248470164815E-2</v>
      </c>
    </row>
    <row r="9" spans="1:11" x14ac:dyDescent="0.35">
      <c r="A9" s="13">
        <v>2027</v>
      </c>
      <c r="B9" s="85">
        <f ca="1">'Model - Demand'!I9-'Model - Supply'!AH9</f>
        <v>15.708027619296047</v>
      </c>
      <c r="C9" s="85">
        <f ca="1">'Model - Demand'!Q9-'Model - Supply'!AI9</f>
        <v>29.365771705697114</v>
      </c>
      <c r="D9" s="86">
        <f ca="1">B9/'Model - Demand'!I9</f>
        <v>0.12104974440260127</v>
      </c>
      <c r="E9" s="86">
        <f ca="1">C9/'Model - Demand'!Q9</f>
        <v>0.10899889428512065</v>
      </c>
      <c r="F9" s="85">
        <f>'Static Parameters'!C44</f>
        <v>37.851270409090908</v>
      </c>
      <c r="G9" s="85">
        <f ca="1">G8+SUM('Model - Supply'!T8:V8)</f>
        <v>49.90513478812484</v>
      </c>
      <c r="H9" s="85">
        <f ca="1">SUM(G$5:G9)/SUM(F$5:F9)-1</f>
        <v>0.20597628647696942</v>
      </c>
      <c r="I9" s="85">
        <f ca="1">H9*'Scenario Picker'!$B$10</f>
        <v>0.10298814323848471</v>
      </c>
      <c r="J9" s="20">
        <f t="shared" ca="1" si="0"/>
        <v>0.12104974440260127</v>
      </c>
      <c r="K9" s="20">
        <f t="shared" ca="1" si="1"/>
        <v>0.10899889428512065</v>
      </c>
    </row>
    <row r="10" spans="1:11" x14ac:dyDescent="0.35">
      <c r="A10" s="13">
        <v>2028</v>
      </c>
      <c r="B10" s="85">
        <f ca="1">'Model - Demand'!I10-'Model - Supply'!AH10</f>
        <v>20.935226370362003</v>
      </c>
      <c r="C10" s="85">
        <f ca="1">'Model - Demand'!Q10-'Model - Supply'!AI10</f>
        <v>25.819081166180439</v>
      </c>
      <c r="D10" s="86">
        <f ca="1">B10/'Model - Demand'!I10</f>
        <v>0.14952254109000659</v>
      </c>
      <c r="E10" s="86">
        <f ca="1">C10/'Model - Demand'!Q10</f>
        <v>9.86773532950945E-2</v>
      </c>
      <c r="F10" s="85">
        <f>'Static Parameters'!C45</f>
        <v>42.788392636363639</v>
      </c>
      <c r="G10" s="85">
        <f ca="1">G9+SUM('Model - Supply'!T9:V9)</f>
        <v>60.307430888770149</v>
      </c>
      <c r="H10" s="85">
        <f ca="1">SUM(G$5:G10)/SUM(F$5:F10)-1</f>
        <v>0.25835163272540407</v>
      </c>
      <c r="I10" s="85">
        <f ca="1">H10*'Scenario Picker'!$B$10</f>
        <v>0.12917581636270203</v>
      </c>
      <c r="J10" s="20">
        <f t="shared" ca="1" si="0"/>
        <v>0.14952254109000659</v>
      </c>
      <c r="K10" s="20">
        <f t="shared" ca="1" si="1"/>
        <v>9.86773532950945E-2</v>
      </c>
    </row>
    <row r="11" spans="1:11" x14ac:dyDescent="0.35">
      <c r="A11" s="13">
        <v>2029</v>
      </c>
      <c r="B11" s="85">
        <f ca="1">'Model - Demand'!I11-'Model - Supply'!AH11</f>
        <v>23.849732990483147</v>
      </c>
      <c r="C11" s="85">
        <f ca="1">'Model - Demand'!Q11-'Model - Supply'!AI11</f>
        <v>39.842909027581896</v>
      </c>
      <c r="D11" s="86">
        <f ca="1">B11/'Model - Demand'!I11</f>
        <v>0.15875819775298464</v>
      </c>
      <c r="E11" s="86">
        <f ca="1">C11/'Model - Demand'!Q11</f>
        <v>0.15704684107288946</v>
      </c>
      <c r="F11" s="85">
        <f>'Static Parameters'!C46</f>
        <v>47.478658752272729</v>
      </c>
      <c r="G11" s="85">
        <f ca="1">G10+SUM('Model - Supply'!T10:V10)</f>
        <v>70.674193725698117</v>
      </c>
      <c r="H11" s="85">
        <f ca="1">SUM(G$5:G11)/SUM(F$5:F11)-1</f>
        <v>0.30949621022646978</v>
      </c>
      <c r="I11" s="85">
        <f ca="1">H11*'Scenario Picker'!$B$10</f>
        <v>0.15474810511323489</v>
      </c>
      <c r="J11" s="20">
        <f t="shared" ca="1" si="0"/>
        <v>0.15875819775298464</v>
      </c>
      <c r="K11" s="20">
        <f t="shared" ca="1" si="1"/>
        <v>0.15704684107288946</v>
      </c>
    </row>
    <row r="12" spans="1:11" x14ac:dyDescent="0.35">
      <c r="A12" s="13">
        <v>2030</v>
      </c>
      <c r="B12" s="85">
        <f ca="1">'Model - Demand'!I12-'Model - Supply'!AH12</f>
        <v>29.94633482750325</v>
      </c>
      <c r="C12" s="85">
        <f ca="1">'Model - Demand'!Q12-'Model - Supply'!AI12</f>
        <v>36.247017340244327</v>
      </c>
      <c r="D12" s="86">
        <f ca="1">B12/'Model - Demand'!I12</f>
        <v>0.18669405566721642</v>
      </c>
      <c r="E12" s="86">
        <f ca="1">C12/'Model - Demand'!Q12</f>
        <v>0.14760892924372293</v>
      </c>
      <c r="F12" s="85">
        <f>'Static Parameters'!C47</f>
        <v>51.922068756818184</v>
      </c>
      <c r="G12" s="85">
        <f ca="1">G11+SUM('Model - Supply'!T11:V11)</f>
        <v>80.813708444031406</v>
      </c>
      <c r="H12" s="85">
        <f ca="1">SUM(G$5:G12)/SUM(F$5:F12)-1</f>
        <v>0.35776852597534958</v>
      </c>
      <c r="I12" s="85">
        <f ca="1">H12*'Scenario Picker'!$B$10</f>
        <v>0.17888426298767479</v>
      </c>
      <c r="J12" s="20">
        <f t="shared" ca="1" si="0"/>
        <v>0.18669405566721642</v>
      </c>
      <c r="K12" s="20">
        <f t="shared" ca="1" si="1"/>
        <v>0.14760892924372293</v>
      </c>
    </row>
    <row r="13" spans="1:11" x14ac:dyDescent="0.35">
      <c r="A13" s="13">
        <v>2031</v>
      </c>
      <c r="B13" s="85">
        <f ca="1">'Model - Demand'!I13-'Model - Supply'!AH13</f>
        <v>34.695682690548381</v>
      </c>
      <c r="C13" s="85">
        <f ca="1">'Model - Demand'!Q13-'Model - Supply'!AI13</f>
        <v>41.526921840202959</v>
      </c>
      <c r="D13" s="86">
        <f ca="1">B13/'Model - Demand'!I13</f>
        <v>0.20344311532244566</v>
      </c>
      <c r="E13" s="86">
        <f ca="1">C13/'Model - Demand'!Q13</f>
        <v>0.17504877243888198</v>
      </c>
      <c r="F13" s="85">
        <f>'Static Parameters'!C48</f>
        <v>56.118622650000006</v>
      </c>
      <c r="G13" s="85">
        <f ca="1">G12+SUM('Model - Supply'!T12:V12)</f>
        <v>90.644641787644176</v>
      </c>
      <c r="H13" s="85">
        <f ca="1">SUM(G$5:G13)/SUM(F$5:F13)-1</f>
        <v>0.40267662231019807</v>
      </c>
      <c r="I13" s="85">
        <f ca="1">H13*'Scenario Picker'!$B$10</f>
        <v>0.20133831115509904</v>
      </c>
      <c r="J13" s="20">
        <f t="shared" ca="1" si="0"/>
        <v>0.2</v>
      </c>
      <c r="K13" s="20">
        <f t="shared" ca="1" si="1"/>
        <v>0.17504877243888198</v>
      </c>
    </row>
    <row r="14" spans="1:11" x14ac:dyDescent="0.35">
      <c r="A14" s="13">
        <v>2032</v>
      </c>
      <c r="B14" s="85">
        <f ca="1">'Model - Demand'!I14-'Model - Supply'!AH14</f>
        <v>38.644740526870351</v>
      </c>
      <c r="C14" s="85">
        <f ca="1">'Model - Demand'!Q14-'Model - Supply'!AI14</f>
        <v>45.410860372352403</v>
      </c>
      <c r="D14" s="86">
        <f ca="1">B14/'Model - Demand'!I14</f>
        <v>0.21392963783832583</v>
      </c>
      <c r="E14" s="86">
        <f ca="1">C14/'Model - Demand'!Q14</f>
        <v>0.19855680309329893</v>
      </c>
      <c r="F14" s="85">
        <f>'Static Parameters'!C49</f>
        <v>60.068320431818186</v>
      </c>
      <c r="G14" s="85">
        <f ca="1">G13+SUM('Model - Supply'!T13:V13)</f>
        <v>100.00825540140647</v>
      </c>
      <c r="H14" s="85">
        <f ca="1">SUM(G$5:G14)/SUM(F$5:F14)-1</f>
        <v>0.44393292576565568</v>
      </c>
      <c r="I14" s="85">
        <f ca="1">H14*'Scenario Picker'!$B$10</f>
        <v>0.22196646288282784</v>
      </c>
      <c r="J14" s="20">
        <f t="shared" ca="1" si="0"/>
        <v>0.2</v>
      </c>
      <c r="K14" s="20">
        <f t="shared" ca="1" si="1"/>
        <v>0.19855680309329893</v>
      </c>
    </row>
    <row r="15" spans="1:11" x14ac:dyDescent="0.35">
      <c r="A15" s="13">
        <v>2033</v>
      </c>
      <c r="B15" s="85">
        <f ca="1">'Model - Demand'!I15-'Model - Supply'!AH15</f>
        <v>42.498863406563828</v>
      </c>
      <c r="C15" s="85">
        <f ca="1">'Model - Demand'!Q15-'Model - Supply'!AI15</f>
        <v>47.83133351603567</v>
      </c>
      <c r="D15" s="86">
        <f ca="1">B15/'Model - Demand'!I15</f>
        <v>0.22285569839934791</v>
      </c>
      <c r="E15" s="86">
        <f ca="1">C15/'Model - Demand'!Q15</f>
        <v>0.21743597126062045</v>
      </c>
      <c r="F15" s="85">
        <f>'Static Parameters'!C50</f>
        <v>63.771162102272733</v>
      </c>
      <c r="G15" s="85">
        <f ca="1">G14+SUM('Model - Supply'!T14:V14)</f>
        <v>108.81033393008533</v>
      </c>
      <c r="H15" s="85">
        <f ca="1">SUM(G$5:G15)/SUM(F$5:F15)-1</f>
        <v>0.48147776716328283</v>
      </c>
      <c r="I15" s="85">
        <f ca="1">H15*'Scenario Picker'!$B$10</f>
        <v>0.24073888358164142</v>
      </c>
      <c r="J15" s="20">
        <f t="shared" ca="1" si="0"/>
        <v>0.2</v>
      </c>
      <c r="K15" s="20">
        <f t="shared" ca="1" si="1"/>
        <v>0.2</v>
      </c>
    </row>
    <row r="16" spans="1:11" x14ac:dyDescent="0.35">
      <c r="A16" s="13">
        <v>2034</v>
      </c>
      <c r="B16" s="85">
        <f ca="1">'Model - Demand'!I16-'Model - Supply'!AH16</f>
        <v>46.239709222845761</v>
      </c>
      <c r="C16" s="85">
        <f ca="1">'Model - Demand'!Q16-'Model - Supply'!AI16</f>
        <v>49.413645538919411</v>
      </c>
      <c r="D16" s="86">
        <f ca="1">B16/'Model - Demand'!I16</f>
        <v>0.230370901507848</v>
      </c>
      <c r="E16" s="86">
        <f ca="1">C16/'Model - Demand'!Q16</f>
        <v>0.23413300164245573</v>
      </c>
      <c r="F16" s="85">
        <f>'Static Parameters'!C51</f>
        <v>67.227147661363645</v>
      </c>
      <c r="G16" s="85">
        <f ca="1">G15+SUM('Model - Supply'!T15:V15)</f>
        <v>116.94674549154466</v>
      </c>
      <c r="H16" s="85">
        <f ca="1">SUM(G$5:G16)/SUM(F$5:F16)-1</f>
        <v>0.51531384108036815</v>
      </c>
      <c r="I16" s="85">
        <f ca="1">H16*'Scenario Picker'!$B$10</f>
        <v>0.25765692054018408</v>
      </c>
      <c r="J16" s="20">
        <f t="shared" ca="1" si="0"/>
        <v>0.2</v>
      </c>
      <c r="K16" s="20">
        <f t="shared" ca="1" si="1"/>
        <v>0.2</v>
      </c>
    </row>
    <row r="17" spans="1:11" x14ac:dyDescent="0.35">
      <c r="A17" s="13">
        <v>2035</v>
      </c>
      <c r="B17" s="85">
        <f ca="1">'Model - Demand'!I17-'Model - Supply'!AH17</f>
        <v>49.621507461489642</v>
      </c>
      <c r="C17" s="85">
        <f ca="1">'Model - Demand'!Q17-'Model - Supply'!AI17</f>
        <v>49.577933051484536</v>
      </c>
      <c r="D17" s="86">
        <f ca="1">B17/'Model - Demand'!I17</f>
        <v>0.23551564040363207</v>
      </c>
      <c r="E17" s="86">
        <f ca="1">C17/'Model - Demand'!Q17</f>
        <v>0.24554323905211714</v>
      </c>
      <c r="F17" s="85">
        <f>'Static Parameters'!C52</f>
        <v>70.436277109090923</v>
      </c>
      <c r="G17" s="85">
        <f ca="1">G16+SUM('Model - Supply'!T16:V16)</f>
        <v>124.33851296874901</v>
      </c>
      <c r="H17" s="85">
        <f ca="1">SUM(G$5:G17)/SUM(F$5:F17)-1</f>
        <v>0.54549950464597718</v>
      </c>
      <c r="I17" s="85">
        <f ca="1">H17*'Scenario Picker'!$B$10</f>
        <v>0.27274975232298859</v>
      </c>
      <c r="J17" s="20">
        <f t="shared" ca="1" si="0"/>
        <v>0.2</v>
      </c>
      <c r="K17" s="20">
        <f t="shared" ca="1" si="1"/>
        <v>0.2</v>
      </c>
    </row>
    <row r="18" spans="1:11" x14ac:dyDescent="0.35">
      <c r="A18" s="13">
        <v>2036</v>
      </c>
      <c r="B18" s="85">
        <f ca="1">'Model - Demand'!I18-'Model - Supply'!AH18</f>
        <v>52.534727716153185</v>
      </c>
      <c r="C18" s="85">
        <f ca="1">'Model - Demand'!Q18-'Model - Supply'!AI18</f>
        <v>48.458910634333222</v>
      </c>
      <c r="D18" s="86">
        <f ca="1">B18/'Model - Demand'!I18</f>
        <v>0.23812089409561632</v>
      </c>
      <c r="E18" s="86">
        <f ca="1">C18/'Model - Demand'!Q18</f>
        <v>0.25165994654136115</v>
      </c>
      <c r="F18" s="85">
        <f>'Static Parameters'!C53</f>
        <v>73.398550445454561</v>
      </c>
      <c r="G18" s="85">
        <f ca="1">G17+SUM('Model - Supply'!T17:V17)</f>
        <v>130.94189630553151</v>
      </c>
      <c r="H18" s="85">
        <f ca="1">SUM(G$5:G18)/SUM(F$5:F18)-1</f>
        <v>0.57215725637167281</v>
      </c>
      <c r="I18" s="85">
        <f ca="1">H18*'Scenario Picker'!$B$10</f>
        <v>0.2860786281858364</v>
      </c>
      <c r="J18" s="20">
        <f t="shared" ca="1" si="0"/>
        <v>0.2</v>
      </c>
      <c r="K18" s="20">
        <f t="shared" ca="1" si="1"/>
        <v>0.2</v>
      </c>
    </row>
    <row r="19" spans="1:11" x14ac:dyDescent="0.35">
      <c r="A19" s="13">
        <v>2037</v>
      </c>
      <c r="B19" s="85">
        <f ca="1">'Model - Demand'!I19-'Model - Supply'!AH19</f>
        <v>54.941316318952204</v>
      </c>
      <c r="C19" s="85">
        <f ca="1">'Model - Demand'!Q19-'Model - Supply'!AI19</f>
        <v>46.736021544703419</v>
      </c>
      <c r="D19" s="86">
        <f ca="1">B19/'Model - Demand'!I19</f>
        <v>0.23835357617241962</v>
      </c>
      <c r="E19" s="86">
        <f ca="1">C19/'Model - Demand'!Q19</f>
        <v>0.25541538109458317</v>
      </c>
      <c r="F19" s="85">
        <f>'Static Parameters'!C54</f>
        <v>76.113967670454556</v>
      </c>
      <c r="G19" s="85">
        <f ca="1">G18+SUM('Model - Supply'!T18:V18)</f>
        <v>136.74030518012336</v>
      </c>
      <c r="H19" s="85">
        <f ca="1">SUM(G$5:G19)/SUM(F$5:F19)-1</f>
        <v>0.59546281771204224</v>
      </c>
      <c r="I19" s="85">
        <f ca="1">H19*'Scenario Picker'!$B$10</f>
        <v>0.29773140885602112</v>
      </c>
      <c r="J19" s="20">
        <f t="shared" ca="1" si="0"/>
        <v>0.2</v>
      </c>
      <c r="K19" s="20">
        <f t="shared" ca="1" si="1"/>
        <v>0.2</v>
      </c>
    </row>
    <row r="20" spans="1:11" x14ac:dyDescent="0.35">
      <c r="A20" s="13">
        <v>2038</v>
      </c>
      <c r="B20" s="85">
        <f ca="1">'Model - Demand'!I20-'Model - Supply'!AH20</f>
        <v>57.231968415249128</v>
      </c>
      <c r="C20" s="85">
        <f ca="1">'Model - Demand'!Q20-'Model - Supply'!AI20</f>
        <v>44.267480591225592</v>
      </c>
      <c r="D20" s="86">
        <f ca="1">B20/'Model - Demand'!I20</f>
        <v>0.238136951047902</v>
      </c>
      <c r="E20" s="86">
        <f ca="1">C20/'Model - Demand'!Q20</f>
        <v>0.25562671143618187</v>
      </c>
      <c r="F20" s="85">
        <f>'Static Parameters'!C55</f>
        <v>78.582528784090925</v>
      </c>
      <c r="G20" s="85">
        <f ca="1">G19+SUM('Model - Supply'!T19:V19)</f>
        <v>141.74353943568661</v>
      </c>
      <c r="H20" s="85">
        <f ca="1">SUM(G$5:G20)/SUM(F$5:F20)-1</f>
        <v>0.6156370512932039</v>
      </c>
      <c r="I20" s="85">
        <f ca="1">H20*'Scenario Picker'!$B$10</f>
        <v>0.30781852564660195</v>
      </c>
      <c r="J20" s="20">
        <f t="shared" ca="1" si="0"/>
        <v>0.2</v>
      </c>
      <c r="K20" s="20">
        <f t="shared" ca="1" si="1"/>
        <v>0.2</v>
      </c>
    </row>
    <row r="21" spans="1:11" x14ac:dyDescent="0.35">
      <c r="A21" s="13">
        <v>2039</v>
      </c>
      <c r="B21" s="85">
        <f ca="1">'Model - Demand'!I21-'Model - Supply'!AH21</f>
        <v>59.960026089926657</v>
      </c>
      <c r="C21" s="85">
        <f ca="1">'Model - Demand'!Q21-'Model - Supply'!AI21</f>
        <v>41.305942252109674</v>
      </c>
      <c r="D21" s="86">
        <f ca="1">B21/'Model - Demand'!I21</f>
        <v>0.23973815140439766</v>
      </c>
      <c r="E21" s="86">
        <f ca="1">C21/'Model - Demand'!Q21</f>
        <v>0.25321448282311526</v>
      </c>
      <c r="F21" s="85">
        <f>'Static Parameters'!C56</f>
        <v>80.804233786363653</v>
      </c>
      <c r="G21" s="85">
        <f ca="1">G20+SUM('Model - Supply'!T20:V20)</f>
        <v>145.98795824019973</v>
      </c>
      <c r="H21" s="85">
        <f ca="1">SUM(G$5:G21)/SUM(F$5:F21)-1</f>
        <v>0.63294115051075583</v>
      </c>
      <c r="I21" s="85">
        <f ca="1">H21*'Scenario Picker'!$B$10</f>
        <v>0.31647057525537792</v>
      </c>
      <c r="J21" s="20">
        <f t="shared" ca="1" si="0"/>
        <v>0.2</v>
      </c>
      <c r="K21" s="20">
        <f t="shared" ca="1" si="1"/>
        <v>0.2</v>
      </c>
    </row>
    <row r="22" spans="1:11" x14ac:dyDescent="0.35">
      <c r="A22" s="13">
        <v>2040</v>
      </c>
      <c r="B22" s="85">
        <f ca="1">'Model - Demand'!I22-'Model - Supply'!AH22</f>
        <v>63.789376682229658</v>
      </c>
      <c r="C22" s="85">
        <f ca="1">'Model - Demand'!Q22-'Model - Supply'!AI22</f>
        <v>37.929767298852596</v>
      </c>
      <c r="D22" s="86">
        <f ca="1">B22/'Model - Demand'!I22</f>
        <v>0.24551326165536788</v>
      </c>
      <c r="E22" s="86">
        <f ca="1">C22/'Model - Demand'!Q22</f>
        <v>0.24817741843986216</v>
      </c>
      <c r="F22" s="85">
        <f>'Static Parameters'!C57</f>
        <v>82.77908267727274</v>
      </c>
      <c r="G22" s="85">
        <f ca="1">G21+SUM('Model - Supply'!T21:V21)</f>
        <v>149.53265504515647</v>
      </c>
      <c r="H22" s="85">
        <f ca="1">SUM(G$5:G22)/SUM(F$5:F22)-1</f>
        <v>0.64766987461904546</v>
      </c>
      <c r="I22" s="85">
        <f ca="1">H22*'Scenario Picker'!$B$10</f>
        <v>0.32383493730952273</v>
      </c>
      <c r="J22" s="20">
        <f t="shared" ca="1" si="0"/>
        <v>0.2</v>
      </c>
      <c r="K22" s="20">
        <f t="shared" ca="1" si="1"/>
        <v>0.2</v>
      </c>
    </row>
    <row r="23" spans="1:11" x14ac:dyDescent="0.35">
      <c r="A23" s="13">
        <v>2041</v>
      </c>
      <c r="B23" s="85">
        <f ca="1">'Model - Demand'!I23-'Model - Supply'!AH23</f>
        <v>69.149481368031161</v>
      </c>
      <c r="C23" s="85">
        <f ca="1">'Model - Demand'!Q23-'Model - Supply'!AI23</f>
        <v>34.166446018351806</v>
      </c>
      <c r="D23" s="86">
        <f ca="1">B23/'Model - Demand'!I23</f>
        <v>0.25661205146356053</v>
      </c>
      <c r="E23" s="86">
        <f ca="1">C23/'Model - Demand'!Q23</f>
        <v>0.24012604640639468</v>
      </c>
      <c r="F23" s="85">
        <f>'Static Parameters'!C58</f>
        <v>84.5070754568182</v>
      </c>
      <c r="G23" s="85">
        <f ca="1">G22+SUM('Model - Supply'!T22:V22)</f>
        <v>152.45453495147348</v>
      </c>
      <c r="H23" s="85">
        <f ca="1">SUM(G$5:G23)/SUM(F$5:F23)-1</f>
        <v>0.660143417530489</v>
      </c>
      <c r="I23" s="85">
        <f ca="1">H23*'Scenario Picker'!$B$10</f>
        <v>0.3300717087652445</v>
      </c>
      <c r="J23" s="20">
        <f t="shared" ca="1" si="0"/>
        <v>0.2</v>
      </c>
      <c r="K23" s="20">
        <f t="shared" ca="1" si="1"/>
        <v>0.2</v>
      </c>
    </row>
    <row r="24" spans="1:11" x14ac:dyDescent="0.35">
      <c r="A24" s="13">
        <v>2042</v>
      </c>
      <c r="B24" s="85">
        <f ca="1">'Model - Demand'!I24-'Model - Supply'!AH24</f>
        <v>75.848264677532995</v>
      </c>
      <c r="C24" s="85">
        <f ca="1">'Model - Demand'!Q24-'Model - Supply'!AI24</f>
        <v>29.959545285505186</v>
      </c>
      <c r="D24" s="86">
        <f ca="1">B24/'Model - Demand'!I24</f>
        <v>0.27181123014482533</v>
      </c>
      <c r="E24" s="86">
        <f ca="1">C24/'Model - Demand'!Q24</f>
        <v>0.22787776389944131</v>
      </c>
      <c r="F24" s="85">
        <f>'Static Parameters'!C59</f>
        <v>85.988212125000018</v>
      </c>
      <c r="G24" s="85">
        <f ca="1">G23+SUM('Model - Supply'!T23:V23)</f>
        <v>154.84040980727485</v>
      </c>
      <c r="H24" s="85">
        <f ca="1">SUM(G$5:G24)/SUM(F$5:F24)-1</f>
        <v>0.67069651257241625</v>
      </c>
      <c r="I24" s="85">
        <f ca="1">H24*'Scenario Picker'!$B$10</f>
        <v>0.33534825628620812</v>
      </c>
      <c r="J24" s="20">
        <f t="shared" ca="1" si="0"/>
        <v>0.2</v>
      </c>
      <c r="K24" s="20">
        <f t="shared" ca="1" si="1"/>
        <v>0.2</v>
      </c>
    </row>
    <row r="25" spans="1:11" x14ac:dyDescent="0.35">
      <c r="A25" s="13">
        <v>2043</v>
      </c>
      <c r="B25" s="85">
        <f ca="1">'Model - Demand'!I25-'Model - Supply'!AH25</f>
        <v>82.90450190290079</v>
      </c>
      <c r="C25" s="85">
        <f ca="1">'Model - Demand'!Q25-'Model - Supply'!AI25</f>
        <v>25.220477374682176</v>
      </c>
      <c r="D25" s="86">
        <f ca="1">B25/'Model - Demand'!I25</f>
        <v>0.28732031479471942</v>
      </c>
      <c r="E25" s="86">
        <f ca="1">C25/'Model - Demand'!Q25</f>
        <v>0.20949938079837099</v>
      </c>
      <c r="F25" s="85">
        <f>'Static Parameters'!C60</f>
        <v>87.222492681818196</v>
      </c>
      <c r="G25" s="85">
        <f ca="1">G24+SUM('Model - Supply'!T24:V24)</f>
        <v>156.77813075894835</v>
      </c>
      <c r="H25" s="85">
        <f ca="1">SUM(G$5:G25)/SUM(F$5:F25)-1</f>
        <v>0.67966576767895592</v>
      </c>
      <c r="I25" s="85">
        <f ca="1">H25*'Scenario Picker'!$B$10</f>
        <v>0.33983288383947796</v>
      </c>
      <c r="J25" s="20">
        <f t="shared" ca="1" si="0"/>
        <v>0.2</v>
      </c>
      <c r="K25" s="20">
        <f t="shared" ca="1" si="1"/>
        <v>0.2</v>
      </c>
    </row>
    <row r="26" spans="1:11" x14ac:dyDescent="0.35">
      <c r="A26" s="13">
        <v>2044</v>
      </c>
      <c r="B26" s="85">
        <f ca="1">'Model - Demand'!I26-'Model - Supply'!AH26</f>
        <v>89.21501599198649</v>
      </c>
      <c r="C26" s="85">
        <f ca="1">'Model - Demand'!Q26-'Model - Supply'!AI26</f>
        <v>18.067787760015136</v>
      </c>
      <c r="D26" s="86">
        <f ca="1">B26/'Model - Demand'!I26</f>
        <v>0.29942741005115958</v>
      </c>
      <c r="E26" s="86">
        <f ca="1">C26/'Model - Demand'!Q26</f>
        <v>0.16573751923196878</v>
      </c>
      <c r="F26" s="85">
        <f>'Static Parameters'!C61</f>
        <v>88.209917127272746</v>
      </c>
      <c r="G26" s="85">
        <f ca="1">G25+SUM('Model - Supply'!T25:V25)</f>
        <v>158.34896248123192</v>
      </c>
      <c r="H26" s="85">
        <f ca="1">SUM(G$5:G26)/SUM(F$5:F26)-1</f>
        <v>0.68737733573813387</v>
      </c>
      <c r="I26" s="85">
        <f ca="1">H26*'Scenario Picker'!$B$10</f>
        <v>0.34368866786906693</v>
      </c>
      <c r="J26" s="20">
        <f t="shared" ca="1" si="0"/>
        <v>0.2</v>
      </c>
      <c r="K26" s="20">
        <f t="shared" ca="1" si="1"/>
        <v>0.16573751923196878</v>
      </c>
    </row>
    <row r="27" spans="1:11" x14ac:dyDescent="0.35">
      <c r="A27" s="13">
        <v>2045</v>
      </c>
      <c r="B27" s="85">
        <f ca="1">'Model - Demand'!I27-'Model - Supply'!AH27</f>
        <v>93.118530510278418</v>
      </c>
      <c r="C27" s="85">
        <f ca="1">'Model - Demand'!Q27-'Model - Supply'!AI27</f>
        <v>9.7176570621847276</v>
      </c>
      <c r="D27" s="86">
        <f ca="1">B27/'Model - Demand'!I27</f>
        <v>0.30306036295629224</v>
      </c>
      <c r="E27" s="86">
        <f ca="1">C27/'Model - Demand'!Q27</f>
        <v>9.9819340218737521E-2</v>
      </c>
      <c r="F27" s="85">
        <f>'Static Parameters'!C62</f>
        <v>88.950485461363655</v>
      </c>
      <c r="G27" s="85">
        <f ca="1">G26+SUM('Model - Supply'!T26:V26)</f>
        <v>159.62319364248287</v>
      </c>
      <c r="H27" s="85">
        <f ca="1">SUM(G$5:G27)/SUM(F$5:F27)-1</f>
        <v>0.69413729641935262</v>
      </c>
      <c r="I27" s="85">
        <f ca="1">H27*'Scenario Picker'!$B$10</f>
        <v>0.34706864820967631</v>
      </c>
      <c r="J27" s="20">
        <f t="shared" ca="1" si="0"/>
        <v>0.2</v>
      </c>
      <c r="K27" s="20">
        <f t="shared" ca="1" si="1"/>
        <v>9.9819340218737521E-2</v>
      </c>
    </row>
    <row r="28" spans="1:11" x14ac:dyDescent="0.35">
      <c r="A28" s="13">
        <v>2046</v>
      </c>
      <c r="B28" s="85">
        <f ca="1">'Model - Demand'!I28-'Model - Supply'!AH28</f>
        <v>93.713434059101814</v>
      </c>
      <c r="C28" s="85">
        <f ca="1">'Model - Demand'!Q28-'Model - Supply'!AI28</f>
        <v>5.264415201202155E-2</v>
      </c>
      <c r="D28" s="86">
        <f ca="1">B28/'Model - Demand'!I28</f>
        <v>0.2961336387063791</v>
      </c>
      <c r="E28" s="86">
        <f ca="1">C28/'Model - Demand'!Q28</f>
        <v>6.1651767654942046E-4</v>
      </c>
      <c r="F28" s="85">
        <f>'Static Parameters'!C63</f>
        <v>89.444197684090923</v>
      </c>
      <c r="G28" s="85">
        <f ca="1">G27+SUM('Model - Supply'!T27:V27)</f>
        <v>160.65395320405327</v>
      </c>
      <c r="H28" s="85">
        <f ca="1">SUM(G$5:G28)/SUM(F$5:F28)-1</f>
        <v>0.70022251646946909</v>
      </c>
      <c r="I28" s="85">
        <f ca="1">H28*'Scenario Picker'!$B$10</f>
        <v>0.35011125823473455</v>
      </c>
      <c r="J28" s="20">
        <f t="shared" ca="1" si="0"/>
        <v>0.2</v>
      </c>
      <c r="K28" s="20">
        <f t="shared" ca="1" si="1"/>
        <v>6.1651767654942046E-4</v>
      </c>
    </row>
    <row r="29" spans="1:11" x14ac:dyDescent="0.35">
      <c r="A29" s="13">
        <v>2047</v>
      </c>
      <c r="B29" s="85">
        <f ca="1">'Model - Demand'!I29-'Model - Supply'!AH29</f>
        <v>90.429874163302884</v>
      </c>
      <c r="C29" s="85">
        <f ca="1">'Model - Demand'!Q29-'Model - Supply'!AI29</f>
        <v>-9.8454697633494419</v>
      </c>
      <c r="D29" s="86">
        <f ca="1">B29/'Model - Demand'!I29</f>
        <v>0.27779453143200405</v>
      </c>
      <c r="E29" s="86">
        <f ca="1">C29/'Model - Demand'!Q29</f>
        <v>-0.13465156109331036</v>
      </c>
      <c r="F29" s="85">
        <f>'Static Parameters'!C64</f>
        <v>89.691053795454565</v>
      </c>
      <c r="G29" s="85">
        <f ca="1">G28+SUM('Model - Supply'!T28:V28)</f>
        <v>161.48173716892452</v>
      </c>
      <c r="H29" s="85">
        <f ca="1">SUM(G$5:G29)/SUM(F$5:F29)-1</f>
        <v>0.70587851461435402</v>
      </c>
      <c r="I29" s="85">
        <f ca="1">H29*'Scenario Picker'!$B$10</f>
        <v>0.35293925730717701</v>
      </c>
      <c r="J29" s="20">
        <f t="shared" ca="1" si="0"/>
        <v>0.2</v>
      </c>
      <c r="K29" s="20">
        <f t="shared" ca="1" si="1"/>
        <v>-0.13465156109331036</v>
      </c>
    </row>
    <row r="30" spans="1:11" x14ac:dyDescent="0.35">
      <c r="A30" s="13">
        <v>2048</v>
      </c>
      <c r="B30" s="85">
        <f ca="1">'Model - Demand'!I30-'Model - Supply'!AH30</f>
        <v>83.270182874030326</v>
      </c>
      <c r="C30" s="85">
        <f ca="1">'Model - Demand'!Q30-'Model - Supply'!AI30</f>
        <v>-19.5521898409906</v>
      </c>
      <c r="D30" s="86">
        <f ca="1">B30/'Model - Demand'!I30</f>
        <v>0.24897021986137402</v>
      </c>
      <c r="E30" s="86">
        <f ca="1">C30/'Model - Demand'!Q30</f>
        <v>-0.32301368701351674</v>
      </c>
      <c r="F30" s="85">
        <f>'Static Parameters'!C65</f>
        <v>89.691053795454565</v>
      </c>
      <c r="G30" s="85">
        <f ca="1">G29+SUM('Model - Supply'!T29:V29)</f>
        <v>162.13681651948923</v>
      </c>
      <c r="H30" s="85">
        <f ca="1">SUM(G$5:G30)/SUM(F$5:F30)-1</f>
        <v>0.71132034565549951</v>
      </c>
      <c r="I30" s="85">
        <f ca="1">H30*'Scenario Picker'!$B$10</f>
        <v>0.35566017282774975</v>
      </c>
      <c r="J30" s="20">
        <f t="shared" ca="1" si="0"/>
        <v>0.2</v>
      </c>
      <c r="K30" s="20">
        <f t="shared" ca="1" si="1"/>
        <v>-0.32301368701351674</v>
      </c>
    </row>
    <row r="31" spans="1:11" x14ac:dyDescent="0.35">
      <c r="A31" s="13">
        <v>2049</v>
      </c>
      <c r="B31" s="85">
        <f ca="1">'Model - Demand'!I31-'Model - Supply'!AH31</f>
        <v>72.486660982273804</v>
      </c>
      <c r="C31" s="85">
        <f ca="1">'Model - Demand'!Q31-'Model - Supply'!AI31</f>
        <v>-28.543622764449466</v>
      </c>
      <c r="D31" s="86">
        <f ca="1">B31/'Model - Demand'!I31</f>
        <v>0.21118735367105373</v>
      </c>
      <c r="E31" s="86">
        <f ca="1">C31/'Model - Demand'!Q31</f>
        <v>-0.59939604783740119</v>
      </c>
      <c r="F31" s="85">
        <f>'Static Parameters'!C66</f>
        <v>89.691053795454565</v>
      </c>
      <c r="G31" s="85">
        <f ca="1">G30+SUM('Model - Supply'!T30:V30)</f>
        <v>162.64478672207704</v>
      </c>
      <c r="H31" s="85">
        <f ca="1">SUM(G$5:G31)/SUM(F$5:F31)-1</f>
        <v>0.71649740625063041</v>
      </c>
      <c r="I31" s="85">
        <f ca="1">H31*'Scenario Picker'!$B$10</f>
        <v>0.3582487031253152</v>
      </c>
      <c r="J31" s="20">
        <f t="shared" ca="1" si="0"/>
        <v>0.2</v>
      </c>
      <c r="K31" s="20">
        <f t="shared" ca="1" si="1"/>
        <v>-0.59939604783740119</v>
      </c>
    </row>
    <row r="32" spans="1:11" x14ac:dyDescent="0.35">
      <c r="A32" s="13">
        <v>2050</v>
      </c>
      <c r="B32" s="85">
        <f ca="1">'Model - Demand'!I32-'Model - Supply'!AH32</f>
        <v>53.971182086672968</v>
      </c>
      <c r="C32" s="85">
        <f ca="1">'Model - Demand'!Q32-'Model - Supply'!AI32</f>
        <v>-21.776055012889117</v>
      </c>
      <c r="D32" s="86">
        <f ca="1">B32/'Model - Demand'!I32</f>
        <v>0.15534332510420412</v>
      </c>
      <c r="E32" s="86">
        <f ca="1">C32/'Model - Demand'!Q32</f>
        <v>-0.45175694780026454</v>
      </c>
      <c r="F32" s="85">
        <f>'Static Parameters'!C67</f>
        <v>89.691053795454565</v>
      </c>
      <c r="G32" s="85">
        <f ca="1">G31+SUM('Model - Supply'!T31:V31)</f>
        <v>163.0293668238119</v>
      </c>
      <c r="H32" s="85">
        <f ca="1">SUM(G$5:G32)/SUM(F$5:F32)-1</f>
        <v>0.7213816299966016</v>
      </c>
      <c r="I32" s="85">
        <f ca="1">H32*'Scenario Picker'!$B$10</f>
        <v>0.3606908149983008</v>
      </c>
      <c r="J32" s="20">
        <f t="shared" ca="1" si="0"/>
        <v>0.15534332510420412</v>
      </c>
      <c r="K32" s="20">
        <f t="shared" ca="1" si="1"/>
        <v>-0.45175694780026454</v>
      </c>
    </row>
    <row r="33" spans="1:11" x14ac:dyDescent="0.35">
      <c r="A33" s="13">
        <v>2051</v>
      </c>
      <c r="B33" s="85">
        <f ca="1">'Model - Demand'!I33-'Model - Supply'!AH33</f>
        <v>30.252181141391645</v>
      </c>
      <c r="C33" s="85">
        <f ca="1">'Model - Demand'!Q33-'Model - Supply'!AI33</f>
        <v>-16.262209071042051</v>
      </c>
      <c r="D33" s="86">
        <f ca="1">B33/'Model - Demand'!I33</f>
        <v>8.6027304951852443E-2</v>
      </c>
      <c r="E33" s="86">
        <f ca="1">C33/'Model - Demand'!Q33</f>
        <v>-0.3333144442772854</v>
      </c>
      <c r="F33" s="85">
        <f>'Static Parameters'!C68</f>
        <v>89.691053795454565</v>
      </c>
      <c r="G33" s="85">
        <f ca="1">G32+SUM('Model - Supply'!T32:V32)</f>
        <v>163.31318743815342</v>
      </c>
      <c r="H33" s="85">
        <f ca="1">SUM(G$5:G33)/SUM(F$5:F33)-1</f>
        <v>0.72596173948406917</v>
      </c>
      <c r="I33" s="85">
        <f ca="1">H33*'Scenario Picker'!$B$10</f>
        <v>0.36298086974203458</v>
      </c>
      <c r="J33" s="20">
        <f t="shared" ca="1" si="0"/>
        <v>8.6027304951852443E-2</v>
      </c>
      <c r="K33" s="20">
        <f t="shared" ca="1" si="1"/>
        <v>-0.3333144442772854</v>
      </c>
    </row>
    <row r="34" spans="1:11" x14ac:dyDescent="0.35">
      <c r="A34" s="13">
        <v>2052</v>
      </c>
      <c r="B34" s="85">
        <f ca="1">'Model - Demand'!I34-'Model - Supply'!AH34</f>
        <v>9.2403613419800195</v>
      </c>
      <c r="C34" s="85">
        <f ca="1">'Model - Demand'!Q34-'Model - Supply'!AI34</f>
        <v>-11.883860951045101</v>
      </c>
      <c r="D34" s="86">
        <f ca="1">B34/'Model - Demand'!I34</f>
        <v>2.5962876976956473E-2</v>
      </c>
      <c r="E34" s="86">
        <f ca="1">C34/'Model - Demand'!Q34</f>
        <v>-0.24066691518474032</v>
      </c>
      <c r="F34" s="85">
        <f>'Static Parameters'!C69</f>
        <v>89.691053795454565</v>
      </c>
      <c r="G34" s="85">
        <f ca="1">G33+SUM('Model - Supply'!T33:V33)</f>
        <v>163.51671282101634</v>
      </c>
      <c r="H34" s="85">
        <f ca="1">SUM(G$5:G34)/SUM(F$5:F34)-1</f>
        <v>0.73023848751768128</v>
      </c>
      <c r="I34" s="85">
        <f ca="1">H34*'Scenario Picker'!$B$10</f>
        <v>0.36511924375884064</v>
      </c>
      <c r="J34" s="20">
        <f t="shared" ca="1" si="0"/>
        <v>2.5962876976956473E-2</v>
      </c>
      <c r="K34" s="20">
        <f t="shared" ca="1" si="1"/>
        <v>-0.24066691518474032</v>
      </c>
    </row>
    <row r="35" spans="1:11" x14ac:dyDescent="0.35">
      <c r="A35" s="13">
        <v>2053</v>
      </c>
      <c r="B35" s="85">
        <f ca="1">'Model - Demand'!I35-'Model - Supply'!AH35</f>
        <v>-2.8363553722535926</v>
      </c>
      <c r="C35" s="85">
        <f ca="1">'Model - Demand'!Q35-'Model - Supply'!AI35</f>
        <v>-8.4364731361354117</v>
      </c>
      <c r="D35" s="86">
        <f ca="1">B35/'Model - Demand'!I35</f>
        <v>-7.8750152998893382E-3</v>
      </c>
      <c r="E35" s="86">
        <f ca="1">C35/'Model - Demand'!Q35</f>
        <v>-0.16882884890960206</v>
      </c>
      <c r="F35" s="85">
        <f>'Static Parameters'!C70</f>
        <v>89.691053795454565</v>
      </c>
      <c r="G35" s="85">
        <f ca="1">G34+SUM('Model - Supply'!T34:V34)</f>
        <v>163.65432126672957</v>
      </c>
      <c r="H35" s="85">
        <f ca="1">SUM(G$5:G35)/SUM(F$5:F35)-1</f>
        <v>0.73421925957975254</v>
      </c>
      <c r="I35" s="85">
        <f ca="1">H35*'Scenario Picker'!$B$10</f>
        <v>0.36710962978987627</v>
      </c>
      <c r="J35" s="20">
        <f t="shared" ca="1" si="0"/>
        <v>-7.8750152998893382E-3</v>
      </c>
      <c r="K35" s="20">
        <f t="shared" ca="1" si="1"/>
        <v>-0.16882884890960206</v>
      </c>
    </row>
    <row r="36" spans="1:11" x14ac:dyDescent="0.35">
      <c r="A36" s="13">
        <v>2054</v>
      </c>
      <c r="B36" s="85">
        <f ca="1">'Model - Demand'!I36-'Model - Supply'!AH36</f>
        <v>-4.57484549495598</v>
      </c>
      <c r="C36" s="85">
        <f ca="1">'Model - Demand'!Q36-'Model - Supply'!AI36</f>
        <v>-5.7926668070898799</v>
      </c>
      <c r="D36" s="86">
        <f ca="1">B36/'Model - Demand'!I36</f>
        <v>-1.2552864373858909E-2</v>
      </c>
      <c r="E36" s="86">
        <f ca="1">C36/'Model - Demand'!Q36</f>
        <v>-0.11456182478996592</v>
      </c>
      <c r="F36" s="85">
        <f>'Static Parameters'!C71</f>
        <v>89.691053795454565</v>
      </c>
      <c r="G36" s="85">
        <f ca="1">G35+SUM('Model - Supply'!T35:V35)</f>
        <v>163.7419582357972</v>
      </c>
      <c r="H36" s="85">
        <f ca="1">SUM(G$5:G36)/SUM(F$5:F36)-1</f>
        <v>0.73791743899019568</v>
      </c>
      <c r="I36" s="85">
        <f ca="1">H36*'Scenario Picker'!$B$10</f>
        <v>0.36895871949509784</v>
      </c>
      <c r="J36" s="20">
        <f t="shared" ca="1" si="0"/>
        <v>-1.2552864373858909E-2</v>
      </c>
      <c r="K36" s="20">
        <f t="shared" ca="1" si="1"/>
        <v>-0.11456182478996592</v>
      </c>
    </row>
    <row r="37" spans="1:11" x14ac:dyDescent="0.35">
      <c r="A37" s="13">
        <v>2055</v>
      </c>
      <c r="B37" s="85">
        <f ca="1">'Model - Demand'!I37-'Model - Supply'!AH37</f>
        <v>1.204313195961447</v>
      </c>
      <c r="C37" s="85">
        <f ca="1">'Model - Demand'!Q37-'Model - Supply'!AI37</f>
        <v>-3.7904249900095195</v>
      </c>
      <c r="D37" s="86">
        <f ca="1">B37/'Model - Demand'!I37</f>
        <v>3.2661723423966348E-3</v>
      </c>
      <c r="E37" s="86">
        <f ca="1">C37/'Model - Demand'!Q37</f>
        <v>-7.4093912351491098E-2</v>
      </c>
      <c r="F37" s="85">
        <f>'Static Parameters'!C72</f>
        <v>89.691053795454565</v>
      </c>
      <c r="G37" s="85">
        <f ca="1">G36+SUM('Model - Supply'!T36:V36)</f>
        <v>163.79578309409939</v>
      </c>
      <c r="H37" s="85">
        <f ca="1">SUM(G$5:G37)/SUM(F$5:F37)-1</f>
        <v>0.74135133346165816</v>
      </c>
      <c r="I37" s="85">
        <f ca="1">H37*'Scenario Picker'!$B$10</f>
        <v>0.37067566673082908</v>
      </c>
      <c r="J37" s="20">
        <f t="shared" ca="1" si="0"/>
        <v>3.2661723423966348E-3</v>
      </c>
      <c r="K37" s="20">
        <f t="shared" ca="1" si="1"/>
        <v>-7.4093912351491098E-2</v>
      </c>
    </row>
    <row r="38" spans="1:11" x14ac:dyDescent="0.35">
      <c r="A38" s="13">
        <v>2056</v>
      </c>
      <c r="B38" s="85">
        <f ca="1">'Model - Demand'!I38-'Model - Supply'!AH38</f>
        <v>9.1399622967819596</v>
      </c>
      <c r="C38" s="85">
        <f ca="1">'Model - Demand'!Q38-'Model - Supply'!AI38</f>
        <v>-2.2800773458044006</v>
      </c>
      <c r="D38" s="86">
        <f ca="1">B38/'Model - Demand'!I38</f>
        <v>2.4503986470990044E-2</v>
      </c>
      <c r="E38" s="86">
        <f ca="1">C38/'Model - Demand'!Q38</f>
        <v>-4.4059228493986864E-2</v>
      </c>
      <c r="F38" s="85">
        <f>'Static Parameters'!C73</f>
        <v>89.691053795454565</v>
      </c>
      <c r="G38" s="85">
        <f ca="1">G37+SUM('Model - Supply'!T37:V37)</f>
        <v>163.82860262438354</v>
      </c>
      <c r="H38" s="85">
        <f ca="1">SUM(G$5:G38)/SUM(F$5:F38)-1</f>
        <v>0.74454185431282949</v>
      </c>
      <c r="I38" s="85">
        <f ca="1">H38*'Scenario Picker'!$B$10</f>
        <v>0.37227092715641474</v>
      </c>
      <c r="J38" s="20">
        <f t="shared" ca="1" si="0"/>
        <v>2.4503986470990044E-2</v>
      </c>
      <c r="K38" s="20">
        <f t="shared" ca="1" si="1"/>
        <v>-4.4059228493986864E-2</v>
      </c>
    </row>
    <row r="39" spans="1:11" x14ac:dyDescent="0.35">
      <c r="A39" s="13">
        <v>2057</v>
      </c>
      <c r="B39" s="85">
        <f ca="1">'Model - Demand'!I39-'Model - Supply'!AH39</f>
        <v>14.367283686815881</v>
      </c>
      <c r="C39" s="85">
        <f ca="1">'Model - Demand'!Q39-'Model - Supply'!AI39</f>
        <v>-1.1405748981816188</v>
      </c>
      <c r="D39" s="86">
        <f ca="1">B39/'Model - Demand'!I39</f>
        <v>3.8082394614052092E-2</v>
      </c>
      <c r="E39" s="86">
        <f ca="1">C39/'Model - Demand'!Q39</f>
        <v>-2.1790558419292651E-2</v>
      </c>
      <c r="F39" s="85">
        <f>'Static Parameters'!C74</f>
        <v>89.691053795454565</v>
      </c>
      <c r="G39" s="85">
        <f ca="1">G38+SUM('Model - Supply'!T38:V38)</f>
        <v>163.84888745880249</v>
      </c>
      <c r="H39" s="85">
        <f ca="1">SUM(G$5:G39)/SUM(F$5:F39)-1</f>
        <v>0.7475103024284655</v>
      </c>
      <c r="I39" s="85">
        <f ca="1">H39*'Scenario Picker'!$B$10</f>
        <v>0.37375515121423275</v>
      </c>
      <c r="J39" s="20">
        <f t="shared" ca="1" si="0"/>
        <v>3.8082394614052092E-2</v>
      </c>
      <c r="K39" s="20">
        <f t="shared" ca="1" si="1"/>
        <v>-2.1790558419292651E-2</v>
      </c>
    </row>
    <row r="40" spans="1:11" x14ac:dyDescent="0.35">
      <c r="A40" s="13">
        <v>2058</v>
      </c>
      <c r="B40" s="85">
        <f ca="1">'Model - Demand'!I40-'Model - Supply'!AH40</f>
        <v>15.054922168584426</v>
      </c>
      <c r="C40" s="85">
        <f ca="1">'Model - Demand'!Q40-'Model - Supply'!AI40</f>
        <v>-0.27905899252917976</v>
      </c>
      <c r="D40" s="86">
        <f ca="1">B40/'Model - Demand'!I40</f>
        <v>3.9459940240036039E-2</v>
      </c>
      <c r="E40" s="86">
        <f ca="1">C40/'Model - Demand'!Q40</f>
        <v>-5.2719210678049289E-3</v>
      </c>
      <c r="F40" s="85">
        <f>'Static Parameters'!C75</f>
        <v>89.691053795454565</v>
      </c>
      <c r="G40" s="85">
        <f ca="1">G39+SUM('Model - Supply'!T39:V39)</f>
        <v>163.86166269316445</v>
      </c>
      <c r="H40" s="85">
        <f ca="1">SUM(G$5:G40)/SUM(F$5:F40)-1</f>
        <v>0.7502769626316701</v>
      </c>
      <c r="I40" s="85">
        <f ca="1">H40*'Scenario Picker'!$B$10</f>
        <v>0.37513848131583505</v>
      </c>
      <c r="J40" s="20">
        <f t="shared" ca="1" si="0"/>
        <v>3.9459940240036039E-2</v>
      </c>
      <c r="K40" s="20">
        <f t="shared" ca="1" si="1"/>
        <v>-5.2719210678049289E-3</v>
      </c>
    </row>
    <row r="41" spans="1:11" x14ac:dyDescent="0.35">
      <c r="A41" s="13">
        <v>2059</v>
      </c>
      <c r="B41" s="85">
        <f ca="1">'Model - Demand'!I41-'Model - Supply'!AH41</f>
        <v>12.449277727315575</v>
      </c>
      <c r="C41" s="85">
        <f ca="1">'Model - Demand'!Q41-'Model - Supply'!AI41</f>
        <v>0.37428388024435577</v>
      </c>
      <c r="D41" s="86">
        <f ca="1">B41/'Model - Demand'!I41</f>
        <v>3.2272058342175995E-2</v>
      </c>
      <c r="E41" s="86">
        <f ca="1">C41/'Model - Demand'!Q41</f>
        <v>6.9932427270273734E-3</v>
      </c>
      <c r="F41" s="85">
        <f>'Static Parameters'!C76</f>
        <v>89.691053795454565</v>
      </c>
      <c r="G41" s="85">
        <f ca="1">G40+SUM('Model - Supply'!T40:V40)</f>
        <v>163.86979870664308</v>
      </c>
      <c r="H41" s="85">
        <f ca="1">SUM(G$5:G41)/SUM(F$5:F41)-1</f>
        <v>0.75286046619189784</v>
      </c>
      <c r="I41" s="85">
        <f ca="1">H41*'Scenario Picker'!$B$10</f>
        <v>0.37643023309594892</v>
      </c>
      <c r="J41" s="20">
        <f t="shared" ca="1" si="0"/>
        <v>3.2272058342175995E-2</v>
      </c>
      <c r="K41" s="20">
        <f t="shared" ca="1" si="1"/>
        <v>6.9932427270273734E-3</v>
      </c>
    </row>
    <row r="42" spans="1:11" x14ac:dyDescent="0.35">
      <c r="A42" s="13">
        <v>2060</v>
      </c>
      <c r="B42" s="85">
        <f ca="1">'Model - Demand'!I42-'Model - Supply'!AH42</f>
        <v>9.0093466462899414</v>
      </c>
      <c r="C42" s="85">
        <f ca="1">'Model - Demand'!Q42-'Model - Supply'!AI42</f>
        <v>0.87135823294927661</v>
      </c>
      <c r="D42" s="86">
        <f ca="1">B42/'Model - Demand'!I42</f>
        <v>2.310263165222616E-2</v>
      </c>
      <c r="E42" s="86">
        <f ca="1">C42/'Model - Demand'!Q42</f>
        <v>1.6104967923896523E-2</v>
      </c>
      <c r="F42" s="85">
        <f>'Static Parameters'!C77</f>
        <v>89.691053795454565</v>
      </c>
      <c r="G42" s="85">
        <f ca="1">G41+SUM('Model - Supply'!T41:V41)</f>
        <v>163.87497736674217</v>
      </c>
      <c r="H42" s="85">
        <f ca="1">SUM(G$5:G42)/SUM(F$5:F42)-1</f>
        <v>0.75527762858148773</v>
      </c>
      <c r="I42" s="85">
        <f ca="1">H42*'Scenario Picker'!$B$10</f>
        <v>0.37763881429074386</v>
      </c>
      <c r="J42" s="20">
        <f t="shared" ca="1" si="0"/>
        <v>2.310263165222616E-2</v>
      </c>
      <c r="K42" s="20">
        <f t="shared" ca="1" si="1"/>
        <v>1.6104967923896523E-2</v>
      </c>
    </row>
    <row r="43" spans="1:11" x14ac:dyDescent="0.35">
      <c r="A43" s="13">
        <v>2061</v>
      </c>
      <c r="B43" s="85">
        <f ca="1">'Model - Demand'!I43-'Model - Supply'!AH43</f>
        <v>6.663971335853887</v>
      </c>
      <c r="C43" s="85">
        <f ca="1">'Model - Demand'!Q43-'Model - Supply'!AI43</f>
        <v>1.2505992507628818</v>
      </c>
      <c r="D43" s="86">
        <f ca="1">B43/'Model - Demand'!I43</f>
        <v>1.6907241270251373E-2</v>
      </c>
      <c r="E43" s="86">
        <f ca="1">C43/'Model - Demand'!Q43</f>
        <v>2.2869294266344632E-2</v>
      </c>
      <c r="F43" s="85">
        <f>'Static Parameters'!C78</f>
        <v>89.691053795454565</v>
      </c>
      <c r="G43" s="85">
        <f ca="1">G42+SUM('Model - Supply'!T42:V42)</f>
        <v>163.87824512964534</v>
      </c>
      <c r="H43" s="85">
        <f ca="1">SUM(G$5:G43)/SUM(F$5:F43)-1</f>
        <v>0.75754351236399153</v>
      </c>
      <c r="I43" s="85">
        <f ca="1">H43*'Scenario Picker'!$B$10</f>
        <v>0.37877175618199577</v>
      </c>
      <c r="J43" s="20">
        <f t="shared" ca="1" si="0"/>
        <v>1.6907241270251373E-2</v>
      </c>
      <c r="K43" s="20">
        <f t="shared" ca="1" si="1"/>
        <v>2.2869294266344632E-2</v>
      </c>
    </row>
    <row r="44" spans="1:11" x14ac:dyDescent="0.35">
      <c r="A44" s="13">
        <v>2062</v>
      </c>
      <c r="B44" s="85">
        <f ca="1">'Model - Demand'!I44-'Model - Supply'!AH44</f>
        <v>6.1024589006951828</v>
      </c>
      <c r="C44" s="85">
        <f ca="1">'Model - Demand'!Q44-'Model - Supply'!AI44</f>
        <v>1.5401045566643319</v>
      </c>
      <c r="D44" s="86">
        <f ca="1">B44/'Model - Demand'!I44</f>
        <v>1.5321705997857323E-2</v>
      </c>
      <c r="E44" s="86">
        <f ca="1">C44/'Model - Demand'!Q44</f>
        <v>2.7870671721169242E-2</v>
      </c>
      <c r="F44" s="85">
        <f>'Static Parameters'!C79</f>
        <v>89.691053795454565</v>
      </c>
      <c r="G44" s="85">
        <f ca="1">G43+SUM('Model - Supply'!T43:V43)</f>
        <v>163.88028544992218</v>
      </c>
      <c r="H44" s="85">
        <f ca="1">SUM(G$5:G44)/SUM(F$5:F44)-1</f>
        <v>0.75967157138532482</v>
      </c>
      <c r="I44" s="85">
        <f ca="1">H44*'Scenario Picker'!$B$10</f>
        <v>0.37983578569266241</v>
      </c>
      <c r="J44" s="20">
        <f t="shared" ca="1" si="0"/>
        <v>1.5321705997857323E-2</v>
      </c>
      <c r="K44" s="20">
        <f t="shared" ca="1" si="1"/>
        <v>2.7870671721169242E-2</v>
      </c>
    </row>
    <row r="45" spans="1:11" x14ac:dyDescent="0.35">
      <c r="A45" s="13">
        <v>2063</v>
      </c>
      <c r="B45" s="85">
        <f ca="1">'Model - Demand'!I45-'Model - Supply'!AH45</f>
        <v>6.9198934452278991</v>
      </c>
      <c r="C45" s="85">
        <f ca="1">'Model - Demand'!Q45-'Model - Supply'!AI45</f>
        <v>1.7615894603364453</v>
      </c>
      <c r="D45" s="86">
        <f ca="1">B45/'Model - Demand'!I45</f>
        <v>1.7197239641578287E-2</v>
      </c>
      <c r="E45" s="86">
        <f ca="1">C45/'Model - Demand'!Q45</f>
        <v>3.155433326042114E-2</v>
      </c>
      <c r="F45" s="85">
        <f>'Static Parameters'!C80</f>
        <v>89.691053795454565</v>
      </c>
      <c r="G45" s="85">
        <f ca="1">G44+SUM('Model - Supply'!T44:V44)</f>
        <v>163.88154972608586</v>
      </c>
      <c r="H45" s="85">
        <f ca="1">SUM(G$5:G45)/SUM(F$5:F45)-1</f>
        <v>0.76167381260706524</v>
      </c>
      <c r="I45" s="85">
        <f ca="1">H45*'Scenario Picker'!$B$10</f>
        <v>0.38083690630353262</v>
      </c>
      <c r="J45" s="20">
        <f t="shared" ca="1" si="0"/>
        <v>1.7197239641578287E-2</v>
      </c>
      <c r="K45" s="20">
        <f t="shared" ca="1" si="1"/>
        <v>3.155433326042114E-2</v>
      </c>
    </row>
    <row r="46" spans="1:11" x14ac:dyDescent="0.35">
      <c r="A46" s="13">
        <v>2064</v>
      </c>
      <c r="B46" s="85">
        <f ca="1">'Model - Demand'!I46-'Model - Supply'!AH46</f>
        <v>8.1951870675965779</v>
      </c>
      <c r="C46" s="85">
        <f ca="1">'Model - Demand'!Q46-'Model - Supply'!AI46</f>
        <v>1.9307698980868437</v>
      </c>
      <c r="D46" s="86">
        <f ca="1">B46/'Model - Demand'!I46</f>
        <v>2.0163940796367807E-2</v>
      </c>
      <c r="E46" s="86">
        <f ca="1">C46/'Model - Demand'!Q46</f>
        <v>3.4240652346857962E-2</v>
      </c>
      <c r="F46" s="85">
        <f>'Static Parameters'!C81</f>
        <v>89.691053795454565</v>
      </c>
      <c r="G46" s="85">
        <f ca="1">G45+SUM('Model - Supply'!T45:V45)</f>
        <v>163.88233083828914</v>
      </c>
      <c r="H46" s="85">
        <f ca="1">SUM(G$5:G46)/SUM(F$5:F46)-1</f>
        <v>0.76356095358724363</v>
      </c>
      <c r="I46" s="85">
        <f ca="1">H46*'Scenario Picker'!$B$10</f>
        <v>0.38178047679362181</v>
      </c>
      <c r="J46" s="20">
        <f t="shared" ca="1" si="0"/>
        <v>2.0163940796367807E-2</v>
      </c>
      <c r="K46" s="20">
        <f t="shared" ca="1" si="1"/>
        <v>3.4240652346857962E-2</v>
      </c>
    </row>
    <row r="47" spans="1:11" x14ac:dyDescent="0.35">
      <c r="A47" s="13">
        <v>2065</v>
      </c>
      <c r="B47" s="85">
        <f ca="1">'Model - Demand'!I47-'Model - Supply'!AH47</f>
        <v>9.1156229527499022</v>
      </c>
      <c r="C47" s="85">
        <f ca="1">'Model - Demand'!Q47-'Model - Supply'!AI47</f>
        <v>2.0591190589002224</v>
      </c>
      <c r="D47" s="86">
        <f ca="1">B47/'Model - Demand'!I47</f>
        <v>2.2210862757459995E-2</v>
      </c>
      <c r="E47" s="86">
        <f ca="1">C47/'Model - Demand'!Q47</f>
        <v>3.6162254843827242E-2</v>
      </c>
      <c r="F47" s="85">
        <f>'Static Parameters'!C82</f>
        <v>89.691053795454565</v>
      </c>
      <c r="G47" s="85">
        <f ca="1">G46+SUM('Model - Supply'!T46:V46)</f>
        <v>163.88281376045958</v>
      </c>
      <c r="H47" s="85">
        <f ca="1">SUM(G$5:G47)/SUM(F$5:F47)-1</f>
        <v>0.76534256930499112</v>
      </c>
      <c r="I47" s="85">
        <f ca="1">H47*'Scenario Picker'!$B$10</f>
        <v>0.38267128465249556</v>
      </c>
      <c r="J47" s="20">
        <f t="shared" ca="1" si="0"/>
        <v>2.2210862757459995E-2</v>
      </c>
      <c r="K47" s="20">
        <f t="shared" ca="1" si="1"/>
        <v>3.6162254843827242E-2</v>
      </c>
    </row>
    <row r="48" spans="1:11" x14ac:dyDescent="0.35">
      <c r="A48" s="13">
        <v>2066</v>
      </c>
      <c r="B48" s="85">
        <f ca="1">'Model - Demand'!I48-'Model - Supply'!AH48</f>
        <v>9.3337187898972616</v>
      </c>
      <c r="C48" s="85">
        <f ca="1">'Model - Demand'!Q48-'Model - Supply'!AI48</f>
        <v>2.1550936126405063</v>
      </c>
      <c r="D48" s="86">
        <f ca="1">B48/'Model - Demand'!I48</f>
        <v>2.25272145002961E-2</v>
      </c>
      <c r="E48" s="86">
        <f ca="1">C48/'Model - Demand'!Q48</f>
        <v>3.748986621861039E-2</v>
      </c>
      <c r="F48" s="85">
        <f>'Static Parameters'!C83</f>
        <v>89.691053795454565</v>
      </c>
      <c r="G48" s="85">
        <f ca="1">G47+SUM('Model - Supply'!T47:V47)</f>
        <v>163.88311287000755</v>
      </c>
      <c r="H48" s="85">
        <f ca="1">SUM(G$5:G48)/SUM(F$5:F48)-1</f>
        <v>0.76702722632114839</v>
      </c>
      <c r="I48" s="85">
        <f ca="1">H48*'Scenario Picker'!$B$10</f>
        <v>0.3835136131605742</v>
      </c>
      <c r="J48" s="20">
        <f t="shared" ca="1" si="0"/>
        <v>2.25272145002961E-2</v>
      </c>
      <c r="K48" s="20">
        <f t="shared" ca="1" si="1"/>
        <v>3.748986621861039E-2</v>
      </c>
    </row>
    <row r="49" spans="1:11" x14ac:dyDescent="0.35">
      <c r="A49" s="13">
        <v>2067</v>
      </c>
      <c r="B49" s="85">
        <f ca="1">'Model - Demand'!I49-'Model - Supply'!AH49</f>
        <v>8.9646098959344727</v>
      </c>
      <c r="C49" s="85">
        <f ca="1">'Model - Demand'!Q49-'Model - Supply'!AI49</f>
        <v>2.225260559627479</v>
      </c>
      <c r="D49" s="86">
        <f ca="1">B49/'Model - Demand'!I49</f>
        <v>2.1437454193754646E-2</v>
      </c>
      <c r="E49" s="86">
        <f ca="1">C49/'Model - Demand'!Q49</f>
        <v>3.8354617251331539E-2</v>
      </c>
      <c r="F49" s="85">
        <f>'Static Parameters'!C84</f>
        <v>89.691053795454565</v>
      </c>
      <c r="G49" s="85">
        <f ca="1">G48+SUM('Model - Supply'!T48:V48)</f>
        <v>163.88329831081529</v>
      </c>
      <c r="H49" s="85">
        <f ca="1">SUM(G$5:G49)/SUM(F$5:F49)-1</f>
        <v>0.76862260338924249</v>
      </c>
      <c r="I49" s="85">
        <f ca="1">H49*'Scenario Picker'!$B$10</f>
        <v>0.38431130169462124</v>
      </c>
      <c r="J49" s="20">
        <f t="shared" ca="1" si="0"/>
        <v>2.1437454193754646E-2</v>
      </c>
      <c r="K49" s="20">
        <f t="shared" ca="1" si="1"/>
        <v>3.8354617251331539E-2</v>
      </c>
    </row>
    <row r="50" spans="1:11" x14ac:dyDescent="0.35">
      <c r="A50" s="13">
        <v>2068</v>
      </c>
      <c r="B50" s="85">
        <f ca="1">'Model - Demand'!I50-'Model - Supply'!AH50</f>
        <v>8.3480736011419481</v>
      </c>
      <c r="C50" s="85">
        <f ca="1">'Model - Demand'!Q50-'Model - Supply'!AI50</f>
        <v>2.2741804757454176</v>
      </c>
      <c r="D50" s="86">
        <f ca="1">B50/'Model - Demand'!I50</f>
        <v>1.9785150063333479E-2</v>
      </c>
      <c r="E50" s="86">
        <f ca="1">C50/'Model - Demand'!Q50</f>
        <v>3.8848385497819674E-2</v>
      </c>
      <c r="F50" s="85">
        <f>'Static Parameters'!C85</f>
        <v>89.691053795454565</v>
      </c>
      <c r="G50" s="85">
        <f ca="1">G49+SUM('Model - Supply'!T49:V49)</f>
        <v>163.88341321062651</v>
      </c>
      <c r="H50" s="85">
        <f ca="1">SUM(G$5:G50)/SUM(F$5:F50)-1</f>
        <v>0.77013559833291168</v>
      </c>
      <c r="I50" s="85">
        <f ca="1">H50*'Scenario Picker'!$B$10</f>
        <v>0.38506779916645584</v>
      </c>
      <c r="J50" s="20">
        <f t="shared" ca="1" si="0"/>
        <v>1.9785150063333479E-2</v>
      </c>
      <c r="K50" s="20">
        <f t="shared" ca="1" si="1"/>
        <v>3.8848385497819674E-2</v>
      </c>
    </row>
    <row r="51" spans="1:11" x14ac:dyDescent="0.35">
      <c r="A51" s="13">
        <v>2069</v>
      </c>
      <c r="B51" s="85">
        <f ca="1">'Model - Demand'!I51-'Model - Supply'!AH51</f>
        <v>7.7982267163322945</v>
      </c>
      <c r="C51" s="85">
        <f ca="1">'Model - Demand'!Q51-'Model - Supply'!AI51</f>
        <v>2.3054630499657875</v>
      </c>
      <c r="D51" s="86">
        <f ca="1">B51/'Model - Demand'!I51</f>
        <v>1.832262338220433E-2</v>
      </c>
      <c r="E51" s="86">
        <f ca="1">C51/'Model - Demand'!Q51</f>
        <v>3.9043157481927784E-2</v>
      </c>
      <c r="F51" s="85">
        <f>'Static Parameters'!C86</f>
        <v>89.691053795454565</v>
      </c>
      <c r="G51" s="85">
        <f ca="1">G50+SUM('Model - Supply'!T50:V50)</f>
        <v>163.88348427414834</v>
      </c>
      <c r="H51" s="85">
        <f ca="1">SUM(G$5:G51)/SUM(F$5:F51)-1</f>
        <v>0.77157242175072249</v>
      </c>
      <c r="I51" s="85">
        <f ca="1">H51*'Scenario Picker'!$B$10</f>
        <v>0.38578621087536125</v>
      </c>
      <c r="J51" s="20">
        <f t="shared" ca="1" si="0"/>
        <v>1.832262338220433E-2</v>
      </c>
      <c r="K51" s="20">
        <f t="shared" ca="1" si="1"/>
        <v>3.9043157481927784E-2</v>
      </c>
    </row>
    <row r="52" spans="1:11" x14ac:dyDescent="0.35">
      <c r="A52" s="13">
        <v>2070</v>
      </c>
      <c r="B52" s="85">
        <f ca="1">'Model - Demand'!I52-'Model - Supply'!AH52</f>
        <v>7.4649851445328181</v>
      </c>
      <c r="C52" s="85">
        <f ca="1">'Model - Demand'!Q52-'Model - Supply'!AI52</f>
        <v>2.3217658672063664</v>
      </c>
      <c r="D52" s="86">
        <f ca="1">B52/'Model - Demand'!I52</f>
        <v>1.739371188094057E-2</v>
      </c>
      <c r="E52" s="86">
        <f ca="1">C52/'Model - Demand'!Q52</f>
        <v>3.8992108029394269E-2</v>
      </c>
      <c r="F52" s="85">
        <f>'Static Parameters'!C87</f>
        <v>89.691053795454565</v>
      </c>
      <c r="G52" s="85">
        <f ca="1">G51+SUM('Model - Supply'!T51:V51)</f>
        <v>163.88352812872515</v>
      </c>
      <c r="H52" s="85">
        <f ca="1">SUM(G$5:G52)/SUM(F$5:F52)-1</f>
        <v>0.77293867864997368</v>
      </c>
      <c r="I52" s="85">
        <f ca="1">H52*'Scenario Picker'!$B$10</f>
        <v>0.38646933932498684</v>
      </c>
      <c r="J52" s="20">
        <f t="shared" ca="1" si="0"/>
        <v>1.739371188094057E-2</v>
      </c>
      <c r="K52" s="20">
        <f t="shared" ca="1" si="1"/>
        <v>3.8992108029394269E-2</v>
      </c>
    </row>
    <row r="53" spans="1:11" x14ac:dyDescent="0.35">
      <c r="A53" s="13">
        <v>2071</v>
      </c>
      <c r="B53" s="85">
        <f ca="1">'Model - Demand'!I53-'Model - Supply'!AH53</f>
        <v>7.3311231088842987</v>
      </c>
      <c r="C53" s="85">
        <f ca="1">'Model - Demand'!Q53-'Model - Supply'!AI53</f>
        <v>2.325316979715744</v>
      </c>
      <c r="D53" s="86">
        <f ca="1">B53/'Model - Demand'!I53</f>
        <v>1.6944999477637172E-2</v>
      </c>
      <c r="E53" s="86">
        <f ca="1">C53/'Model - Demand'!Q53</f>
        <v>3.8738979764047936E-2</v>
      </c>
      <c r="F53" s="85">
        <f>'Static Parameters'!C88</f>
        <v>89.691053795454565</v>
      </c>
      <c r="G53" s="85">
        <f ca="1">G52+SUM('Model - Supply'!T52:V52)</f>
        <v>163.88355514013304</v>
      </c>
      <c r="H53" s="85">
        <f ca="1">SUM(G$5:G53)/SUM(F$5:F53)-1</f>
        <v>0.77423943935887207</v>
      </c>
      <c r="I53" s="85">
        <f ca="1">H53*'Scenario Picker'!$B$10</f>
        <v>0.38711971967943604</v>
      </c>
      <c r="J53" s="20">
        <f t="shared" ca="1" si="0"/>
        <v>1.6944999477637172E-2</v>
      </c>
      <c r="K53" s="20">
        <f t="shared" ca="1" si="1"/>
        <v>3.8738979764047936E-2</v>
      </c>
    </row>
    <row r="54" spans="1:11" x14ac:dyDescent="0.35">
      <c r="A54" s="13">
        <v>2072</v>
      </c>
      <c r="B54" s="85">
        <f ca="1">'Model - Demand'!I54-'Model - Supply'!AH54</f>
        <v>7.2864792859881504</v>
      </c>
      <c r="C54" s="85">
        <f ca="1">'Model - Demand'!Q54-'Model - Supply'!AI54</f>
        <v>2.3177354445601352</v>
      </c>
      <c r="D54" s="86">
        <f ca="1">B54/'Model - Demand'!I54</f>
        <v>1.6712304913476764E-2</v>
      </c>
      <c r="E54" s="86">
        <f ca="1">C54/'Model - Demand'!Q54</f>
        <v>3.831576025360485E-2</v>
      </c>
      <c r="F54" s="85">
        <f>'Static Parameters'!C89</f>
        <v>89.691053795454565</v>
      </c>
      <c r="G54" s="85">
        <f ca="1">G53+SUM('Model - Supply'!T53:V53)</f>
        <v>163.8835717545162</v>
      </c>
      <c r="H54" s="85">
        <f ca="1">SUM(G$5:G54)/SUM(F$5:F54)-1</f>
        <v>0.77547930108938434</v>
      </c>
      <c r="I54" s="85">
        <f ca="1">H54*'Scenario Picker'!$B$10</f>
        <v>0.38773965054469217</v>
      </c>
      <c r="J54" s="20">
        <f t="shared" ca="1" si="0"/>
        <v>1.6712304913476764E-2</v>
      </c>
      <c r="K54" s="20">
        <f t="shared" ca="1" si="1"/>
        <v>3.831576025360485E-2</v>
      </c>
    </row>
    <row r="55" spans="1:11" x14ac:dyDescent="0.35">
      <c r="A55" s="13">
        <v>2073</v>
      </c>
      <c r="B55" s="85">
        <f ca="1">'Model - Demand'!I55-'Model - Supply'!AH55</f>
        <v>7.2133556376961678</v>
      </c>
      <c r="C55" s="85">
        <f ca="1">'Model - Demand'!Q55-'Model - Supply'!AI55</f>
        <v>2.2998570216357379</v>
      </c>
      <c r="D55" s="86">
        <f ca="1">B55/'Model - Demand'!I55</f>
        <v>1.6422889557289391E-2</v>
      </c>
      <c r="E55" s="86">
        <f ca="1">C55/'Model - Demand'!Q55</f>
        <v>3.7740533400017172E-2</v>
      </c>
      <c r="F55" s="85">
        <f>'Static Parameters'!C90</f>
        <v>89.691053795454565</v>
      </c>
      <c r="G55" s="85">
        <f ca="1">G54+SUM('Model - Supply'!T54:V54)</f>
        <v>163.88358196448371</v>
      </c>
      <c r="H55" s="85">
        <f ca="1">SUM(G$5:G55)/SUM(F$5:F55)-1</f>
        <v>0.77666244142446028</v>
      </c>
      <c r="I55" s="85">
        <f ca="1">H55*'Scenario Picker'!$B$10</f>
        <v>0.38833122071223014</v>
      </c>
      <c r="J55" s="20">
        <f t="shared" ca="1" si="0"/>
        <v>1.6422889557289391E-2</v>
      </c>
      <c r="K55" s="20">
        <f t="shared" ca="1" si="1"/>
        <v>3.7740533400017172E-2</v>
      </c>
    </row>
    <row r="56" spans="1:11" x14ac:dyDescent="0.35">
      <c r="A56" s="13">
        <v>2074</v>
      </c>
      <c r="B56" s="85">
        <f ca="1">'Model - Demand'!I56-'Model - Supply'!AH56</f>
        <v>7.0481947449446807</v>
      </c>
      <c r="C56" s="85">
        <f ca="1">'Model - Demand'!Q56-'Model - Supply'!AI56</f>
        <v>2.2729013403294687</v>
      </c>
      <c r="D56" s="86">
        <f ca="1">B56/'Model - Demand'!I56</f>
        <v>1.5934241670445486E-2</v>
      </c>
      <c r="E56" s="86">
        <f ca="1">C56/'Model - Demand'!Q56</f>
        <v>3.7036424896591515E-2</v>
      </c>
      <c r="F56" s="85">
        <f>'Static Parameters'!C91</f>
        <v>89.691053795454565</v>
      </c>
      <c r="G56" s="85">
        <f ca="1">G55+SUM('Model - Supply'!T55:V55)</f>
        <v>163.88358823424176</v>
      </c>
      <c r="H56" s="85">
        <f ca="1">SUM(G$5:G56)/SUM(F$5:F56)-1</f>
        <v>0.77779266485893794</v>
      </c>
      <c r="I56" s="85">
        <f ca="1">H56*'Scenario Picker'!$B$10</f>
        <v>0.38889633242946897</v>
      </c>
      <c r="J56" s="20">
        <f t="shared" ca="1" si="0"/>
        <v>1.5934241670445486E-2</v>
      </c>
      <c r="K56" s="20">
        <f t="shared" ca="1" si="1"/>
        <v>3.7036424896591515E-2</v>
      </c>
    </row>
    <row r="57" spans="1:11" x14ac:dyDescent="0.35">
      <c r="A57" s="13">
        <v>2075</v>
      </c>
      <c r="B57" s="85">
        <f ca="1">'Model - Demand'!I57-'Model - Supply'!AH57</f>
        <v>6.7868793680725616</v>
      </c>
      <c r="C57" s="85">
        <f ca="1">'Model - Demand'!Q57-'Model - Supply'!AI57</f>
        <v>2.2375372371254585</v>
      </c>
      <c r="D57" s="86">
        <f ca="1">B57/'Model - Demand'!I57</f>
        <v>1.5241087184839672E-2</v>
      </c>
      <c r="E57" s="86">
        <f ca="1">C57/'Model - Demand'!Q57</f>
        <v>3.621688196947901E-2</v>
      </c>
      <c r="F57" s="85">
        <f>'Static Parameters'!C92</f>
        <v>89.691053795454565</v>
      </c>
      <c r="G57" s="85">
        <f ca="1">G56+SUM('Model - Supply'!T56:V56)</f>
        <v>163.8835920813965</v>
      </c>
      <c r="H57" s="85">
        <f ca="1">SUM(G$5:G57)/SUM(F$5:F57)-1</f>
        <v>0.77887344337402253</v>
      </c>
      <c r="I57" s="85">
        <f ca="1">H57*'Scenario Picker'!$B$10</f>
        <v>0.38943672168701127</v>
      </c>
      <c r="J57" s="20">
        <f t="shared" ca="1" si="0"/>
        <v>1.5241087184839672E-2</v>
      </c>
      <c r="K57" s="20">
        <f t="shared" ca="1" si="1"/>
        <v>3.621688196947901E-2</v>
      </c>
    </row>
    <row r="58" spans="1:11" x14ac:dyDescent="0.35">
      <c r="A58" s="13">
        <v>2076</v>
      </c>
      <c r="B58" s="85">
        <f ca="1">'Model - Demand'!I58-'Model - Supply'!AH58</f>
        <v>6.4635395874096275</v>
      </c>
      <c r="C58" s="85">
        <f ca="1">'Model - Demand'!Q58-'Model - Supply'!AI58</f>
        <v>2.194453649161062</v>
      </c>
      <c r="D58" s="86">
        <f ca="1">B58/'Model - Demand'!I58</f>
        <v>1.4423195914835154E-2</v>
      </c>
      <c r="E58" s="86">
        <f ca="1">C58/'Model - Demand'!Q58</f>
        <v>3.5294941836612748E-2</v>
      </c>
      <c r="F58" s="85">
        <f>'Static Parameters'!C93</f>
        <v>89.691053795454565</v>
      </c>
      <c r="G58" s="85">
        <f ca="1">G57+SUM('Model - Supply'!T57:V57)</f>
        <v>163.88359443979323</v>
      </c>
      <c r="H58" s="85">
        <f ca="1">SUM(G$5:G58)/SUM(F$5:F58)-1</f>
        <v>0.77990795188711015</v>
      </c>
      <c r="I58" s="85">
        <f ca="1">H58*'Scenario Picker'!$B$10</f>
        <v>0.38995397594355508</v>
      </c>
      <c r="J58" s="20">
        <f t="shared" ca="1" si="0"/>
        <v>1.4423195914835154E-2</v>
      </c>
      <c r="K58" s="20">
        <f t="shared" ca="1" si="1"/>
        <v>3.5294941836612748E-2</v>
      </c>
    </row>
    <row r="59" spans="1:11" x14ac:dyDescent="0.35">
      <c r="A59" s="13">
        <v>2077</v>
      </c>
      <c r="B59" s="85">
        <f ca="1">'Model - Demand'!I59-'Model - Supply'!AH59</f>
        <v>6.1204988368539262</v>
      </c>
      <c r="C59" s="85">
        <f ca="1">'Model - Demand'!Q59-'Model - Supply'!AI59</f>
        <v>2.1443482544034609</v>
      </c>
      <c r="D59" s="86">
        <f ca="1">B59/'Model - Demand'!I59</f>
        <v>1.3576155387650056E-2</v>
      </c>
      <c r="E59" s="86">
        <f ca="1">C59/'Model - Demand'!Q59</f>
        <v>3.4283114388935568E-2</v>
      </c>
      <c r="F59" s="85">
        <f>'Static Parameters'!C94</f>
        <v>89.691053795454565</v>
      </c>
      <c r="G59" s="85">
        <f ca="1">G58+SUM('Model - Supply'!T58:V58)</f>
        <v>163.88359588393291</v>
      </c>
      <c r="H59" s="85">
        <f ca="1">SUM(G$5:G59)/SUM(F$5:F59)-1</f>
        <v>0.78089909929640711</v>
      </c>
      <c r="I59" s="85">
        <f ca="1">H59*'Scenario Picker'!$B$10</f>
        <v>0.39044954964820355</v>
      </c>
      <c r="J59" s="20">
        <f t="shared" ca="1" si="0"/>
        <v>1.3576155387650056E-2</v>
      </c>
      <c r="K59" s="20">
        <f t="shared" ca="1" si="1"/>
        <v>3.4283114388935568E-2</v>
      </c>
    </row>
    <row r="60" spans="1:11" x14ac:dyDescent="0.35">
      <c r="A60" s="13">
        <v>2078</v>
      </c>
      <c r="B60" s="85">
        <f ca="1">'Model - Demand'!I60-'Model - Supply'!AH60</f>
        <v>5.7860444584424613</v>
      </c>
      <c r="C60" s="85">
        <f ca="1">'Model - Demand'!Q60-'Model - Supply'!AI60</f>
        <v>2.0877863742074965</v>
      </c>
      <c r="D60" s="86">
        <f ca="1">B60/'Model - Demand'!I60</f>
        <v>1.2762176129388597E-2</v>
      </c>
      <c r="E60" s="86">
        <f ca="1">C60/'Model - Demand'!Q60</f>
        <v>3.3191279559135686E-2</v>
      </c>
      <c r="F60" s="85">
        <f>'Static Parameters'!C95</f>
        <v>89.691053795454565</v>
      </c>
      <c r="G60" s="85">
        <f ca="1">G59+SUM('Model - Supply'!T59:V59)</f>
        <v>163.88359676716067</v>
      </c>
      <c r="H60" s="85">
        <f ca="1">SUM(G$5:G60)/SUM(F$5:F60)-1</f>
        <v>0.78184955573360315</v>
      </c>
      <c r="I60" s="85">
        <f ca="1">H60*'Scenario Picker'!$B$10</f>
        <v>0.39092477786680158</v>
      </c>
      <c r="J60" s="20">
        <f t="shared" ca="1" si="0"/>
        <v>1.2762176129388597E-2</v>
      </c>
      <c r="K60" s="20">
        <f t="shared" ca="1" si="1"/>
        <v>3.3191279559135686E-2</v>
      </c>
    </row>
    <row r="61" spans="1:11" x14ac:dyDescent="0.35">
      <c r="A61" s="13">
        <v>2079</v>
      </c>
      <c r="B61" s="85">
        <f ca="1">'Model - Demand'!I61-'Model - Supply'!AH61</f>
        <v>5.4671496750640927</v>
      </c>
      <c r="C61" s="85">
        <f ca="1">'Model - Demand'!Q61-'Model - Supply'!AI61</f>
        <v>2.0251251382399573</v>
      </c>
      <c r="D61" s="86">
        <f ca="1">B61/'Model - Demand'!I61</f>
        <v>1.1995326682416473E-2</v>
      </c>
      <c r="E61" s="86">
        <f ca="1">C61/'Model - Demand'!Q61</f>
        <v>3.2025649752930853E-2</v>
      </c>
      <c r="F61" s="85">
        <f>'Static Parameters'!C96</f>
        <v>89.691053795454565</v>
      </c>
      <c r="G61" s="85">
        <f ca="1">G60+SUM('Model - Supply'!T60:V60)</f>
        <v>163.88359730666545</v>
      </c>
      <c r="H61" s="85">
        <f ca="1">SUM(G$5:G61)/SUM(F$5:F61)-1</f>
        <v>0.78276177654657753</v>
      </c>
      <c r="I61" s="85">
        <f ca="1">H61*'Scenario Picker'!$B$10</f>
        <v>0.39138088827328876</v>
      </c>
      <c r="J61" s="20">
        <f t="shared" ca="1" si="0"/>
        <v>1.1995326682416473E-2</v>
      </c>
      <c r="K61" s="20">
        <f t="shared" ca="1" si="1"/>
        <v>3.2025649752930853E-2</v>
      </c>
    </row>
    <row r="62" spans="1:11" x14ac:dyDescent="0.35">
      <c r="A62" s="13">
        <v>2080</v>
      </c>
      <c r="B62" s="85">
        <f ca="1">'Model - Demand'!I62-'Model - Supply'!AH62</f>
        <v>5.1590738439034567</v>
      </c>
      <c r="C62" s="85">
        <f ca="1">'Model - Demand'!Q62-'Model - Supply'!AI62</f>
        <v>1.9571446900609502</v>
      </c>
      <c r="D62" s="86">
        <f ca="1">B62/'Model - Demand'!I62</f>
        <v>1.126377112120441E-2</v>
      </c>
      <c r="E62" s="86">
        <f ca="1">C62/'Model - Demand'!Q62</f>
        <v>3.0798529092323262E-2</v>
      </c>
      <c r="F62" s="85">
        <f>'Static Parameters'!C97</f>
        <v>89.691053795454565</v>
      </c>
      <c r="G62" s="85">
        <f ca="1">G61+SUM('Model - Supply'!T61:V61)</f>
        <v>163.88359763580746</v>
      </c>
      <c r="H62" s="85">
        <f ca="1">SUM(G$5:G62)/SUM(F$5:F62)-1</f>
        <v>0.78363802345629097</v>
      </c>
      <c r="I62" s="85">
        <f ca="1">H62*'Scenario Picker'!$B$10</f>
        <v>0.39181901172814548</v>
      </c>
      <c r="J62" s="20">
        <f t="shared" ca="1" si="0"/>
        <v>1.126377112120441E-2</v>
      </c>
      <c r="K62" s="20">
        <f t="shared" ca="1" si="1"/>
        <v>3.0798529092323262E-2</v>
      </c>
    </row>
    <row r="63" spans="1:11" x14ac:dyDescent="0.35">
      <c r="A63" s="13">
        <v>2081</v>
      </c>
      <c r="B63" s="85">
        <f ca="1">'Model - Demand'!I63-'Model - Supply'!AH63</f>
        <v>4.8532933848110815</v>
      </c>
      <c r="C63" s="85">
        <f ca="1">'Model - Demand'!Q63-'Model - Supply'!AI63</f>
        <v>1.8845726104857761</v>
      </c>
      <c r="D63" s="86">
        <f ca="1">B63/'Model - Demand'!I63</f>
        <v>1.0547741029588406E-2</v>
      </c>
      <c r="E63" s="86">
        <f ca="1">C63/'Model - Demand'!Q63</f>
        <v>2.9520979050841618E-2</v>
      </c>
      <c r="F63" s="85">
        <f>'Static Parameters'!C98</f>
        <v>89.691053795454565</v>
      </c>
      <c r="G63" s="85">
        <f ca="1">G62+SUM('Model - Supply'!T62:V62)</f>
        <v>163.88359783636773</v>
      </c>
      <c r="H63" s="85">
        <f ca="1">SUM(G$5:G63)/SUM(F$5:F63)-1</f>
        <v>0.78448038326602565</v>
      </c>
      <c r="I63" s="85">
        <f ca="1">H63*'Scenario Picker'!$B$10</f>
        <v>0.39224019163301282</v>
      </c>
      <c r="J63" s="20">
        <f t="shared" ca="1" si="0"/>
        <v>1.0547741029588406E-2</v>
      </c>
      <c r="K63" s="20">
        <f t="shared" ca="1" si="1"/>
        <v>2.9520979050841618E-2</v>
      </c>
    </row>
    <row r="64" spans="1:11" x14ac:dyDescent="0.35">
      <c r="A64" s="13">
        <v>2082</v>
      </c>
      <c r="B64" s="85">
        <f ca="1">'Model - Demand'!I64-'Model - Supply'!AH64</f>
        <v>4.5428370995336991</v>
      </c>
      <c r="C64" s="85">
        <f ca="1">'Model - Demand'!Q64-'Model - Supply'!AI64</f>
        <v>1.8079758485351434</v>
      </c>
      <c r="D64" s="86">
        <f ca="1">B64/'Model - Demand'!I64</f>
        <v>9.8312371019332861E-3</v>
      </c>
      <c r="E64" s="86">
        <f ca="1">C64/'Model - Demand'!Q64</f>
        <v>2.8201265669200691E-2</v>
      </c>
      <c r="F64" s="85">
        <f>'Static Parameters'!C99</f>
        <v>89.691053795454565</v>
      </c>
      <c r="G64" s="85">
        <f ca="1">G63+SUM('Model - Supply'!T63:V63)</f>
        <v>163.88359795843036</v>
      </c>
      <c r="H64" s="85">
        <f ca="1">SUM(G$5:G64)/SUM(F$5:F64)-1</f>
        <v>0.78529078444537714</v>
      </c>
      <c r="I64" s="85">
        <f ca="1">H64*'Scenario Picker'!$B$10</f>
        <v>0.39264539222268857</v>
      </c>
      <c r="J64" s="20">
        <f t="shared" ca="1" si="0"/>
        <v>9.8312371019332861E-3</v>
      </c>
      <c r="K64" s="20">
        <f t="shared" ca="1" si="1"/>
        <v>2.8201265669200691E-2</v>
      </c>
    </row>
    <row r="65" spans="1:11" x14ac:dyDescent="0.35">
      <c r="A65" s="13">
        <v>2083</v>
      </c>
      <c r="B65" s="85">
        <f ca="1">'Model - Demand'!I65-'Model - Supply'!AH65</f>
        <v>4.2289758308144769</v>
      </c>
      <c r="C65" s="85">
        <f ca="1">'Model - Demand'!Q65-'Model - Supply'!AI65</f>
        <v>1.7283973686567222</v>
      </c>
      <c r="D65" s="86">
        <f ca="1">B65/'Model - Demand'!I65</f>
        <v>9.1162276292661056E-3</v>
      </c>
      <c r="E65" s="86">
        <f ca="1">C65/'Model - Demand'!Q65</f>
        <v>2.6854589797076733E-2</v>
      </c>
      <c r="F65" s="85">
        <f>'Static Parameters'!C100</f>
        <v>89.691053795454565</v>
      </c>
      <c r="G65" s="85">
        <f ca="1">G64+SUM('Model - Supply'!T64:V64)</f>
        <v>163.8835980326285</v>
      </c>
      <c r="H65" s="85">
        <f ca="1">SUM(G$5:G65)/SUM(F$5:F65)-1</f>
        <v>0.78607101186436523</v>
      </c>
      <c r="I65" s="85">
        <f ca="1">H65*'Scenario Picker'!$B$10</f>
        <v>0.39303550593218262</v>
      </c>
      <c r="J65" s="20">
        <f t="shared" ca="1" si="0"/>
        <v>9.1162276292661056E-3</v>
      </c>
      <c r="K65" s="20">
        <f t="shared" ca="1" si="1"/>
        <v>2.6854589797076733E-2</v>
      </c>
    </row>
    <row r="66" spans="1:11" x14ac:dyDescent="0.35">
      <c r="A66" s="13">
        <v>2084</v>
      </c>
      <c r="B66" s="85">
        <f ca="1">'Model - Demand'!I66-'Model - Supply'!AH66</f>
        <v>3.9117360209260141</v>
      </c>
      <c r="C66" s="85">
        <f ca="1">'Model - Demand'!Q66-'Model - Supply'!AI66</f>
        <v>1.6459234560150477</v>
      </c>
      <c r="D66" s="86">
        <f ca="1">B66/'Model - Demand'!I66</f>
        <v>8.4021090826085047E-3</v>
      </c>
      <c r="E66" s="86">
        <f ca="1">C66/'Model - Demand'!Q66</f>
        <v>2.5481405523208361E-2</v>
      </c>
      <c r="F66" s="85">
        <f>'Static Parameters'!C101</f>
        <v>89.691053795454565</v>
      </c>
      <c r="G66" s="85">
        <f ca="1">G65+SUM('Model - Supply'!T65:V65)</f>
        <v>163.88359807767557</v>
      </c>
      <c r="H66" s="85">
        <f ca="1">SUM(G$5:G66)/SUM(F$5:F66)-1</f>
        <v>0.78682271991336772</v>
      </c>
      <c r="I66" s="85">
        <f ca="1">H66*'Scenario Picker'!$B$10</f>
        <v>0.39341135995668386</v>
      </c>
      <c r="J66" s="20">
        <f t="shared" ca="1" si="0"/>
        <v>8.4021090826085047E-3</v>
      </c>
      <c r="K66" s="20">
        <f t="shared" ca="1" si="1"/>
        <v>2.5481405523208361E-2</v>
      </c>
    </row>
    <row r="67" spans="1:11" x14ac:dyDescent="0.35">
      <c r="A67" s="13">
        <v>2085</v>
      </c>
      <c r="B67" s="85">
        <f ca="1">'Model - Demand'!I67-'Model - Supply'!AH67</f>
        <v>3.5959326592090974</v>
      </c>
      <c r="C67" s="85">
        <f ca="1">'Model - Demand'!Q67-'Model - Supply'!AI67</f>
        <v>1.5613858239111735</v>
      </c>
      <c r="D67" s="86">
        <f ca="1">B67/'Model - Demand'!I67</f>
        <v>7.6984465280233363E-3</v>
      </c>
      <c r="E67" s="86">
        <f ca="1">C67/'Model - Demand'!Q67</f>
        <v>2.4093325512872854E-2</v>
      </c>
      <c r="F67" s="85">
        <f>'Static Parameters'!C102</f>
        <v>89.691053795454565</v>
      </c>
      <c r="G67" s="85">
        <f ca="1">G66+SUM('Model - Supply'!T66:V66)</f>
        <v>163.88359810499028</v>
      </c>
      <c r="H67" s="85">
        <f ca="1">SUM(G$5:G67)/SUM(F$5:F67)-1</f>
        <v>0.78754744421109613</v>
      </c>
      <c r="I67" s="85">
        <f ca="1">H67*'Scenario Picker'!$B$10</f>
        <v>0.39377372210554806</v>
      </c>
      <c r="J67" s="20">
        <f t="shared" ca="1" si="0"/>
        <v>7.6984465280233363E-3</v>
      </c>
      <c r="K67" s="20">
        <f t="shared" ca="1" si="1"/>
        <v>2.4093325512872854E-2</v>
      </c>
    </row>
    <row r="68" spans="1:11" x14ac:dyDescent="0.35">
      <c r="A68" s="13">
        <v>2086</v>
      </c>
      <c r="B68" s="85">
        <f ca="1">'Model - Demand'!I68-'Model - Supply'!AH68</f>
        <v>3.2845593057604674</v>
      </c>
      <c r="C68" s="85">
        <f ca="1">'Model - Demand'!Q68-'Model - Supply'!AI68</f>
        <v>1.4751155889804366</v>
      </c>
      <c r="D68" s="86">
        <f ca="1">B68/'Model - Demand'!I68</f>
        <v>7.010872695118792E-3</v>
      </c>
      <c r="E68" s="86">
        <f ca="1">C68/'Model - Demand'!Q68</f>
        <v>2.2694258357916646E-2</v>
      </c>
      <c r="F68" s="85">
        <f>'Static Parameters'!C103</f>
        <v>89.691053795454565</v>
      </c>
      <c r="G68" s="85">
        <f ca="1">G67+SUM('Model - Supply'!T67:V67)</f>
        <v>163.88359812153183</v>
      </c>
      <c r="H68" s="85">
        <f ca="1">SUM(G$5:G68)/SUM(F$5:F68)-1</f>
        <v>0.78824661207453106</v>
      </c>
      <c r="I68" s="85">
        <f ca="1">H68*'Scenario Picker'!$B$10</f>
        <v>0.39412330603726553</v>
      </c>
      <c r="J68" s="20">
        <f t="shared" ca="1" si="0"/>
        <v>7.010872695118792E-3</v>
      </c>
      <c r="K68" s="20">
        <f t="shared" ca="1" si="1"/>
        <v>2.2694258357916646E-2</v>
      </c>
    </row>
    <row r="69" spans="1:11" x14ac:dyDescent="0.35">
      <c r="A69" s="13">
        <v>2087</v>
      </c>
      <c r="B69" s="85">
        <f ca="1">'Model - Demand'!I69-'Model - Supply'!AH69</f>
        <v>2.9809030463106296</v>
      </c>
      <c r="C69" s="85">
        <f ca="1">'Model - Demand'!Q69-'Model - Supply'!AI69</f>
        <v>1.3877462777278353</v>
      </c>
      <c r="D69" s="86">
        <f ca="1">B69/'Model - Demand'!I69</f>
        <v>6.345581713567046E-3</v>
      </c>
      <c r="E69" s="86">
        <f ca="1">C69/'Model - Demand'!Q69</f>
        <v>2.1292596784510665E-2</v>
      </c>
      <c r="F69" s="85">
        <f>'Static Parameters'!C104</f>
        <v>89.691053795454565</v>
      </c>
      <c r="G69" s="85">
        <f ca="1">G68+SUM('Model - Supply'!T68:V68)</f>
        <v>163.88359813153647</v>
      </c>
      <c r="H69" s="85">
        <f ca="1">SUM(G$5:G69)/SUM(F$5:F69)-1</f>
        <v>0.78892155190075886</v>
      </c>
      <c r="I69" s="85">
        <f ca="1">H69*'Scenario Picker'!$B$10</f>
        <v>0.39446077595037943</v>
      </c>
      <c r="J69" s="20">
        <f t="shared" ca="1" si="0"/>
        <v>6.345581713567046E-3</v>
      </c>
      <c r="K69" s="20">
        <f t="shared" ca="1" si="1"/>
        <v>2.1292596784510665E-2</v>
      </c>
    </row>
    <row r="70" spans="1:11" x14ac:dyDescent="0.35">
      <c r="A70" s="13">
        <v>2088</v>
      </c>
      <c r="B70" s="85">
        <f ca="1">'Model - Demand'!I70-'Model - Supply'!AH70</f>
        <v>2.6857642446393015</v>
      </c>
      <c r="C70" s="85">
        <f ca="1">'Model - Demand'!Q70-'Model - Supply'!AI70</f>
        <v>1.2996242144747754</v>
      </c>
      <c r="D70" s="86">
        <f ca="1">B70/'Model - Demand'!I70</f>
        <v>5.7034975841590329E-3</v>
      </c>
      <c r="E70" s="86">
        <f ca="1">C70/'Model - Demand'!Q70</f>
        <v>1.9892352080825577E-2</v>
      </c>
      <c r="F70" s="85">
        <f>'Static Parameters'!C105</f>
        <v>89.691053795454565</v>
      </c>
      <c r="G70" s="85">
        <f ca="1">G69+SUM('Model - Supply'!T69:V69)</f>
        <v>163.88359813757972</v>
      </c>
      <c r="H70" s="85">
        <f ca="1">SUM(G$5:G70)/SUM(F$5:F70)-1</f>
        <v>0.78957350159030337</v>
      </c>
      <c r="I70" s="85">
        <f ca="1">H70*'Scenario Picker'!$B$10</f>
        <v>0.39478675079515169</v>
      </c>
      <c r="J70" s="20">
        <f t="shared" ref="J70:J82" ca="1" si="2">MIN(D70+I70,J$1,D70)</f>
        <v>5.7034975841590329E-3</v>
      </c>
      <c r="K70" s="20">
        <f t="shared" ref="K70:K82" ca="1" si="3">MIN(E70+I70,K$1,E70)</f>
        <v>1.9892352080825577E-2</v>
      </c>
    </row>
    <row r="71" spans="1:11" x14ac:dyDescent="0.35">
      <c r="A71" s="13">
        <v>2089</v>
      </c>
      <c r="B71" s="85">
        <f ca="1">'Model - Demand'!I71-'Model - Supply'!AH71</f>
        <v>2.4002170473601723</v>
      </c>
      <c r="C71" s="85">
        <f ca="1">'Model - Demand'!Q71-'Model - Supply'!AI71</f>
        <v>1.2113176464059308</v>
      </c>
      <c r="D71" s="86">
        <f ca="1">B71/'Model - Demand'!I71</f>
        <v>5.0861504489639079E-3</v>
      </c>
      <c r="E71" s="86">
        <f ca="1">C71/'Model - Demand'!Q71</f>
        <v>1.8500850737378123E-2</v>
      </c>
      <c r="F71" s="85">
        <f>'Static Parameters'!C106</f>
        <v>89.691053795454565</v>
      </c>
      <c r="G71" s="85">
        <f ca="1">G70+SUM('Model - Supply'!T70:V70)</f>
        <v>163.88359814122549</v>
      </c>
      <c r="H71" s="85">
        <f ca="1">SUM(G$5:G71)/SUM(F$5:F71)-1</f>
        <v>0.79020361612423384</v>
      </c>
      <c r="I71" s="85">
        <f ca="1">H71*'Scenario Picker'!$B$10</f>
        <v>0.39510180806211692</v>
      </c>
      <c r="J71" s="20">
        <f t="shared" ca="1" si="2"/>
        <v>5.0861504489639079E-3</v>
      </c>
      <c r="K71" s="20">
        <f t="shared" ca="1" si="3"/>
        <v>1.8500850737378123E-2</v>
      </c>
    </row>
    <row r="72" spans="1:11" x14ac:dyDescent="0.35">
      <c r="A72" s="13">
        <v>2090</v>
      </c>
      <c r="B72" s="85">
        <f ca="1">'Model - Demand'!I72-'Model - Supply'!AH72</f>
        <v>2.1230666055202505</v>
      </c>
      <c r="C72" s="85">
        <f ca="1">'Model - Demand'!Q72-'Model - Supply'!AI72</f>
        <v>1.1230247747309932</v>
      </c>
      <c r="D72" s="86">
        <f ca="1">B72/'Model - Demand'!I72</f>
        <v>4.4903436144226655E-3</v>
      </c>
      <c r="E72" s="86">
        <f ca="1">C72/'Model - Demand'!Q72</f>
        <v>1.711986211550489E-2</v>
      </c>
      <c r="F72" s="85">
        <f>'Static Parameters'!C107</f>
        <v>89.691053795454565</v>
      </c>
      <c r="G72" s="85">
        <f ca="1">G71+SUM('Model - Supply'!T71:V71)</f>
        <v>163.88359814342212</v>
      </c>
      <c r="H72" s="85">
        <f ca="1">SUM(G$5:G72)/SUM(F$5:F72)-1</f>
        <v>0.79081297439256648</v>
      </c>
      <c r="I72" s="85">
        <f ca="1">H72*'Scenario Picker'!$B$10</f>
        <v>0.39540648719628324</v>
      </c>
      <c r="J72" s="20">
        <f t="shared" ca="1" si="2"/>
        <v>4.4903436144226655E-3</v>
      </c>
      <c r="K72" s="20">
        <f t="shared" ca="1" si="3"/>
        <v>1.711986211550489E-2</v>
      </c>
    </row>
    <row r="73" spans="1:11" x14ac:dyDescent="0.35">
      <c r="A73" s="13">
        <v>2091</v>
      </c>
      <c r="B73" s="85">
        <f ca="1">'Model - Demand'!I73-'Model - Supply'!AH73</f>
        <v>1.8534253053072689</v>
      </c>
      <c r="C73" s="85">
        <f ca="1">'Model - Demand'!Q73-'Model - Supply'!AI73</f>
        <v>1.0350657959635896</v>
      </c>
      <c r="D73" s="86">
        <f ca="1">B73/'Model - Demand'!I73</f>
        <v>3.9135953525301853E-3</v>
      </c>
      <c r="E73" s="86">
        <f ca="1">C73/'Model - Demand'!Q73</f>
        <v>1.5753017575005808E-2</v>
      </c>
      <c r="F73" s="85">
        <f>'Static Parameters'!C108</f>
        <v>89.691053795454565</v>
      </c>
      <c r="G73" s="85">
        <f ca="1">G72+SUM('Model - Supply'!T72:V72)</f>
        <v>163.88359814474396</v>
      </c>
      <c r="H73" s="85">
        <f ca="1">SUM(G$5:G73)/SUM(F$5:F73)-1</f>
        <v>0.79140258535884933</v>
      </c>
      <c r="I73" s="85">
        <f ca="1">H73*'Scenario Picker'!$B$10</f>
        <v>0.39570129267942467</v>
      </c>
      <c r="J73" s="20">
        <f t="shared" ca="1" si="2"/>
        <v>3.9135953525301853E-3</v>
      </c>
      <c r="K73" s="20">
        <f t="shared" ca="1" si="3"/>
        <v>1.5753017575005808E-2</v>
      </c>
    </row>
    <row r="74" spans="1:11" x14ac:dyDescent="0.35">
      <c r="A74" s="13">
        <v>2092</v>
      </c>
      <c r="B74" s="85">
        <f ca="1">'Model - Demand'!I74-'Model - Supply'!AH74</f>
        <v>1.5908822905960278</v>
      </c>
      <c r="C74" s="85">
        <f ca="1">'Model - Demand'!Q74-'Model - Supply'!AI74</f>
        <v>0.94770198450980558</v>
      </c>
      <c r="D74" s="86">
        <f ca="1">B74/'Model - Demand'!I74</f>
        <v>3.3544960092281944E-3</v>
      </c>
      <c r="E74" s="86">
        <f ca="1">C74/'Model - Demand'!Q74</f>
        <v>1.4403100496014514E-2</v>
      </c>
      <c r="F74" s="85">
        <f>'Static Parameters'!C109</f>
        <v>89.691053795454565</v>
      </c>
      <c r="G74" s="85">
        <f ca="1">G73+SUM('Model - Supply'!T73:V73)</f>
        <v>163.88359814553837</v>
      </c>
      <c r="H74" s="85">
        <f ca="1">SUM(G$5:G74)/SUM(F$5:F74)-1</f>
        <v>0.7919733936350084</v>
      </c>
      <c r="I74" s="85">
        <f ca="1">H74*'Scenario Picker'!$B$10</f>
        <v>0.3959866968175042</v>
      </c>
      <c r="J74" s="20">
        <f t="shared" ca="1" si="2"/>
        <v>3.3544960092281944E-3</v>
      </c>
      <c r="K74" s="20">
        <f t="shared" ca="1" si="3"/>
        <v>1.4403100496014514E-2</v>
      </c>
    </row>
    <row r="75" spans="1:11" x14ac:dyDescent="0.35">
      <c r="A75" s="13">
        <v>2093</v>
      </c>
      <c r="B75" s="85">
        <f ca="1">'Model - Demand'!I75-'Model - Supply'!AH75</f>
        <v>1.3345456661472781</v>
      </c>
      <c r="C75" s="85">
        <f ca="1">'Model - Demand'!Q75-'Model - Supply'!AI75</f>
        <v>0.86102932624275752</v>
      </c>
      <c r="D75" s="86">
        <f ca="1">B75/'Model - Demand'!I75</f>
        <v>2.8106809675493829E-3</v>
      </c>
      <c r="E75" s="86">
        <f ca="1">C75/'Model - Demand'!Q75</f>
        <v>1.3070464620600681E-2</v>
      </c>
      <c r="F75" s="85">
        <f>'Static Parameters'!C110</f>
        <v>89.691053795454565</v>
      </c>
      <c r="G75" s="85">
        <f ca="1">G74+SUM('Model - Supply'!T74:V74)</f>
        <v>163.88359814601523</v>
      </c>
      <c r="H75" s="85">
        <f ca="1">SUM(G$5:G75)/SUM(F$5:F75)-1</f>
        <v>0.79252628453123641</v>
      </c>
      <c r="I75" s="85">
        <f ca="1">H75*'Scenario Picker'!$B$10</f>
        <v>0.39626314226561821</v>
      </c>
      <c r="J75" s="20">
        <f t="shared" ca="1" si="2"/>
        <v>2.8106809675493829E-3</v>
      </c>
      <c r="K75" s="20">
        <f t="shared" ca="1" si="3"/>
        <v>1.3070464620600681E-2</v>
      </c>
    </row>
    <row r="76" spans="1:11" x14ac:dyDescent="0.35">
      <c r="A76" s="13">
        <v>2094</v>
      </c>
      <c r="B76" s="85">
        <f ca="1">'Model - Demand'!I76-'Model - Supply'!AH76</f>
        <v>1.0830872641617475</v>
      </c>
      <c r="C76" s="85">
        <f ca="1">'Model - Demand'!Q76-'Model - Supply'!AI76</f>
        <v>0.77506150448225242</v>
      </c>
      <c r="D76" s="86">
        <f ca="1">B76/'Model - Demand'!I76</f>
        <v>2.2789171569836137E-3</v>
      </c>
      <c r="E76" s="86">
        <f ca="1">C76/'Model - Demand'!Q76</f>
        <v>1.175428521900415E-2</v>
      </c>
      <c r="F76" s="85">
        <f>'Static Parameters'!C111</f>
        <v>89.691053795454565</v>
      </c>
      <c r="G76" s="85">
        <f ca="1">G75+SUM('Model - Supply'!T75:V75)</f>
        <v>163.88359814630113</v>
      </c>
      <c r="H76" s="85">
        <f ca="1">SUM(G$5:G76)/SUM(F$5:F76)-1</f>
        <v>0.79306208863769534</v>
      </c>
      <c r="I76" s="85">
        <f ca="1">H76*'Scenario Picker'!$B$10</f>
        <v>0.39653104431884767</v>
      </c>
      <c r="J76" s="20">
        <f t="shared" ca="1" si="2"/>
        <v>2.2789171569836137E-3</v>
      </c>
      <c r="K76" s="20">
        <f t="shared" ca="1" si="3"/>
        <v>1.175428521900415E-2</v>
      </c>
    </row>
    <row r="77" spans="1:11" x14ac:dyDescent="0.35">
      <c r="A77" s="13">
        <v>2095</v>
      </c>
      <c r="B77" s="85">
        <f ca="1">'Model - Demand'!I77-'Model - Supply'!AH77</f>
        <v>0.83777969087077508</v>
      </c>
      <c r="C77" s="85">
        <f ca="1">'Model - Demand'!Q77-'Model - Supply'!AI77</f>
        <v>0.69013704634816975</v>
      </c>
      <c r="D77" s="86">
        <f ca="1">B77/'Model - Demand'!I77</f>
        <v>1.7614716547658981E-3</v>
      </c>
      <c r="E77" s="86">
        <f ca="1">C77/'Model - Demand'!Q77</f>
        <v>1.0458662302951898E-2</v>
      </c>
      <c r="F77" s="85">
        <f>'Static Parameters'!C112</f>
        <v>89.691053795454565</v>
      </c>
      <c r="G77" s="85">
        <f ca="1">G76+SUM('Model - Supply'!T76:V76)</f>
        <v>163.88359814647231</v>
      </c>
      <c r="H77" s="85">
        <f ca="1">SUM(G$5:G77)/SUM(F$5:F77)-1</f>
        <v>0.79358158598790696</v>
      </c>
      <c r="I77" s="85">
        <f ca="1">H77*'Scenario Picker'!$B$10</f>
        <v>0.39679079299395348</v>
      </c>
      <c r="J77" s="20">
        <f t="shared" ca="1" si="2"/>
        <v>1.7614716547658981E-3</v>
      </c>
      <c r="K77" s="20">
        <f t="shared" ca="1" si="3"/>
        <v>1.0458662302951898E-2</v>
      </c>
    </row>
    <row r="78" spans="1:11" x14ac:dyDescent="0.35">
      <c r="A78" s="13">
        <v>2096</v>
      </c>
      <c r="B78" s="85">
        <f ca="1">'Model - Demand'!I78-'Model - Supply'!AH78</f>
        <v>0.59852623241499714</v>
      </c>
      <c r="C78" s="85">
        <f ca="1">'Model - Demand'!Q78-'Model - Supply'!AI78</f>
        <v>0.60622596370220094</v>
      </c>
      <c r="D78" s="86">
        <f ca="1">B78/'Model - Demand'!I78</f>
        <v>1.2577706442884226E-3</v>
      </c>
      <c r="E78" s="86">
        <f ca="1">C78/'Model - Demand'!Q78</f>
        <v>9.1822215239095069E-3</v>
      </c>
      <c r="F78" s="85">
        <f>'Static Parameters'!C113</f>
        <v>89.691053795454565</v>
      </c>
      <c r="G78" s="85">
        <f ca="1">G77+SUM('Model - Supply'!T77:V77)</f>
        <v>163.88359814657468</v>
      </c>
      <c r="H78" s="85">
        <f ca="1">SUM(G$5:G78)/SUM(F$5:F78)-1</f>
        <v>0.79408550984771398</v>
      </c>
      <c r="I78" s="85">
        <f ca="1">H78*'Scenario Picker'!$B$10</f>
        <v>0.39704275492385699</v>
      </c>
      <c r="J78" s="20">
        <f t="shared" ca="1" si="2"/>
        <v>1.2577706442884226E-3</v>
      </c>
      <c r="K78" s="20">
        <f t="shared" ca="1" si="3"/>
        <v>9.1822215239095069E-3</v>
      </c>
    </row>
    <row r="79" spans="1:11" x14ac:dyDescent="0.35">
      <c r="A79" s="13">
        <v>2097</v>
      </c>
      <c r="B79" s="85">
        <f ca="1">'Model - Demand'!I79-'Model - Supply'!AH79</f>
        <v>0.3689398151323644</v>
      </c>
      <c r="C79" s="85">
        <f ca="1">'Model - Demand'!Q79-'Model - Supply'!AI79</f>
        <v>0.52392947256394962</v>
      </c>
      <c r="D79" s="86">
        <f ca="1">B79/'Model - Demand'!I79</f>
        <v>7.7505392129883382E-4</v>
      </c>
      <c r="E79" s="86">
        <f ca="1">C79/'Model - Demand'!Q79</f>
        <v>7.9331230429622295E-3</v>
      </c>
      <c r="F79" s="85">
        <f>'Static Parameters'!C114</f>
        <v>89.691053795454565</v>
      </c>
      <c r="G79" s="85">
        <f ca="1">G78+SUM('Model - Supply'!T78:V78)</f>
        <v>163.88359814663585</v>
      </c>
      <c r="H79" s="85">
        <f ca="1">SUM(G$5:G79)/SUM(F$5:F79)-1</f>
        <v>0.79457455016852041</v>
      </c>
      <c r="I79" s="85">
        <f ca="1">H79*'Scenario Picker'!$B$10</f>
        <v>0.39728727508426021</v>
      </c>
      <c r="J79" s="20">
        <f t="shared" ca="1" si="2"/>
        <v>7.7505392129883382E-4</v>
      </c>
      <c r="K79" s="20">
        <f t="shared" ca="1" si="3"/>
        <v>7.9331230429622295E-3</v>
      </c>
    </row>
    <row r="80" spans="1:11" x14ac:dyDescent="0.35">
      <c r="A80" s="13">
        <v>2098</v>
      </c>
      <c r="B80" s="85">
        <f ca="1">'Model - Demand'!I80-'Model - Supply'!AH80</f>
        <v>0.14973130525305578</v>
      </c>
      <c r="C80" s="85">
        <f ca="1">'Model - Demand'!Q80-'Model - Supply'!AI80</f>
        <v>0.44327158668870936</v>
      </c>
      <c r="D80" s="86">
        <f ca="1">B80/'Model - Demand'!I80</f>
        <v>3.145068685921138E-4</v>
      </c>
      <c r="E80" s="86">
        <f ca="1">C80/'Model - Demand'!Q80</f>
        <v>6.7109250286225214E-3</v>
      </c>
      <c r="F80" s="85">
        <f>'Static Parameters'!C115</f>
        <v>89.691053795454565</v>
      </c>
      <c r="G80" s="85">
        <f ca="1">G79+SUM('Model - Supply'!T79:V79)</f>
        <v>163.88359814667234</v>
      </c>
      <c r="H80" s="85">
        <f ca="1">SUM(G$5:G80)/SUM(F$5:F80)-1</f>
        <v>0.79504935673900756</v>
      </c>
      <c r="I80" s="85">
        <f ca="1">H80*'Scenario Picker'!$B$10</f>
        <v>0.39752467836950378</v>
      </c>
      <c r="J80" s="20">
        <f t="shared" ca="1" si="2"/>
        <v>3.145068685921138E-4</v>
      </c>
      <c r="K80" s="20">
        <f t="shared" ca="1" si="3"/>
        <v>6.7109250286225214E-3</v>
      </c>
    </row>
    <row r="81" spans="1:11" x14ac:dyDescent="0.35">
      <c r="A81" s="13">
        <v>2099</v>
      </c>
      <c r="B81" s="85">
        <f ca="1">'Model - Demand'!I81-'Model - Supply'!AH81</f>
        <v>-5.9619686594487575E-2</v>
      </c>
      <c r="C81" s="85">
        <f ca="1">'Model - Demand'!Q81-'Model - Supply'!AI81</f>
        <v>0.36437953627279285</v>
      </c>
      <c r="D81" s="86">
        <f ca="1">B81/'Model - Demand'!I81</f>
        <v>-1.2523569395499366E-4</v>
      </c>
      <c r="E81" s="86">
        <f ca="1">C81/'Model - Demand'!Q81</f>
        <v>5.5168018498256881E-3</v>
      </c>
      <c r="F81" s="85">
        <f>'Static Parameters'!C116</f>
        <v>89.691053795454565</v>
      </c>
      <c r="G81" s="85">
        <f ca="1">G80+SUM('Model - Supply'!T80:V80)</f>
        <v>163.88359814669408</v>
      </c>
      <c r="H81" s="85">
        <f ca="1">SUM(G$5:G81)/SUM(F$5:F81)-1</f>
        <v>0.79551054206560212</v>
      </c>
      <c r="I81" s="85">
        <f ca="1">H81*'Scenario Picker'!$B$10</f>
        <v>0.39775527103280106</v>
      </c>
      <c r="J81" s="20">
        <f t="shared" ca="1" si="2"/>
        <v>-1.2523569395499366E-4</v>
      </c>
      <c r="K81" s="20">
        <f t="shared" ca="1" si="3"/>
        <v>5.5168018498256881E-3</v>
      </c>
    </row>
    <row r="82" spans="1:11" x14ac:dyDescent="0.35">
      <c r="A82" s="13">
        <v>2100</v>
      </c>
      <c r="B82" s="85">
        <f ca="1">'Model - Demand'!I82-'Model - Supply'!AH82</f>
        <v>-0.2584262964301729</v>
      </c>
      <c r="C82" s="85">
        <f ca="1">'Model - Demand'!Q82-'Model - Supply'!AI82</f>
        <v>0.28760230891722927</v>
      </c>
      <c r="D82" s="86">
        <f ca="1">B82/'Model - Demand'!I82</f>
        <v>-5.4296417114130973E-4</v>
      </c>
      <c r="E82" s="86">
        <f ca="1">C82/'Model - Demand'!Q82</f>
        <v>4.3553374127205113E-3</v>
      </c>
      <c r="F82" s="85">
        <f>'Static Parameters'!C117</f>
        <v>89.691053795454565</v>
      </c>
      <c r="G82" s="85">
        <f ca="1">G81+SUM('Model - Supply'!T81:V81)</f>
        <v>163.88359814670702</v>
      </c>
      <c r="H82" s="85">
        <f ca="1">SUM(G$5:G82)/SUM(F$5:F82)-1</f>
        <v>0.79595868400854553</v>
      </c>
      <c r="I82" s="85">
        <f ca="1">H82*'Scenario Picker'!$B$10</f>
        <v>0.39797934200427276</v>
      </c>
      <c r="J82" s="20">
        <f t="shared" ca="1" si="2"/>
        <v>-5.4296417114130973E-4</v>
      </c>
      <c r="K82" s="20">
        <f t="shared" ca="1" si="3"/>
        <v>4.3553374127205113E-3</v>
      </c>
    </row>
  </sheetData>
  <mergeCells count="4">
    <mergeCell ref="B3:C3"/>
    <mergeCell ref="D3:E3"/>
    <mergeCell ref="F3:I3"/>
    <mergeCell ref="J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 end</vt:lpstr>
      <vt:lpstr>Static Parameters</vt:lpstr>
      <vt:lpstr>Scenario Picker</vt:lpstr>
      <vt:lpstr>Growth Scenarios</vt:lpstr>
      <vt:lpstr>Electrification Scenario</vt:lpstr>
      <vt:lpstr>Model - Demand</vt:lpstr>
      <vt:lpstr>Model - Supply</vt:lpstr>
      <vt:lpstr>Model - Scarcity &amp; Growth Rates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 Davis</dc:creator>
  <cp:keywords/>
  <dc:description/>
  <cp:lastModifiedBy>James Hopeward</cp:lastModifiedBy>
  <cp:revision/>
  <dcterms:created xsi:type="dcterms:W3CDTF">2022-06-15T02:06:40Z</dcterms:created>
  <dcterms:modified xsi:type="dcterms:W3CDTF">2025-04-26T23:04:53Z</dcterms:modified>
  <cp:category/>
  <cp:contentStatus/>
</cp:coreProperties>
</file>