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wardjd_unisa_edu_au/Documents/Shared Drafts/Renewable Energy Transition Paper/GitHub files/"/>
    </mc:Choice>
  </mc:AlternateContent>
  <xr:revisionPtr revIDLastSave="2419" documentId="8_{6D2A55E5-BD99-44B5-BA50-6A3CF157A502}" xr6:coauthVersionLast="47" xr6:coauthVersionMax="47" xr10:uidLastSave="{83E85078-9F1B-4B94-92E2-127E60A5DA8F}"/>
  <bookViews>
    <workbookView xWindow="-108" yWindow="-108" windowWidth="23256" windowHeight="13896" tabRatio="845" xr2:uid="{016F93E5-5D59-4826-9767-DCF9A6A8B3F4}"/>
  </bookViews>
  <sheets>
    <sheet name="Conceptual Model" sheetId="33" r:id="rId1"/>
    <sheet name="Front End" sheetId="32" r:id="rId2"/>
    <sheet name="Static Parameters" sheetId="25" r:id="rId3"/>
    <sheet name="Scenario Picker" sheetId="29" r:id="rId4"/>
    <sheet name="Growth Scenarios" sheetId="26" r:id="rId5"/>
    <sheet name="Electrification Scenario" sheetId="27" r:id="rId6"/>
    <sheet name="Model - Demand" sheetId="28" r:id="rId7"/>
    <sheet name="Model - Supply" sheetId="30" r:id="rId8"/>
    <sheet name="Model - Scarcity &amp; Growth Rates" sheetId="3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9" l="1"/>
  <c r="B6" i="29"/>
  <c r="G6" i="27" s="1"/>
  <c r="B2" i="29"/>
  <c r="J39" i="26" s="1"/>
  <c r="B3" i="29"/>
  <c r="K78" i="26" s="1"/>
  <c r="B10" i="29"/>
  <c r="E42" i="25"/>
  <c r="E43" i="25" s="1"/>
  <c r="E44" i="25" s="1"/>
  <c r="E45" i="25" s="1"/>
  <c r="E46" i="25" s="1"/>
  <c r="E47" i="25" s="1"/>
  <c r="E48" i="25" s="1"/>
  <c r="J40" i="25"/>
  <c r="E41" i="25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AG5" i="30"/>
  <c r="AO5" i="30" s="1"/>
  <c r="AE5" i="30"/>
  <c r="AB5" i="30" s="1"/>
  <c r="AD5" i="30"/>
  <c r="AC5" i="30"/>
  <c r="Z5" i="30" s="1"/>
  <c r="U5" i="30"/>
  <c r="T5" i="30"/>
  <c r="L5" i="30"/>
  <c r="P5" i="30" s="1"/>
  <c r="AM5" i="30" s="1"/>
  <c r="K5" i="30"/>
  <c r="V5" i="30" s="1"/>
  <c r="J5" i="30"/>
  <c r="I5" i="30"/>
  <c r="F6" i="31"/>
  <c r="F5" i="31"/>
  <c r="H6" i="27" l="1"/>
  <c r="B6" i="27"/>
  <c r="C6" i="27"/>
  <c r="D6" i="27"/>
  <c r="E6" i="27"/>
  <c r="F6" i="27"/>
  <c r="K72" i="26"/>
  <c r="K71" i="26"/>
  <c r="K25" i="26"/>
  <c r="K23" i="26"/>
  <c r="K64" i="26"/>
  <c r="K13" i="26"/>
  <c r="K62" i="26"/>
  <c r="J7" i="26"/>
  <c r="J57" i="26"/>
  <c r="K6" i="26"/>
  <c r="K54" i="26"/>
  <c r="K5" i="26"/>
  <c r="K48" i="26"/>
  <c r="J5" i="26"/>
  <c r="K47" i="26"/>
  <c r="K46" i="26"/>
  <c r="K40" i="26"/>
  <c r="K39" i="26"/>
  <c r="K79" i="26"/>
  <c r="J33" i="26"/>
  <c r="J79" i="26"/>
  <c r="K31" i="26"/>
  <c r="J31" i="26"/>
  <c r="J32" i="26"/>
  <c r="J78" i="26"/>
  <c r="J6" i="26"/>
  <c r="J23" i="26"/>
  <c r="J56" i="26"/>
  <c r="J72" i="26"/>
  <c r="J25" i="26"/>
  <c r="J71" i="26"/>
  <c r="J47" i="26"/>
  <c r="J70" i="26"/>
  <c r="J41" i="26"/>
  <c r="J17" i="26"/>
  <c r="J64" i="26"/>
  <c r="J16" i="26"/>
  <c r="J63" i="26"/>
  <c r="J40" i="26"/>
  <c r="J15" i="26"/>
  <c r="J14" i="26"/>
  <c r="J55" i="26"/>
  <c r="J77" i="26"/>
  <c r="J48" i="26"/>
  <c r="J24" i="26"/>
  <c r="J80" i="26"/>
  <c r="J62" i="26"/>
  <c r="K77" i="26"/>
  <c r="K17" i="26"/>
  <c r="K33" i="26"/>
  <c r="K41" i="26"/>
  <c r="K57" i="26"/>
  <c r="K80" i="26"/>
  <c r="K9" i="26"/>
  <c r="K26" i="26"/>
  <c r="K65" i="26"/>
  <c r="K73" i="26"/>
  <c r="K18" i="26"/>
  <c r="K34" i="26"/>
  <c r="K50" i="26"/>
  <c r="K58" i="26"/>
  <c r="K3" i="26"/>
  <c r="K10" i="26"/>
  <c r="K27" i="26"/>
  <c r="K43" i="26"/>
  <c r="K66" i="26"/>
  <c r="K74" i="26"/>
  <c r="K19" i="26"/>
  <c r="K51" i="26"/>
  <c r="K59" i="26"/>
  <c r="K11" i="26"/>
  <c r="K36" i="26"/>
  <c r="K44" i="26"/>
  <c r="K75" i="26"/>
  <c r="K20" i="26"/>
  <c r="K29" i="26"/>
  <c r="K60" i="26"/>
  <c r="K68" i="26"/>
  <c r="K12" i="26"/>
  <c r="K45" i="26"/>
  <c r="K53" i="26"/>
  <c r="K76" i="26"/>
  <c r="K4" i="26"/>
  <c r="K30" i="26"/>
  <c r="K38" i="26"/>
  <c r="K61" i="26"/>
  <c r="K69" i="26"/>
  <c r="K55" i="26"/>
  <c r="K32" i="26"/>
  <c r="J8" i="26"/>
  <c r="J9" i="26"/>
  <c r="J26" i="26"/>
  <c r="J49" i="26"/>
  <c r="J65" i="26"/>
  <c r="J73" i="26"/>
  <c r="J18" i="26"/>
  <c r="J34" i="26"/>
  <c r="J42" i="26"/>
  <c r="J50" i="26"/>
  <c r="J58" i="26"/>
  <c r="J3" i="26"/>
  <c r="J10" i="26"/>
  <c r="J27" i="26"/>
  <c r="J43" i="26"/>
  <c r="J66" i="26"/>
  <c r="J74" i="26"/>
  <c r="J19" i="26"/>
  <c r="J35" i="26"/>
  <c r="J51" i="26"/>
  <c r="J59" i="26"/>
  <c r="J11" i="26"/>
  <c r="J28" i="26"/>
  <c r="J36" i="26"/>
  <c r="J44" i="26"/>
  <c r="J67" i="26"/>
  <c r="J75" i="26"/>
  <c r="J20" i="26"/>
  <c r="J29" i="26"/>
  <c r="J52" i="26"/>
  <c r="J60" i="26"/>
  <c r="J68" i="26"/>
  <c r="J12" i="26"/>
  <c r="J37" i="26"/>
  <c r="J45" i="26"/>
  <c r="J53" i="26"/>
  <c r="J76" i="26"/>
  <c r="J4" i="26"/>
  <c r="J21" i="26"/>
  <c r="J30" i="26"/>
  <c r="J38" i="26"/>
  <c r="J61" i="26"/>
  <c r="J69" i="26"/>
  <c r="J13" i="26"/>
  <c r="J22" i="26"/>
  <c r="J46" i="26"/>
  <c r="J54" i="26"/>
  <c r="K24" i="26"/>
  <c r="K16" i="26"/>
  <c r="K67" i="26"/>
  <c r="K52" i="26"/>
  <c r="K37" i="26"/>
  <c r="K22" i="26"/>
  <c r="K70" i="26"/>
  <c r="K63" i="26"/>
  <c r="K56" i="26"/>
  <c r="K49" i="26"/>
  <c r="K42" i="26"/>
  <c r="K35" i="26"/>
  <c r="K28" i="26"/>
  <c r="K21" i="26"/>
  <c r="K14" i="26"/>
  <c r="K7" i="26"/>
  <c r="K15" i="26"/>
  <c r="K8" i="26"/>
  <c r="AN5" i="30"/>
  <c r="AF5" i="30"/>
  <c r="AA5" i="30"/>
  <c r="G5" i="31" l="1"/>
  <c r="D5" i="30"/>
  <c r="C5" i="30"/>
  <c r="B5" i="30"/>
  <c r="H7" i="27"/>
  <c r="G7" i="27"/>
  <c r="F7" i="27"/>
  <c r="E7" i="27"/>
  <c r="D7" i="27"/>
  <c r="C7" i="27"/>
  <c r="B7" i="27"/>
  <c r="H4" i="27"/>
  <c r="G4" i="27"/>
  <c r="F4" i="27"/>
  <c r="E4" i="27"/>
  <c r="D4" i="27"/>
  <c r="C4" i="27"/>
  <c r="B4" i="27"/>
  <c r="B11" i="27" s="1"/>
  <c r="J5" i="28" s="1"/>
  <c r="D88" i="27" l="1"/>
  <c r="D41" i="27"/>
  <c r="D67" i="27"/>
  <c r="D33" i="27"/>
  <c r="D81" i="27"/>
  <c r="D73" i="27"/>
  <c r="D82" i="27"/>
  <c r="D47" i="27"/>
  <c r="L41" i="28" s="1"/>
  <c r="D86" i="27"/>
  <c r="D80" i="28" s="1"/>
  <c r="D51" i="27"/>
  <c r="D23" i="27"/>
  <c r="D13" i="27"/>
  <c r="D80" i="27"/>
  <c r="D14" i="27"/>
  <c r="D42" i="27"/>
  <c r="D79" i="27"/>
  <c r="D72" i="27"/>
  <c r="D39" i="27"/>
  <c r="D20" i="27"/>
  <c r="D48" i="27"/>
  <c r="D69" i="27"/>
  <c r="D68" i="27"/>
  <c r="D62" i="28" s="1"/>
  <c r="D22" i="27"/>
  <c r="D57" i="27"/>
  <c r="D27" i="27"/>
  <c r="D15" i="27"/>
  <c r="D29" i="27"/>
  <c r="D16" i="27"/>
  <c r="D44" i="27"/>
  <c r="D64" i="27"/>
  <c r="D78" i="27"/>
  <c r="D18" i="27"/>
  <c r="D46" i="27"/>
  <c r="D76" i="27"/>
  <c r="D87" i="27"/>
  <c r="D66" i="27"/>
  <c r="D65" i="27"/>
  <c r="D52" i="27"/>
  <c r="D49" i="27"/>
  <c r="L43" i="28" s="1"/>
  <c r="D28" i="27"/>
  <c r="D22" i="28" s="1"/>
  <c r="D61" i="27"/>
  <c r="D55" i="28" s="1"/>
  <c r="D58" i="27"/>
  <c r="D21" i="27"/>
  <c r="D25" i="27"/>
  <c r="D32" i="27"/>
  <c r="D43" i="27"/>
  <c r="D12" i="27"/>
  <c r="D6" i="28" s="1"/>
  <c r="D53" i="27"/>
  <c r="D54" i="27"/>
  <c r="D24" i="27"/>
  <c r="D63" i="27"/>
  <c r="D19" i="27"/>
  <c r="L13" i="28" s="1"/>
  <c r="D84" i="27"/>
  <c r="D78" i="28" s="1"/>
  <c r="D38" i="27"/>
  <c r="D71" i="27"/>
  <c r="D60" i="27"/>
  <c r="D26" i="27"/>
  <c r="D30" i="27"/>
  <c r="D50" i="27"/>
  <c r="D70" i="27"/>
  <c r="D64" i="28" s="1"/>
  <c r="D34" i="27"/>
  <c r="D75" i="27"/>
  <c r="D69" i="28" s="1"/>
  <c r="D36" i="27"/>
  <c r="D85" i="27"/>
  <c r="D31" i="27"/>
  <c r="D40" i="27"/>
  <c r="D34" i="28" s="1"/>
  <c r="D56" i="27"/>
  <c r="D50" i="28" s="1"/>
  <c r="D62" i="27"/>
  <c r="D55" i="27"/>
  <c r="D35" i="27"/>
  <c r="D29" i="28" s="1"/>
  <c r="D45" i="27"/>
  <c r="D37" i="27"/>
  <c r="D83" i="27"/>
  <c r="D17" i="27"/>
  <c r="D77" i="27"/>
  <c r="L71" i="28" s="1"/>
  <c r="D74" i="27"/>
  <c r="D59" i="27"/>
  <c r="G62" i="27"/>
  <c r="G29" i="27"/>
  <c r="G60" i="27"/>
  <c r="O54" i="28" s="1"/>
  <c r="G12" i="27"/>
  <c r="G57" i="27"/>
  <c r="G17" i="27"/>
  <c r="G31" i="27"/>
  <c r="G23" i="27"/>
  <c r="G49" i="27"/>
  <c r="G88" i="27"/>
  <c r="G82" i="27"/>
  <c r="G76" i="27"/>
  <c r="G70" i="27"/>
  <c r="G54" i="27"/>
  <c r="G41" i="27"/>
  <c r="G13" i="27"/>
  <c r="G69" i="27"/>
  <c r="G47" i="27"/>
  <c r="G41" i="28" s="1"/>
  <c r="G27" i="27"/>
  <c r="G75" i="27"/>
  <c r="G67" i="27"/>
  <c r="G51" i="27"/>
  <c r="G83" i="27"/>
  <c r="G21" i="27"/>
  <c r="G19" i="27"/>
  <c r="G53" i="27"/>
  <c r="G33" i="27"/>
  <c r="G39" i="27"/>
  <c r="G79" i="27"/>
  <c r="G73" i="27"/>
  <c r="G87" i="27"/>
  <c r="G85" i="27"/>
  <c r="G79" i="28" s="1"/>
  <c r="G56" i="27"/>
  <c r="G64" i="27"/>
  <c r="G15" i="27"/>
  <c r="G43" i="27"/>
  <c r="G37" i="27"/>
  <c r="G55" i="27"/>
  <c r="G25" i="27"/>
  <c r="G16" i="27"/>
  <c r="G44" i="27"/>
  <c r="G59" i="27"/>
  <c r="G22" i="27"/>
  <c r="G84" i="27"/>
  <c r="G45" i="27"/>
  <c r="G24" i="27"/>
  <c r="G86" i="27"/>
  <c r="G58" i="27"/>
  <c r="G18" i="27"/>
  <c r="G46" i="27"/>
  <c r="G81" i="27"/>
  <c r="G35" i="27"/>
  <c r="G63" i="27"/>
  <c r="G20" i="27"/>
  <c r="G48" i="27"/>
  <c r="G66" i="27"/>
  <c r="G52" i="27"/>
  <c r="G71" i="27"/>
  <c r="G26" i="27"/>
  <c r="G30" i="27"/>
  <c r="G77" i="27"/>
  <c r="G71" i="28" s="1"/>
  <c r="G65" i="27"/>
  <c r="G34" i="27"/>
  <c r="G14" i="27"/>
  <c r="G32" i="27"/>
  <c r="G72" i="27"/>
  <c r="G78" i="27"/>
  <c r="G28" i="27"/>
  <c r="G50" i="27"/>
  <c r="G74" i="27"/>
  <c r="G36" i="27"/>
  <c r="G38" i="27"/>
  <c r="G40" i="27"/>
  <c r="G42" i="27"/>
  <c r="G61" i="27"/>
  <c r="G68" i="27"/>
  <c r="G80" i="27"/>
  <c r="B67" i="27"/>
  <c r="B15" i="27"/>
  <c r="B23" i="27"/>
  <c r="B81" i="27"/>
  <c r="J75" i="28" s="1"/>
  <c r="B42" i="27"/>
  <c r="B53" i="27"/>
  <c r="B47" i="28" s="1"/>
  <c r="B44" i="27"/>
  <c r="B59" i="27"/>
  <c r="B66" i="27"/>
  <c r="B43" i="27"/>
  <c r="B17" i="27"/>
  <c r="B31" i="27"/>
  <c r="B30" i="27"/>
  <c r="B28" i="27"/>
  <c r="B20" i="27"/>
  <c r="B72" i="27"/>
  <c r="B49" i="27"/>
  <c r="B33" i="27"/>
  <c r="B40" i="27"/>
  <c r="B38" i="27"/>
  <c r="B69" i="27"/>
  <c r="B27" i="27"/>
  <c r="B37" i="27"/>
  <c r="B12" i="27"/>
  <c r="B68" i="27"/>
  <c r="B39" i="27"/>
  <c r="B33" i="28" s="1"/>
  <c r="B65" i="27"/>
  <c r="B22" i="27"/>
  <c r="B18" i="27"/>
  <c r="B70" i="27"/>
  <c r="B25" i="27"/>
  <c r="B19" i="28" s="1"/>
  <c r="B36" i="27"/>
  <c r="B75" i="27"/>
  <c r="B74" i="27"/>
  <c r="B19" i="27"/>
  <c r="B48" i="27"/>
  <c r="B46" i="27"/>
  <c r="B13" i="27"/>
  <c r="B55" i="27"/>
  <c r="B79" i="27"/>
  <c r="B57" i="27"/>
  <c r="B63" i="27"/>
  <c r="B87" i="27"/>
  <c r="B56" i="27"/>
  <c r="B84" i="27"/>
  <c r="B21" i="27"/>
  <c r="B77" i="27"/>
  <c r="B82" i="27"/>
  <c r="B73" i="27"/>
  <c r="B86" i="27"/>
  <c r="B47" i="27"/>
  <c r="B14" i="27"/>
  <c r="B34" i="27"/>
  <c r="B62" i="27"/>
  <c r="B45" i="27"/>
  <c r="B41" i="27"/>
  <c r="B50" i="27"/>
  <c r="B35" i="27"/>
  <c r="B52" i="27"/>
  <c r="B88" i="27"/>
  <c r="B71" i="27"/>
  <c r="B51" i="27"/>
  <c r="B54" i="27"/>
  <c r="B29" i="27"/>
  <c r="B58" i="27"/>
  <c r="B85" i="27"/>
  <c r="B83" i="27"/>
  <c r="B26" i="27"/>
  <c r="B60" i="27"/>
  <c r="B61" i="27"/>
  <c r="B16" i="27"/>
  <c r="B24" i="27"/>
  <c r="B64" i="27"/>
  <c r="B32" i="27"/>
  <c r="B76" i="27"/>
  <c r="B78" i="27"/>
  <c r="B80" i="27"/>
  <c r="B74" i="28" s="1"/>
  <c r="C47" i="27"/>
  <c r="K41" i="28" s="1"/>
  <c r="C67" i="27"/>
  <c r="C37" i="27"/>
  <c r="C20" i="27"/>
  <c r="C12" i="27"/>
  <c r="K6" i="28" s="1"/>
  <c r="C55" i="27"/>
  <c r="C31" i="27"/>
  <c r="C25" i="27"/>
  <c r="C65" i="27"/>
  <c r="C26" i="27"/>
  <c r="C22" i="27"/>
  <c r="C79" i="27"/>
  <c r="C73" i="27"/>
  <c r="C13" i="27"/>
  <c r="C50" i="27"/>
  <c r="C63" i="27"/>
  <c r="C85" i="27"/>
  <c r="C64" i="27"/>
  <c r="C82" i="27"/>
  <c r="C21" i="27"/>
  <c r="C49" i="27"/>
  <c r="C74" i="27"/>
  <c r="C66" i="27"/>
  <c r="C43" i="27"/>
  <c r="C78" i="27"/>
  <c r="C17" i="27"/>
  <c r="C35" i="27"/>
  <c r="C32" i="27"/>
  <c r="C36" i="27"/>
  <c r="C56" i="27"/>
  <c r="C18" i="27"/>
  <c r="C77" i="27"/>
  <c r="C62" i="27"/>
  <c r="C80" i="27"/>
  <c r="C71" i="27"/>
  <c r="C16" i="27"/>
  <c r="C23" i="27"/>
  <c r="C24" i="27"/>
  <c r="C34" i="27"/>
  <c r="C72" i="27"/>
  <c r="C83" i="27"/>
  <c r="C54" i="27"/>
  <c r="C58" i="27"/>
  <c r="C70" i="27"/>
  <c r="C29" i="27"/>
  <c r="C28" i="27"/>
  <c r="C30" i="27"/>
  <c r="C68" i="27"/>
  <c r="C62" i="28" s="1"/>
  <c r="C60" i="27"/>
  <c r="C39" i="27"/>
  <c r="C14" i="27"/>
  <c r="C87" i="27"/>
  <c r="C61" i="27"/>
  <c r="K55" i="28" s="1"/>
  <c r="C33" i="27"/>
  <c r="K27" i="28" s="1"/>
  <c r="C42" i="27"/>
  <c r="C40" i="27"/>
  <c r="K34" i="28" s="1"/>
  <c r="C86" i="27"/>
  <c r="C45" i="27"/>
  <c r="C84" i="27"/>
  <c r="C53" i="27"/>
  <c r="C27" i="27"/>
  <c r="C15" i="27"/>
  <c r="C19" i="27"/>
  <c r="K13" i="28" s="1"/>
  <c r="C88" i="27"/>
  <c r="C46" i="27"/>
  <c r="C59" i="27"/>
  <c r="C81" i="27"/>
  <c r="C76" i="27"/>
  <c r="C52" i="27"/>
  <c r="C38" i="27"/>
  <c r="C69" i="27"/>
  <c r="C41" i="27"/>
  <c r="C48" i="27"/>
  <c r="C44" i="27"/>
  <c r="C57" i="27"/>
  <c r="C51" i="27"/>
  <c r="C75" i="27"/>
  <c r="E82" i="27"/>
  <c r="E54" i="27"/>
  <c r="E19" i="27"/>
  <c r="E13" i="28" s="1"/>
  <c r="E73" i="27"/>
  <c r="E83" i="27"/>
  <c r="E49" i="27"/>
  <c r="E88" i="27"/>
  <c r="E76" i="27"/>
  <c r="E41" i="27"/>
  <c r="E60" i="27"/>
  <c r="M54" i="28" s="1"/>
  <c r="E47" i="27"/>
  <c r="E86" i="27"/>
  <c r="E75" i="27"/>
  <c r="E33" i="27"/>
  <c r="E51" i="27"/>
  <c r="E78" i="27"/>
  <c r="E64" i="27"/>
  <c r="E23" i="27"/>
  <c r="E37" i="27"/>
  <c r="E28" i="27"/>
  <c r="E57" i="27"/>
  <c r="E35" i="27"/>
  <c r="E52" i="27"/>
  <c r="E66" i="27"/>
  <c r="E68" i="27"/>
  <c r="E65" i="27"/>
  <c r="E45" i="27"/>
  <c r="E50" i="27"/>
  <c r="E46" i="27"/>
  <c r="E67" i="27"/>
  <c r="E34" i="27"/>
  <c r="E56" i="27"/>
  <c r="E13" i="27"/>
  <c r="E25" i="27"/>
  <c r="E42" i="27"/>
  <c r="E84" i="27"/>
  <c r="E44" i="27"/>
  <c r="E53" i="27"/>
  <c r="M47" i="28" s="1"/>
  <c r="E70" i="27"/>
  <c r="E29" i="27"/>
  <c r="E69" i="27"/>
  <c r="E48" i="27"/>
  <c r="E43" i="27"/>
  <c r="E21" i="27"/>
  <c r="E80" i="27"/>
  <c r="E81" i="27"/>
  <c r="E62" i="27"/>
  <c r="E27" i="27"/>
  <c r="E14" i="27"/>
  <c r="E18" i="27"/>
  <c r="E16" i="27"/>
  <c r="E15" i="27"/>
  <c r="E22" i="27"/>
  <c r="E40" i="27"/>
  <c r="E30" i="27"/>
  <c r="E59" i="27"/>
  <c r="E55" i="27"/>
  <c r="E36" i="27"/>
  <c r="E17" i="27"/>
  <c r="E12" i="27"/>
  <c r="E72" i="27"/>
  <c r="E26" i="27"/>
  <c r="E39" i="27"/>
  <c r="E24" i="27"/>
  <c r="E20" i="27"/>
  <c r="E38" i="27"/>
  <c r="E61" i="27"/>
  <c r="E87" i="27"/>
  <c r="E58" i="27"/>
  <c r="E79" i="27"/>
  <c r="E31" i="27"/>
  <c r="E63" i="27"/>
  <c r="E71" i="27"/>
  <c r="E74" i="27"/>
  <c r="E85" i="27"/>
  <c r="E77" i="27"/>
  <c r="E32" i="27"/>
  <c r="F49" i="27"/>
  <c r="F34" i="27"/>
  <c r="F81" i="27"/>
  <c r="F40" i="27"/>
  <c r="F26" i="27"/>
  <c r="F46" i="27"/>
  <c r="F73" i="27"/>
  <c r="F30" i="27"/>
  <c r="F36" i="27"/>
  <c r="F29" i="27"/>
  <c r="F20" i="27"/>
  <c r="F19" i="27"/>
  <c r="F86" i="27"/>
  <c r="F53" i="27"/>
  <c r="F47" i="28" s="1"/>
  <c r="F33" i="27"/>
  <c r="F79" i="27"/>
  <c r="F88" i="27"/>
  <c r="F82" i="27"/>
  <c r="F76" i="27"/>
  <c r="F54" i="27"/>
  <c r="F41" i="27"/>
  <c r="F13" i="27"/>
  <c r="F60" i="27"/>
  <c r="F54" i="28" s="1"/>
  <c r="F47" i="27"/>
  <c r="F27" i="27"/>
  <c r="F75" i="27"/>
  <c r="F51" i="27"/>
  <c r="F39" i="27"/>
  <c r="F85" i="27"/>
  <c r="F56" i="27"/>
  <c r="F63" i="27"/>
  <c r="F14" i="27"/>
  <c r="F21" i="27"/>
  <c r="F65" i="27"/>
  <c r="F58" i="27"/>
  <c r="F83" i="27"/>
  <c r="F42" i="27"/>
  <c r="F18" i="27"/>
  <c r="F48" i="27"/>
  <c r="F64" i="27"/>
  <c r="F23" i="27"/>
  <c r="F45" i="27"/>
  <c r="F59" i="27"/>
  <c r="F31" i="27"/>
  <c r="F69" i="27"/>
  <c r="F70" i="27"/>
  <c r="F71" i="27"/>
  <c r="F55" i="27"/>
  <c r="F24" i="27"/>
  <c r="F77" i="27"/>
  <c r="F61" i="27"/>
  <c r="F17" i="27"/>
  <c r="F37" i="27"/>
  <c r="F25" i="27"/>
  <c r="F84" i="27"/>
  <c r="F66" i="27"/>
  <c r="F87" i="27"/>
  <c r="F43" i="27"/>
  <c r="F57" i="27"/>
  <c r="F35" i="27"/>
  <c r="F15" i="27"/>
  <c r="F22" i="27"/>
  <c r="F80" i="27"/>
  <c r="F62" i="27"/>
  <c r="F32" i="27"/>
  <c r="F68" i="27"/>
  <c r="F50" i="27"/>
  <c r="F74" i="27"/>
  <c r="F67" i="27"/>
  <c r="F78" i="27"/>
  <c r="F12" i="27"/>
  <c r="F72" i="27"/>
  <c r="F16" i="27"/>
  <c r="F28" i="27"/>
  <c r="F52" i="27"/>
  <c r="F38" i="27"/>
  <c r="F44" i="27"/>
  <c r="H88" i="27"/>
  <c r="H82" i="27"/>
  <c r="H76" i="27"/>
  <c r="H70" i="27"/>
  <c r="P64" i="28" s="1"/>
  <c r="H54" i="27"/>
  <c r="H41" i="27"/>
  <c r="H36" i="27"/>
  <c r="H22" i="27"/>
  <c r="H13" i="27"/>
  <c r="H12" i="27"/>
  <c r="H68" i="27"/>
  <c r="P62" i="28" s="1"/>
  <c r="H53" i="27"/>
  <c r="H67" i="27"/>
  <c r="H59" i="27"/>
  <c r="H53" i="28" s="1"/>
  <c r="H79" i="27"/>
  <c r="H87" i="27"/>
  <c r="H65" i="27"/>
  <c r="H55" i="27"/>
  <c r="H72" i="27"/>
  <c r="P66" i="28" s="1"/>
  <c r="H29" i="27"/>
  <c r="H61" i="27"/>
  <c r="H21" i="27"/>
  <c r="H75" i="27"/>
  <c r="H80" i="27"/>
  <c r="H74" i="28" s="1"/>
  <c r="H85" i="27"/>
  <c r="H31" i="27"/>
  <c r="H23" i="27"/>
  <c r="P17" i="28" s="1"/>
  <c r="H78" i="27"/>
  <c r="H14" i="27"/>
  <c r="H42" i="27"/>
  <c r="H36" i="28" s="1"/>
  <c r="H69" i="27"/>
  <c r="H60" i="27"/>
  <c r="H48" i="27"/>
  <c r="H34" i="27"/>
  <c r="H28" i="28" s="1"/>
  <c r="H28" i="27"/>
  <c r="H27" i="27"/>
  <c r="H21" i="28" s="1"/>
  <c r="H33" i="27"/>
  <c r="H86" i="27"/>
  <c r="H81" i="27"/>
  <c r="H75" i="28" s="1"/>
  <c r="H40" i="27"/>
  <c r="H26" i="27"/>
  <c r="H57" i="27"/>
  <c r="H51" i="27"/>
  <c r="H39" i="27"/>
  <c r="H18" i="27"/>
  <c r="P12" i="28" s="1"/>
  <c r="H73" i="27"/>
  <c r="H66" i="27"/>
  <c r="P60" i="28" s="1"/>
  <c r="H46" i="27"/>
  <c r="H25" i="27"/>
  <c r="H19" i="28" s="1"/>
  <c r="H17" i="27"/>
  <c r="H56" i="27"/>
  <c r="P50" i="28" s="1"/>
  <c r="H24" i="27"/>
  <c r="P18" i="28" s="1"/>
  <c r="H64" i="27"/>
  <c r="H58" i="28" s="1"/>
  <c r="H44" i="27"/>
  <c r="H38" i="27"/>
  <c r="H15" i="27"/>
  <c r="H84" i="27"/>
  <c r="H43" i="27"/>
  <c r="H37" i="27"/>
  <c r="P31" i="28" s="1"/>
  <c r="H30" i="27"/>
  <c r="H83" i="27"/>
  <c r="H49" i="27"/>
  <c r="H43" i="28" s="1"/>
  <c r="H77" i="27"/>
  <c r="H50" i="27"/>
  <c r="P44" i="28" s="1"/>
  <c r="H62" i="27"/>
  <c r="H56" i="28" s="1"/>
  <c r="H19" i="27"/>
  <c r="H32" i="27"/>
  <c r="H45" i="27"/>
  <c r="H20" i="27"/>
  <c r="P14" i="28" s="1"/>
  <c r="H71" i="27"/>
  <c r="H35" i="27"/>
  <c r="H47" i="27"/>
  <c r="H52" i="27"/>
  <c r="P46" i="28" s="1"/>
  <c r="H58" i="27"/>
  <c r="P52" i="28" s="1"/>
  <c r="H16" i="27"/>
  <c r="H63" i="27"/>
  <c r="H74" i="27"/>
  <c r="P68" i="28" s="1"/>
  <c r="J61" i="28"/>
  <c r="M76" i="28"/>
  <c r="O66" i="28"/>
  <c r="C20" i="28"/>
  <c r="H33" i="28"/>
  <c r="H78" i="28"/>
  <c r="D36" i="28"/>
  <c r="L15" i="28"/>
  <c r="N71" i="28"/>
  <c r="B5" i="28"/>
  <c r="G6" i="31"/>
  <c r="H6" i="31" s="1"/>
  <c r="I6" i="31" s="1"/>
  <c r="H5" i="31"/>
  <c r="S5" i="30"/>
  <c r="O5" i="30"/>
  <c r="Q5" i="30"/>
  <c r="M5" i="30"/>
  <c r="R5" i="30"/>
  <c r="N5" i="30"/>
  <c r="I5" i="31"/>
  <c r="P63" i="28"/>
  <c r="F71" i="28"/>
  <c r="D20" i="28"/>
  <c r="L20" i="28"/>
  <c r="G11" i="27"/>
  <c r="H11" i="27"/>
  <c r="D15" i="28"/>
  <c r="E11" i="27"/>
  <c r="F11" i="27"/>
  <c r="D11" i="27"/>
  <c r="C11" i="27"/>
  <c r="P74" i="28" l="1"/>
  <c r="L78" i="28"/>
  <c r="N47" i="28"/>
  <c r="E47" i="28"/>
  <c r="L50" i="28"/>
  <c r="P56" i="28"/>
  <c r="H17" i="28"/>
  <c r="C6" i="28"/>
  <c r="L34" i="28"/>
  <c r="C34" i="28"/>
  <c r="K20" i="28"/>
  <c r="H18" i="28"/>
  <c r="C13" i="28"/>
  <c r="L69" i="28"/>
  <c r="J19" i="28"/>
  <c r="E76" i="28"/>
  <c r="L80" i="28"/>
  <c r="H50" i="28"/>
  <c r="B75" i="28"/>
  <c r="D71" i="28"/>
  <c r="L6" i="28"/>
  <c r="L22" i="28"/>
  <c r="P58" i="28"/>
  <c r="H12" i="28"/>
  <c r="K62" i="28"/>
  <c r="H60" i="28"/>
  <c r="C55" i="28"/>
  <c r="C27" i="28"/>
  <c r="H44" i="28"/>
  <c r="N54" i="28"/>
  <c r="H31" i="28"/>
  <c r="L64" i="28"/>
  <c r="H68" i="28"/>
  <c r="AJ5" i="30"/>
  <c r="P75" i="28"/>
  <c r="D41" i="28"/>
  <c r="P33" i="28"/>
  <c r="H62" i="28"/>
  <c r="L36" i="28"/>
  <c r="L29" i="28"/>
  <c r="AK5" i="30"/>
  <c r="P36" i="28"/>
  <c r="O71" i="28"/>
  <c r="H46" i="28"/>
  <c r="J47" i="28"/>
  <c r="L55" i="28"/>
  <c r="J33" i="28"/>
  <c r="H14" i="28"/>
  <c r="M13" i="28"/>
  <c r="AL5" i="30"/>
  <c r="P30" i="28"/>
  <c r="H30" i="28"/>
  <c r="AI5" i="30"/>
  <c r="J74" i="28"/>
  <c r="H64" i="28"/>
  <c r="P19" i="28"/>
  <c r="E54" i="28"/>
  <c r="B61" i="28"/>
  <c r="D27" i="28"/>
  <c r="L27" i="28"/>
  <c r="P21" i="28"/>
  <c r="L62" i="28"/>
  <c r="G66" i="28"/>
  <c r="D43" i="28"/>
  <c r="P8" i="28"/>
  <c r="H8" i="28"/>
  <c r="P24" i="28"/>
  <c r="H24" i="28"/>
  <c r="O41" i="28"/>
  <c r="P78" i="28"/>
  <c r="P6" i="28"/>
  <c r="H6" i="28"/>
  <c r="H52" i="28"/>
  <c r="P53" i="28"/>
  <c r="P77" i="28"/>
  <c r="H77" i="28"/>
  <c r="P43" i="28"/>
  <c r="P28" i="28"/>
  <c r="C41" i="28"/>
  <c r="P80" i="28"/>
  <c r="H80" i="28"/>
  <c r="D13" i="28"/>
  <c r="P65" i="28"/>
  <c r="H65" i="28"/>
  <c r="G54" i="28"/>
  <c r="H63" i="28"/>
  <c r="P42" i="28"/>
  <c r="H42" i="28"/>
  <c r="M41" i="28"/>
  <c r="E41" i="28"/>
  <c r="H66" i="28"/>
  <c r="O79" i="28"/>
  <c r="P23" i="28"/>
  <c r="H23" i="28"/>
  <c r="P11" i="28"/>
  <c r="H11" i="28"/>
  <c r="K69" i="28"/>
  <c r="C69" i="28"/>
  <c r="C78" i="28"/>
  <c r="K78" i="28"/>
  <c r="P55" i="28"/>
  <c r="H55" i="28"/>
  <c r="H81" i="28"/>
  <c r="P81" i="28"/>
  <c r="D47" i="28"/>
  <c r="L47" i="28"/>
  <c r="D39" i="28"/>
  <c r="L39" i="28"/>
  <c r="P32" i="28"/>
  <c r="H32" i="28"/>
  <c r="O82" i="28"/>
  <c r="G82" i="28"/>
  <c r="O48" i="28"/>
  <c r="G48" i="28"/>
  <c r="E44" i="28"/>
  <c r="M44" i="28"/>
  <c r="E39" i="28"/>
  <c r="M39" i="28"/>
  <c r="O75" i="28"/>
  <c r="G75" i="28"/>
  <c r="F17" i="28"/>
  <c r="N17" i="28"/>
  <c r="B44" i="28"/>
  <c r="J44" i="28"/>
  <c r="B55" i="28"/>
  <c r="J55" i="28"/>
  <c r="B48" i="28"/>
  <c r="J48" i="28"/>
  <c r="C54" i="28"/>
  <c r="K54" i="28"/>
  <c r="K59" i="28"/>
  <c r="C59" i="28"/>
  <c r="D40" i="28"/>
  <c r="L40" i="28"/>
  <c r="D7" i="28"/>
  <c r="L7" i="28"/>
  <c r="D32" i="28"/>
  <c r="L32" i="28"/>
  <c r="P16" i="28"/>
  <c r="H16" i="28"/>
  <c r="O72" i="28"/>
  <c r="G72" i="28"/>
  <c r="O35" i="28"/>
  <c r="G35" i="28"/>
  <c r="E67" i="28"/>
  <c r="M67" i="28"/>
  <c r="E26" i="28"/>
  <c r="M26" i="28"/>
  <c r="M68" i="28"/>
  <c r="E68" i="28"/>
  <c r="F57" i="28"/>
  <c r="N57" i="28"/>
  <c r="N50" i="28"/>
  <c r="F50" i="28"/>
  <c r="N34" i="28"/>
  <c r="F34" i="28"/>
  <c r="N10" i="28"/>
  <c r="F10" i="28"/>
  <c r="N20" i="28"/>
  <c r="F20" i="28"/>
  <c r="P39" i="28"/>
  <c r="H39" i="28"/>
  <c r="O15" i="28"/>
  <c r="G15" i="28"/>
  <c r="B30" i="28"/>
  <c r="J30" i="28"/>
  <c r="B64" i="28"/>
  <c r="J64" i="28"/>
  <c r="D66" i="28"/>
  <c r="L66" i="28"/>
  <c r="C52" i="28"/>
  <c r="K52" i="28"/>
  <c r="D30" i="28"/>
  <c r="L30" i="28"/>
  <c r="G77" i="28"/>
  <c r="O77" i="28"/>
  <c r="M64" i="28"/>
  <c r="E64" i="28"/>
  <c r="J16" i="28"/>
  <c r="B16" i="28"/>
  <c r="J20" i="28"/>
  <c r="B20" i="28"/>
  <c r="L59" i="28"/>
  <c r="D59" i="28"/>
  <c r="D26" i="28"/>
  <c r="L26" i="28"/>
  <c r="C70" i="28"/>
  <c r="K70" i="28"/>
  <c r="K81" i="28"/>
  <c r="C81" i="28"/>
  <c r="G9" i="28"/>
  <c r="O9" i="28"/>
  <c r="O74" i="28"/>
  <c r="G74" i="28"/>
  <c r="O39" i="28"/>
  <c r="G39" i="28"/>
  <c r="M69" i="28"/>
  <c r="E69" i="28"/>
  <c r="E80" i="28"/>
  <c r="M80" i="28"/>
  <c r="G37" i="28"/>
  <c r="O37" i="28"/>
  <c r="N52" i="28"/>
  <c r="F52" i="28"/>
  <c r="N35" i="28"/>
  <c r="F35" i="28"/>
  <c r="N70" i="28"/>
  <c r="F70" i="28"/>
  <c r="G33" i="28"/>
  <c r="O33" i="28"/>
  <c r="J71" i="28"/>
  <c r="B71" i="28"/>
  <c r="B66" i="28"/>
  <c r="J66" i="28"/>
  <c r="J6" i="28"/>
  <c r="B6" i="28"/>
  <c r="K33" i="28"/>
  <c r="C33" i="28"/>
  <c r="C38" i="28"/>
  <c r="K38" i="28"/>
  <c r="K63" i="28"/>
  <c r="C63" i="28"/>
  <c r="P70" i="28"/>
  <c r="H70" i="28"/>
  <c r="H41" i="28"/>
  <c r="P41" i="28"/>
  <c r="O6" i="28"/>
  <c r="G6" i="28"/>
  <c r="M73" i="28"/>
  <c r="E73" i="28"/>
  <c r="E24" i="28"/>
  <c r="M24" i="28"/>
  <c r="B46" i="28"/>
  <c r="J46" i="28"/>
  <c r="B57" i="28"/>
  <c r="J57" i="28"/>
  <c r="B52" i="28"/>
  <c r="J52" i="28"/>
  <c r="D45" i="28"/>
  <c r="L45" i="28"/>
  <c r="K51" i="28"/>
  <c r="C51" i="28"/>
  <c r="D12" i="28"/>
  <c r="L12" i="28"/>
  <c r="L9" i="28"/>
  <c r="D9" i="28"/>
  <c r="H67" i="28"/>
  <c r="P67" i="28"/>
  <c r="O30" i="28"/>
  <c r="G30" i="28"/>
  <c r="G31" i="28"/>
  <c r="O31" i="28"/>
  <c r="O64" i="28"/>
  <c r="G64" i="28"/>
  <c r="E6" i="28"/>
  <c r="M6" i="28"/>
  <c r="E62" i="28"/>
  <c r="M62" i="28"/>
  <c r="O12" i="28"/>
  <c r="G12" i="28"/>
  <c r="N43" i="28"/>
  <c r="F43" i="28"/>
  <c r="F29" i="28"/>
  <c r="N29" i="28"/>
  <c r="J43" i="28"/>
  <c r="B43" i="28"/>
  <c r="C64" i="28"/>
  <c r="K64" i="28"/>
  <c r="C24" i="28"/>
  <c r="K24" i="28"/>
  <c r="K23" i="28"/>
  <c r="C23" i="28"/>
  <c r="O34" i="28"/>
  <c r="G34" i="28"/>
  <c r="G13" i="28"/>
  <c r="O13" i="28"/>
  <c r="E10" i="28"/>
  <c r="M10" i="28"/>
  <c r="M25" i="28"/>
  <c r="E25" i="28"/>
  <c r="N60" i="28"/>
  <c r="F60" i="28"/>
  <c r="D48" i="28"/>
  <c r="L48" i="28"/>
  <c r="J24" i="28"/>
  <c r="B24" i="28"/>
  <c r="M81" i="28"/>
  <c r="E81" i="28"/>
  <c r="B14" i="28"/>
  <c r="J14" i="28"/>
  <c r="B76" i="28"/>
  <c r="J76" i="28"/>
  <c r="L51" i="28"/>
  <c r="D51" i="28"/>
  <c r="D28" i="28"/>
  <c r="L28" i="28"/>
  <c r="C11" i="28"/>
  <c r="K11" i="28"/>
  <c r="O56" i="28"/>
  <c r="G56" i="28"/>
  <c r="M59" i="28"/>
  <c r="E59" i="28"/>
  <c r="E23" i="28"/>
  <c r="M23" i="28"/>
  <c r="F21" i="28"/>
  <c r="N21" i="28"/>
  <c r="J69" i="28"/>
  <c r="B69" i="28"/>
  <c r="B62" i="28"/>
  <c r="J62" i="28"/>
  <c r="D37" i="28"/>
  <c r="L37" i="28"/>
  <c r="L21" i="28"/>
  <c r="D21" i="28"/>
  <c r="G47" i="28"/>
  <c r="O47" i="28"/>
  <c r="N25" i="28"/>
  <c r="F25" i="28"/>
  <c r="M55" i="28"/>
  <c r="E55" i="28"/>
  <c r="N30" i="28"/>
  <c r="F30" i="28"/>
  <c r="N26" i="28"/>
  <c r="F26" i="28"/>
  <c r="C76" i="28"/>
  <c r="K76" i="28"/>
  <c r="G5" i="28"/>
  <c r="O5" i="28"/>
  <c r="L73" i="28"/>
  <c r="D73" i="28"/>
  <c r="O65" i="28"/>
  <c r="G65" i="28"/>
  <c r="J41" i="28"/>
  <c r="B41" i="28"/>
  <c r="C47" i="28"/>
  <c r="K47" i="28"/>
  <c r="K77" i="28"/>
  <c r="C77" i="28"/>
  <c r="H79" i="28"/>
  <c r="P79" i="28"/>
  <c r="O57" i="28"/>
  <c r="G57" i="28"/>
  <c r="E65" i="28"/>
  <c r="M65" i="28"/>
  <c r="M46" i="28"/>
  <c r="E46" i="28"/>
  <c r="F67" i="28"/>
  <c r="N67" i="28"/>
  <c r="B27" i="28"/>
  <c r="J27" i="28"/>
  <c r="C40" i="28"/>
  <c r="K40" i="28"/>
  <c r="L23" i="28"/>
  <c r="D23" i="28"/>
  <c r="O73" i="28"/>
  <c r="G73" i="28"/>
  <c r="O46" i="28"/>
  <c r="G46" i="28"/>
  <c r="N58" i="28"/>
  <c r="F58" i="28"/>
  <c r="B13" i="28"/>
  <c r="J13" i="28"/>
  <c r="C58" i="28"/>
  <c r="K58" i="28"/>
  <c r="C74" i="28"/>
  <c r="K74" i="28"/>
  <c r="O42" i="28"/>
  <c r="G42" i="28"/>
  <c r="O24" i="28"/>
  <c r="G24" i="28"/>
  <c r="B82" i="28"/>
  <c r="J82" i="28"/>
  <c r="K19" i="28"/>
  <c r="C19" i="28"/>
  <c r="P38" i="28"/>
  <c r="H38" i="28"/>
  <c r="N32" i="28"/>
  <c r="F32" i="28"/>
  <c r="B32" i="28"/>
  <c r="J32" i="28"/>
  <c r="B8" i="28"/>
  <c r="J8" i="28"/>
  <c r="K5" i="28"/>
  <c r="C5" i="28"/>
  <c r="L5" i="28"/>
  <c r="D5" i="28"/>
  <c r="C60" i="28"/>
  <c r="K60" i="28"/>
  <c r="O40" i="28"/>
  <c r="G40" i="28"/>
  <c r="M66" i="28"/>
  <c r="E66" i="28"/>
  <c r="O81" i="28"/>
  <c r="G81" i="28"/>
  <c r="F45" i="28"/>
  <c r="N45" i="28"/>
  <c r="H9" i="28"/>
  <c r="P9" i="28"/>
  <c r="J18" i="28"/>
  <c r="B18" i="28"/>
  <c r="J77" i="28"/>
  <c r="B77" i="28"/>
  <c r="L63" i="28"/>
  <c r="D63" i="28"/>
  <c r="C26" i="28"/>
  <c r="K26" i="28"/>
  <c r="C53" i="28"/>
  <c r="K53" i="28"/>
  <c r="O38" i="28"/>
  <c r="G38" i="28"/>
  <c r="N9" i="28"/>
  <c r="F9" i="28"/>
  <c r="N28" i="28"/>
  <c r="F28" i="28"/>
  <c r="E70" i="28"/>
  <c r="M70" i="28"/>
  <c r="E63" i="28"/>
  <c r="M63" i="28"/>
  <c r="N14" i="28"/>
  <c r="F14" i="28"/>
  <c r="N48" i="28"/>
  <c r="F48" i="28"/>
  <c r="O28" i="28"/>
  <c r="G28" i="28"/>
  <c r="H69" i="28"/>
  <c r="P69" i="28"/>
  <c r="B15" i="28"/>
  <c r="J15" i="28"/>
  <c r="J63" i="28"/>
  <c r="B63" i="28"/>
  <c r="C30" i="28"/>
  <c r="K30" i="28"/>
  <c r="L81" i="28"/>
  <c r="D81" i="28"/>
  <c r="O78" i="28"/>
  <c r="G78" i="28"/>
  <c r="M7" i="28"/>
  <c r="E7" i="28"/>
  <c r="J59" i="28"/>
  <c r="B59" i="28"/>
  <c r="J79" i="28"/>
  <c r="B79" i="28"/>
  <c r="D17" i="28"/>
  <c r="L17" i="28"/>
  <c r="P10" i="28"/>
  <c r="H10" i="28"/>
  <c r="O36" i="28"/>
  <c r="G36" i="28"/>
  <c r="B53" i="28"/>
  <c r="J53" i="28"/>
  <c r="C15" i="28"/>
  <c r="K15" i="28"/>
  <c r="K73" i="28"/>
  <c r="C73" i="28"/>
  <c r="D72" i="28"/>
  <c r="L72" i="28"/>
  <c r="P35" i="28"/>
  <c r="H35" i="28"/>
  <c r="G49" i="28"/>
  <c r="O49" i="28"/>
  <c r="M56" i="28"/>
  <c r="E56" i="28"/>
  <c r="M32" i="28"/>
  <c r="E32" i="28"/>
  <c r="N80" i="28"/>
  <c r="F80" i="28"/>
  <c r="J39" i="28"/>
  <c r="B39" i="28"/>
  <c r="K61" i="28"/>
  <c r="C61" i="28"/>
  <c r="D58" i="28"/>
  <c r="L58" i="28"/>
  <c r="O32" i="28"/>
  <c r="G32" i="28"/>
  <c r="N63" i="28"/>
  <c r="F63" i="28"/>
  <c r="H5" i="28"/>
  <c r="P5" i="28"/>
  <c r="B78" i="28"/>
  <c r="J78" i="28"/>
  <c r="D44" i="28"/>
  <c r="L44" i="28"/>
  <c r="E49" i="28"/>
  <c r="M49" i="28"/>
  <c r="B11" i="28"/>
  <c r="J11" i="28"/>
  <c r="C72" i="28"/>
  <c r="K72" i="28"/>
  <c r="D18" i="28"/>
  <c r="L18" i="28"/>
  <c r="G23" i="28"/>
  <c r="O23" i="28"/>
  <c r="E19" i="28"/>
  <c r="M19" i="28"/>
  <c r="F31" i="28"/>
  <c r="N31" i="28"/>
  <c r="B80" i="28"/>
  <c r="J80" i="28"/>
  <c r="C65" i="28"/>
  <c r="K65" i="28"/>
  <c r="P7" i="28"/>
  <c r="H7" i="28"/>
  <c r="M5" i="28"/>
  <c r="E5" i="28"/>
  <c r="M30" i="28"/>
  <c r="E30" i="28"/>
  <c r="P15" i="28"/>
  <c r="H15" i="28"/>
  <c r="B60" i="28"/>
  <c r="J60" i="28"/>
  <c r="D52" i="28"/>
  <c r="L52" i="28"/>
  <c r="D16" i="28"/>
  <c r="L16" i="28"/>
  <c r="O76" i="28"/>
  <c r="G76" i="28"/>
  <c r="E57" i="28"/>
  <c r="M57" i="28"/>
  <c r="M38" i="28"/>
  <c r="E38" i="28"/>
  <c r="N40" i="28"/>
  <c r="F40" i="28"/>
  <c r="N8" i="28"/>
  <c r="F8" i="28"/>
  <c r="C71" i="28"/>
  <c r="K71" i="28"/>
  <c r="C56" i="28"/>
  <c r="K56" i="28"/>
  <c r="N72" i="28"/>
  <c r="F72" i="28"/>
  <c r="B38" i="28"/>
  <c r="J38" i="28"/>
  <c r="C44" i="28"/>
  <c r="K44" i="28"/>
  <c r="H51" i="28"/>
  <c r="P51" i="28"/>
  <c r="F41" i="28"/>
  <c r="N41" i="28"/>
  <c r="M12" i="28"/>
  <c r="E12" i="28"/>
  <c r="J29" i="28"/>
  <c r="B29" i="28"/>
  <c r="D31" i="28"/>
  <c r="L31" i="28"/>
  <c r="C17" i="28"/>
  <c r="K17" i="28"/>
  <c r="K9" i="28"/>
  <c r="C9" i="28"/>
  <c r="N68" i="28"/>
  <c r="F68" i="28"/>
  <c r="O53" i="28"/>
  <c r="G53" i="28"/>
  <c r="M31" i="28"/>
  <c r="E31" i="28"/>
  <c r="M58" i="28"/>
  <c r="E58" i="28"/>
  <c r="N11" i="28"/>
  <c r="F11" i="28"/>
  <c r="P20" i="28"/>
  <c r="H20" i="28"/>
  <c r="J10" i="28"/>
  <c r="B10" i="28"/>
  <c r="D24" i="28"/>
  <c r="L24" i="28"/>
  <c r="C10" i="28"/>
  <c r="K10" i="28"/>
  <c r="K35" i="28"/>
  <c r="C35" i="28"/>
  <c r="H13" i="28"/>
  <c r="P13" i="28"/>
  <c r="O52" i="28"/>
  <c r="G52" i="28"/>
  <c r="E79" i="28"/>
  <c r="M79" i="28"/>
  <c r="M35" i="28"/>
  <c r="E35" i="28"/>
  <c r="E74" i="28"/>
  <c r="M74" i="28"/>
  <c r="N75" i="28"/>
  <c r="F75" i="28"/>
  <c r="N22" i="28"/>
  <c r="F22" i="28"/>
  <c r="D57" i="28"/>
  <c r="L57" i="28"/>
  <c r="H71" i="28"/>
  <c r="P71" i="28"/>
  <c r="M40" i="28"/>
  <c r="E40" i="28"/>
  <c r="E77" i="28"/>
  <c r="M77" i="28"/>
  <c r="F37" i="28"/>
  <c r="N37" i="28"/>
  <c r="N27" i="28"/>
  <c r="F27" i="28"/>
  <c r="P72" i="28"/>
  <c r="H72" i="28"/>
  <c r="B56" i="28"/>
  <c r="J56" i="28"/>
  <c r="B65" i="28"/>
  <c r="J65" i="28"/>
  <c r="C36" i="28"/>
  <c r="K36" i="28"/>
  <c r="D14" i="28"/>
  <c r="L14" i="28"/>
  <c r="D75" i="28"/>
  <c r="L75" i="28"/>
  <c r="K21" i="28"/>
  <c r="C21" i="28"/>
  <c r="C32" i="28"/>
  <c r="K32" i="28"/>
  <c r="O60" i="28"/>
  <c r="G60" i="28"/>
  <c r="O70" i="28"/>
  <c r="G70" i="28"/>
  <c r="M43" i="28"/>
  <c r="E43" i="28"/>
  <c r="E45" i="28"/>
  <c r="M45" i="28"/>
  <c r="N24" i="28"/>
  <c r="F24" i="28"/>
  <c r="N82" i="28"/>
  <c r="F82" i="28"/>
  <c r="P25" i="28"/>
  <c r="H25" i="28"/>
  <c r="B42" i="28"/>
  <c r="J42" i="28"/>
  <c r="J81" i="28"/>
  <c r="B81" i="28"/>
  <c r="J51" i="28"/>
  <c r="B51" i="28"/>
  <c r="J21" i="28"/>
  <c r="B21" i="28"/>
  <c r="C29" i="28"/>
  <c r="K29" i="28"/>
  <c r="C82" i="28"/>
  <c r="K82" i="28"/>
  <c r="L79" i="28"/>
  <c r="D79" i="28"/>
  <c r="D11" i="28"/>
  <c r="L11" i="28"/>
  <c r="D68" i="28"/>
  <c r="L68" i="28"/>
  <c r="D56" i="28"/>
  <c r="L56" i="28"/>
  <c r="C14" i="28"/>
  <c r="K14" i="28"/>
  <c r="D60" i="28"/>
  <c r="L60" i="28"/>
  <c r="K25" i="28"/>
  <c r="C25" i="28"/>
  <c r="P73" i="28"/>
  <c r="H73" i="28"/>
  <c r="E16" i="28"/>
  <c r="M16" i="28"/>
  <c r="O14" i="28"/>
  <c r="G14" i="28"/>
  <c r="O27" i="28"/>
  <c r="G27" i="28"/>
  <c r="O7" i="28"/>
  <c r="G7" i="28"/>
  <c r="N76" i="28"/>
  <c r="F76" i="28"/>
  <c r="M60" i="28"/>
  <c r="E60" i="28"/>
  <c r="E78" i="28"/>
  <c r="M78" i="28"/>
  <c r="M48" i="28"/>
  <c r="E48" i="28"/>
  <c r="E14" i="28"/>
  <c r="M14" i="28"/>
  <c r="E51" i="28"/>
  <c r="M51" i="28"/>
  <c r="O17" i="28"/>
  <c r="G17" i="28"/>
  <c r="E50" i="28"/>
  <c r="M50" i="28"/>
  <c r="F65" i="28"/>
  <c r="N65" i="28"/>
  <c r="F49" i="28"/>
  <c r="N49" i="28"/>
  <c r="N42" i="28"/>
  <c r="F42" i="28"/>
  <c r="E8" i="28"/>
  <c r="M8" i="28"/>
  <c r="H37" i="28"/>
  <c r="P37" i="28"/>
  <c r="O8" i="28"/>
  <c r="G8" i="28"/>
  <c r="B72" i="28"/>
  <c r="J72" i="28"/>
  <c r="J23" i="28"/>
  <c r="B23" i="28"/>
  <c r="C68" i="28"/>
  <c r="K68" i="28"/>
  <c r="D54" i="28"/>
  <c r="L54" i="28"/>
  <c r="D46" i="28"/>
  <c r="L46" i="28"/>
  <c r="O25" i="28"/>
  <c r="G25" i="28"/>
  <c r="O45" i="28"/>
  <c r="G45" i="28"/>
  <c r="M27" i="28"/>
  <c r="E27" i="28"/>
  <c r="E52" i="28"/>
  <c r="M52" i="28"/>
  <c r="N81" i="28"/>
  <c r="F81" i="28"/>
  <c r="F73" i="28"/>
  <c r="N73" i="28"/>
  <c r="N36" i="28"/>
  <c r="F36" i="28"/>
  <c r="D8" i="28"/>
  <c r="L8" i="28"/>
  <c r="P82" i="28"/>
  <c r="H82" i="28"/>
  <c r="B58" i="28"/>
  <c r="J58" i="28"/>
  <c r="J9" i="28"/>
  <c r="B9" i="28"/>
  <c r="C8" i="28"/>
  <c r="K8" i="28"/>
  <c r="C66" i="28"/>
  <c r="K66" i="28"/>
  <c r="P48" i="28"/>
  <c r="H48" i="28"/>
  <c r="E82" i="28"/>
  <c r="M82" i="28"/>
  <c r="N6" i="28"/>
  <c r="F6" i="28"/>
  <c r="J25" i="28"/>
  <c r="B25" i="28"/>
  <c r="K79" i="28"/>
  <c r="C79" i="28"/>
  <c r="P45" i="28"/>
  <c r="H45" i="28"/>
  <c r="G61" i="28"/>
  <c r="O61" i="28"/>
  <c r="E42" i="28"/>
  <c r="M42" i="28"/>
  <c r="N51" i="28"/>
  <c r="F51" i="28"/>
  <c r="B34" i="28"/>
  <c r="J34" i="28"/>
  <c r="L33" i="28"/>
  <c r="D33" i="28"/>
  <c r="H29" i="28"/>
  <c r="P29" i="28"/>
  <c r="G69" i="28"/>
  <c r="O69" i="28"/>
  <c r="F55" i="28"/>
  <c r="N55" i="28"/>
  <c r="N15" i="28"/>
  <c r="F15" i="28"/>
  <c r="E37" i="28"/>
  <c r="M37" i="28"/>
  <c r="N38" i="28"/>
  <c r="F38" i="28"/>
  <c r="F33" i="28"/>
  <c r="N33" i="28"/>
  <c r="H49" i="28"/>
  <c r="P49" i="28"/>
  <c r="G59" i="28"/>
  <c r="O59" i="28"/>
  <c r="B50" i="28"/>
  <c r="J50" i="28"/>
  <c r="K45" i="28"/>
  <c r="C45" i="28"/>
  <c r="P54" i="28"/>
  <c r="H54" i="28"/>
  <c r="M15" i="28"/>
  <c r="E15" i="28"/>
  <c r="F59" i="28"/>
  <c r="N59" i="28"/>
  <c r="B36" i="28"/>
  <c r="J36" i="28"/>
  <c r="L19" i="28"/>
  <c r="D19" i="28"/>
  <c r="G21" i="28"/>
  <c r="O21" i="28"/>
  <c r="F79" i="28"/>
  <c r="N79" i="28"/>
  <c r="E17" i="28"/>
  <c r="M17" i="28"/>
  <c r="F13" i="28"/>
  <c r="N13" i="28"/>
  <c r="N7" i="28"/>
  <c r="F7" i="28"/>
  <c r="N74" i="28"/>
  <c r="F74" i="28"/>
  <c r="P27" i="28"/>
  <c r="H27" i="28"/>
  <c r="B22" i="28"/>
  <c r="J22" i="28"/>
  <c r="K31" i="28"/>
  <c r="C31" i="28"/>
  <c r="C67" i="28"/>
  <c r="K67" i="28"/>
  <c r="O10" i="28"/>
  <c r="G10" i="28"/>
  <c r="M20" i="28"/>
  <c r="E20" i="28"/>
  <c r="O16" i="28"/>
  <c r="G16" i="28"/>
  <c r="N53" i="28"/>
  <c r="F53" i="28"/>
  <c r="F77" i="28"/>
  <c r="N77" i="28"/>
  <c r="P40" i="28"/>
  <c r="H40" i="28"/>
  <c r="B68" i="28"/>
  <c r="J68" i="28"/>
  <c r="D38" i="28"/>
  <c r="L38" i="28"/>
  <c r="K49" i="28"/>
  <c r="C49" i="28"/>
  <c r="P22" i="28"/>
  <c r="H22" i="28"/>
  <c r="O80" i="28"/>
  <c r="G80" i="28"/>
  <c r="M33" i="28"/>
  <c r="E33" i="28"/>
  <c r="N78" i="28"/>
  <c r="F78" i="28"/>
  <c r="H59" i="28"/>
  <c r="P59" i="28"/>
  <c r="B54" i="28"/>
  <c r="J54" i="28"/>
  <c r="C57" i="28"/>
  <c r="K57" i="28"/>
  <c r="C37" i="28"/>
  <c r="K37" i="28"/>
  <c r="C42" i="28"/>
  <c r="K42" i="28"/>
  <c r="P26" i="28"/>
  <c r="H26" i="28"/>
  <c r="O26" i="28"/>
  <c r="G26" i="28"/>
  <c r="G19" i="28"/>
  <c r="O19" i="28"/>
  <c r="E34" i="28"/>
  <c r="M34" i="28"/>
  <c r="J73" i="28"/>
  <c r="B73" i="28"/>
  <c r="B40" i="28"/>
  <c r="J40" i="28"/>
  <c r="C50" i="28"/>
  <c r="K50" i="28"/>
  <c r="D49" i="28"/>
  <c r="L49" i="28"/>
  <c r="C12" i="28"/>
  <c r="K12" i="28"/>
  <c r="C46" i="28"/>
  <c r="K46" i="28"/>
  <c r="N62" i="28"/>
  <c r="F62" i="28"/>
  <c r="O51" i="28"/>
  <c r="G51" i="28"/>
  <c r="M21" i="28"/>
  <c r="E21" i="28"/>
  <c r="E75" i="28"/>
  <c r="M75" i="28"/>
  <c r="O50" i="28"/>
  <c r="G50" i="28"/>
  <c r="N18" i="28"/>
  <c r="F18" i="28"/>
  <c r="N61" i="28"/>
  <c r="F61" i="28"/>
  <c r="P34" i="28"/>
  <c r="H34" i="28"/>
  <c r="B70" i="28"/>
  <c r="J70" i="28"/>
  <c r="B26" i="28"/>
  <c r="J26" i="28"/>
  <c r="B49" i="28"/>
  <c r="J49" i="28"/>
  <c r="C43" i="28"/>
  <c r="K43" i="28"/>
  <c r="L35" i="28"/>
  <c r="D35" i="28"/>
  <c r="C16" i="28"/>
  <c r="K16" i="28"/>
  <c r="D82" i="28"/>
  <c r="L82" i="28"/>
  <c r="L77" i="28"/>
  <c r="D77" i="28"/>
  <c r="C28" i="28"/>
  <c r="K28" i="28"/>
  <c r="D74" i="28"/>
  <c r="L74" i="28"/>
  <c r="C39" i="28"/>
  <c r="K39" i="28"/>
  <c r="O55" i="28"/>
  <c r="G55" i="28"/>
  <c r="G43" i="28"/>
  <c r="O43" i="28"/>
  <c r="O11" i="28"/>
  <c r="G11" i="28"/>
  <c r="O67" i="28"/>
  <c r="G67" i="28"/>
  <c r="E72" i="28"/>
  <c r="M72" i="28"/>
  <c r="M9" i="28"/>
  <c r="E9" i="28"/>
  <c r="E29" i="28"/>
  <c r="M29" i="28"/>
  <c r="O63" i="28"/>
  <c r="G63" i="28"/>
  <c r="O68" i="28"/>
  <c r="G68" i="28"/>
  <c r="N56" i="28"/>
  <c r="F56" i="28"/>
  <c r="N23" i="28"/>
  <c r="F23" i="28"/>
  <c r="C48" i="28"/>
  <c r="K48" i="28"/>
  <c r="P61" i="28"/>
  <c r="H61" i="28"/>
  <c r="J45" i="28"/>
  <c r="B45" i="28"/>
  <c r="J12" i="28"/>
  <c r="B12" i="28"/>
  <c r="B35" i="28"/>
  <c r="J35" i="28"/>
  <c r="D10" i="28"/>
  <c r="L10" i="28"/>
  <c r="L25" i="28"/>
  <c r="D25" i="28"/>
  <c r="D70" i="28"/>
  <c r="L70" i="28"/>
  <c r="D67" i="28"/>
  <c r="L67" i="28"/>
  <c r="P76" i="28"/>
  <c r="H76" i="28"/>
  <c r="O22" i="28"/>
  <c r="G22" i="28"/>
  <c r="N66" i="28"/>
  <c r="F66" i="28"/>
  <c r="M53" i="28"/>
  <c r="E53" i="28"/>
  <c r="M11" i="28"/>
  <c r="E11" i="28"/>
  <c r="O58" i="28"/>
  <c r="G58" i="28"/>
  <c r="O62" i="28"/>
  <c r="G62" i="28"/>
  <c r="N44" i="28"/>
  <c r="F44" i="28"/>
  <c r="F39" i="28"/>
  <c r="N39" i="28"/>
  <c r="E28" i="28"/>
  <c r="M28" i="28"/>
  <c r="O20" i="28"/>
  <c r="G20" i="28"/>
  <c r="J31" i="28"/>
  <c r="B31" i="28"/>
  <c r="J17" i="28"/>
  <c r="B17" i="28"/>
  <c r="B28" i="28"/>
  <c r="J28" i="28"/>
  <c r="B67" i="28"/>
  <c r="J67" i="28"/>
  <c r="B37" i="28"/>
  <c r="J37" i="28"/>
  <c r="B7" i="28"/>
  <c r="J7" i="28"/>
  <c r="C22" i="28"/>
  <c r="K22" i="28"/>
  <c r="C75" i="28"/>
  <c r="K75" i="28"/>
  <c r="D65" i="28"/>
  <c r="L65" i="28"/>
  <c r="C80" i="28"/>
  <c r="K80" i="28"/>
  <c r="L61" i="28"/>
  <c r="D61" i="28"/>
  <c r="D42" i="28"/>
  <c r="L42" i="28"/>
  <c r="C7" i="28"/>
  <c r="K7" i="28"/>
  <c r="L53" i="28"/>
  <c r="D53" i="28"/>
  <c r="C18" i="28"/>
  <c r="K18" i="28"/>
  <c r="P57" i="28"/>
  <c r="H57" i="28"/>
  <c r="F5" i="28"/>
  <c r="N5" i="28"/>
  <c r="O18" i="28"/>
  <c r="G18" i="28"/>
  <c r="O44" i="28"/>
  <c r="G44" i="28"/>
  <c r="G29" i="28"/>
  <c r="O29" i="28"/>
  <c r="M71" i="28"/>
  <c r="E71" i="28"/>
  <c r="M18" i="28"/>
  <c r="E18" i="28"/>
  <c r="E22" i="28"/>
  <c r="M22" i="28"/>
  <c r="M61" i="28"/>
  <c r="E61" i="28"/>
  <c r="E36" i="28"/>
  <c r="M36" i="28"/>
  <c r="N46" i="28"/>
  <c r="F46" i="28"/>
  <c r="N12" i="28"/>
  <c r="F12" i="28"/>
  <c r="N16" i="28"/>
  <c r="F16" i="28"/>
  <c r="N69" i="28"/>
  <c r="F69" i="28"/>
  <c r="F19" i="28"/>
  <c r="N19" i="28"/>
  <c r="N64" i="28"/>
  <c r="F64" i="28"/>
  <c r="D76" i="28"/>
  <c r="L76" i="28"/>
  <c r="P47" i="28"/>
  <c r="H47" i="28"/>
  <c r="I71" i="28" l="1"/>
  <c r="I28" i="28"/>
  <c r="I36" i="28"/>
  <c r="Q6" i="28"/>
  <c r="I6" i="28"/>
  <c r="I23" i="28"/>
  <c r="Q31" i="28"/>
  <c r="I78" i="28"/>
  <c r="Q66" i="28"/>
  <c r="Q47" i="28"/>
  <c r="Q28" i="28"/>
  <c r="Q49" i="28"/>
  <c r="I77" i="28"/>
  <c r="I22" i="28"/>
  <c r="I50" i="28"/>
  <c r="I42" i="28"/>
  <c r="I56" i="28"/>
  <c r="Q29" i="28"/>
  <c r="Q14" i="28"/>
  <c r="I43" i="28"/>
  <c r="Q46" i="28"/>
  <c r="I35" i="28"/>
  <c r="Q63" i="28"/>
  <c r="Q77" i="28"/>
  <c r="Q19" i="28"/>
  <c r="I14" i="28"/>
  <c r="Q40" i="28"/>
  <c r="I73" i="28"/>
  <c r="Q70" i="28"/>
  <c r="Q9" i="28"/>
  <c r="Q23" i="28"/>
  <c r="I31" i="28"/>
  <c r="I24" i="28"/>
  <c r="Q73" i="28"/>
  <c r="I25" i="28"/>
  <c r="I59" i="28"/>
  <c r="I58" i="28"/>
  <c r="I37" i="28"/>
  <c r="Q53" i="28"/>
  <c r="Q21" i="28"/>
  <c r="I53" i="28"/>
  <c r="Q74" i="28"/>
  <c r="Q68" i="28"/>
  <c r="I51" i="28"/>
  <c r="Q38" i="28"/>
  <c r="I63" i="28"/>
  <c r="I32" i="28"/>
  <c r="I74" i="28"/>
  <c r="I62" i="28"/>
  <c r="Q71" i="28"/>
  <c r="I48" i="28"/>
  <c r="I5" i="28"/>
  <c r="I70" i="28"/>
  <c r="Q58" i="28"/>
  <c r="Q78" i="28"/>
  <c r="I33" i="28"/>
  <c r="Q8" i="28"/>
  <c r="Q34" i="28"/>
  <c r="I10" i="28"/>
  <c r="I66" i="28"/>
  <c r="Q35" i="28"/>
  <c r="I54" i="28"/>
  <c r="Q48" i="28"/>
  <c r="I12" i="28"/>
  <c r="I68" i="28"/>
  <c r="Q51" i="28"/>
  <c r="I38" i="28"/>
  <c r="Q27" i="28"/>
  <c r="I69" i="28"/>
  <c r="Q52" i="28"/>
  <c r="I20" i="28"/>
  <c r="Q64" i="28"/>
  <c r="Q55" i="28"/>
  <c r="I65" i="28"/>
  <c r="I60" i="28"/>
  <c r="I9" i="28"/>
  <c r="I7" i="28"/>
  <c r="Q24" i="28"/>
  <c r="Q25" i="28"/>
  <c r="I45" i="28"/>
  <c r="Q10" i="28"/>
  <c r="Q12" i="28"/>
  <c r="I15" i="28"/>
  <c r="I81" i="28"/>
  <c r="Q65" i="28"/>
  <c r="I27" i="28"/>
  <c r="I47" i="28"/>
  <c r="Q69" i="28"/>
  <c r="Q43" i="28"/>
  <c r="I52" i="28"/>
  <c r="Q20" i="28"/>
  <c r="I64" i="28"/>
  <c r="I55" i="28"/>
  <c r="Q75" i="28"/>
  <c r="Q59" i="28"/>
  <c r="Q72" i="28"/>
  <c r="I72" i="28"/>
  <c r="I8" i="28"/>
  <c r="Q32" i="28"/>
  <c r="Q67" i="28"/>
  <c r="I79" i="28"/>
  <c r="Q81" i="28"/>
  <c r="Q13" i="28"/>
  <c r="I41" i="28"/>
  <c r="Q76" i="28"/>
  <c r="Q57" i="28"/>
  <c r="I16" i="28"/>
  <c r="Q30" i="28"/>
  <c r="Q44" i="28"/>
  <c r="I11" i="28"/>
  <c r="Q39" i="28"/>
  <c r="Q5" i="28"/>
  <c r="C5" i="31" s="1"/>
  <c r="E5" i="31" s="1"/>
  <c r="Q54" i="28"/>
  <c r="Q7" i="28"/>
  <c r="I61" i="28"/>
  <c r="I34" i="28"/>
  <c r="Q62" i="28"/>
  <c r="Q37" i="28"/>
  <c r="I67" i="28"/>
  <c r="Q45" i="28"/>
  <c r="Q22" i="28"/>
  <c r="Q50" i="28"/>
  <c r="Q42" i="28"/>
  <c r="Q56" i="28"/>
  <c r="Q11" i="28"/>
  <c r="I13" i="28"/>
  <c r="Q41" i="28"/>
  <c r="I21" i="28"/>
  <c r="I76" i="28"/>
  <c r="I29" i="28"/>
  <c r="Q16" i="28"/>
  <c r="I30" i="28"/>
  <c r="I57" i="28"/>
  <c r="I44" i="28"/>
  <c r="Q80" i="28"/>
  <c r="I46" i="28"/>
  <c r="I17" i="28"/>
  <c r="Q26" i="28"/>
  <c r="I49" i="28"/>
  <c r="I80" i="28"/>
  <c r="Q61" i="28"/>
  <c r="Q79" i="28"/>
  <c r="Q15" i="28"/>
  <c r="I18" i="28"/>
  <c r="Q82" i="28"/>
  <c r="I19" i="28"/>
  <c r="Q17" i="28"/>
  <c r="I26" i="28"/>
  <c r="I40" i="28"/>
  <c r="Q36" i="28"/>
  <c r="I75" i="28"/>
  <c r="Q60" i="28"/>
  <c r="I39" i="28"/>
  <c r="Q18" i="28"/>
  <c r="I82" i="28"/>
  <c r="Q33" i="28"/>
  <c r="R58" i="28" l="1"/>
  <c r="R56" i="28"/>
  <c r="R27" i="28"/>
  <c r="R21" i="28"/>
  <c r="R42" i="28"/>
  <c r="R51" i="28"/>
  <c r="R28" i="28"/>
  <c r="R52" i="28"/>
  <c r="R60" i="28"/>
  <c r="R10" i="28"/>
  <c r="R36" i="28"/>
  <c r="R47" i="28"/>
  <c r="R71" i="28"/>
  <c r="R20" i="28"/>
  <c r="R50" i="28"/>
  <c r="R82" i="28"/>
  <c r="R57" i="28"/>
  <c r="R16" i="28"/>
  <c r="R26" i="28"/>
  <c r="R72" i="28"/>
  <c r="R12" i="28"/>
  <c r="R49" i="28"/>
  <c r="R44" i="28"/>
  <c r="R59" i="28"/>
  <c r="R53" i="28"/>
  <c r="R19" i="28"/>
  <c r="R30" i="28"/>
  <c r="R77" i="28"/>
  <c r="R80" i="28"/>
  <c r="R22" i="28"/>
  <c r="R25" i="28"/>
  <c r="R15" i="28"/>
  <c r="R23" i="28"/>
  <c r="R43" i="28"/>
  <c r="R81" i="28"/>
  <c r="R33" i="28"/>
  <c r="R7" i="28"/>
  <c r="R67" i="28"/>
  <c r="R9" i="28"/>
  <c r="R73" i="28"/>
  <c r="R62" i="28"/>
  <c r="R13" i="28"/>
  <c r="R35" i="28"/>
  <c r="R69" i="28"/>
  <c r="R41" i="28"/>
  <c r="R54" i="28"/>
  <c r="R8" i="28"/>
  <c r="K5" i="31"/>
  <c r="AF6" i="30" s="1"/>
  <c r="AG6" i="30" s="1"/>
  <c r="AO6" i="30" s="1"/>
  <c r="R75" i="28"/>
  <c r="R63" i="28"/>
  <c r="R66" i="28"/>
  <c r="R45" i="28"/>
  <c r="R24" i="28"/>
  <c r="R17" i="28"/>
  <c r="R76" i="28"/>
  <c r="R48" i="28"/>
  <c r="R46" i="28"/>
  <c r="R31" i="28"/>
  <c r="R37" i="28"/>
  <c r="R14" i="28"/>
  <c r="R79" i="28"/>
  <c r="R32" i="28"/>
  <c r="R68" i="28"/>
  <c r="R70" i="28"/>
  <c r="R29" i="28"/>
  <c r="R38" i="28"/>
  <c r="R64" i="28"/>
  <c r="R34" i="28"/>
  <c r="R61" i="28"/>
  <c r="R5" i="28"/>
  <c r="R74" i="28"/>
  <c r="R6" i="28"/>
  <c r="R55" i="28"/>
  <c r="R65" i="28"/>
  <c r="R18" i="28"/>
  <c r="R11" i="28"/>
  <c r="R39" i="28"/>
  <c r="R78" i="28"/>
  <c r="R40" i="28"/>
  <c r="AH5" i="30" l="1"/>
  <c r="B5" i="31" s="1"/>
  <c r="D5" i="31" s="1"/>
  <c r="J5" i="31" l="1"/>
  <c r="B6" i="30"/>
  <c r="C6" i="30"/>
  <c r="D6" i="30"/>
  <c r="F5" i="30"/>
  <c r="J6" i="30" s="1"/>
  <c r="E5" i="30"/>
  <c r="I6" i="30" s="1"/>
  <c r="G5" i="30"/>
  <c r="K6" i="30" s="1"/>
  <c r="X6" i="30" l="1"/>
  <c r="AA6" i="30" s="1"/>
  <c r="AD6" i="30" s="1"/>
  <c r="W6" i="30"/>
  <c r="Z6" i="30" s="1"/>
  <c r="Y6" i="30"/>
  <c r="AB6" i="30" s="1"/>
  <c r="AE6" i="30" s="1"/>
  <c r="H5" i="30"/>
  <c r="L6" i="30" s="1"/>
  <c r="M6" i="30"/>
  <c r="T6" i="30"/>
  <c r="Q6" i="30"/>
  <c r="N6" i="30"/>
  <c r="R6" i="30"/>
  <c r="U6" i="30"/>
  <c r="O6" i="30"/>
  <c r="S6" i="30"/>
  <c r="V6" i="30"/>
  <c r="AL6" i="30" l="1"/>
  <c r="AK6" i="30"/>
  <c r="P6" i="30"/>
  <c r="AM6" i="30" s="1"/>
  <c r="AJ6" i="30"/>
  <c r="AI6" i="30"/>
  <c r="C6" i="31" s="1"/>
  <c r="E6" i="31" s="1"/>
  <c r="K6" i="31" s="1"/>
  <c r="G7" i="31"/>
  <c r="AC6" i="30"/>
  <c r="AN6" i="30" l="1"/>
  <c r="H7" i="31"/>
  <c r="I7" i="31" s="1"/>
  <c r="AH6" i="30"/>
  <c r="B6" i="31" s="1"/>
  <c r="D6" i="31" s="1"/>
  <c r="J6" i="31" l="1"/>
  <c r="AF7" i="30"/>
  <c r="AG7" i="30" s="1"/>
  <c r="AO7" i="30" s="1"/>
  <c r="D7" i="30"/>
  <c r="C7" i="30"/>
  <c r="B7" i="30"/>
  <c r="F6" i="30"/>
  <c r="J7" i="30" s="1"/>
  <c r="G6" i="30"/>
  <c r="K7" i="30" s="1"/>
  <c r="E6" i="30"/>
  <c r="I7" i="30" s="1"/>
  <c r="Y7" i="30" l="1"/>
  <c r="AB7" i="30" s="1"/>
  <c r="AE7" i="30" s="1"/>
  <c r="X7" i="30"/>
  <c r="AA7" i="30" s="1"/>
  <c r="AD7" i="30" s="1"/>
  <c r="W7" i="30"/>
  <c r="Z7" i="30" s="1"/>
  <c r="Q7" i="30"/>
  <c r="T7" i="30"/>
  <c r="M7" i="30"/>
  <c r="V7" i="30"/>
  <c r="S7" i="30"/>
  <c r="O7" i="30"/>
  <c r="R7" i="30"/>
  <c r="N7" i="30"/>
  <c r="U7" i="30"/>
  <c r="H6" i="30"/>
  <c r="L7" i="30" s="1"/>
  <c r="P7" i="30" l="1"/>
  <c r="AM7" i="30" s="1"/>
  <c r="AL7" i="30"/>
  <c r="AK7" i="30"/>
  <c r="AJ7" i="30"/>
  <c r="G8" i="31"/>
  <c r="AI7" i="30"/>
  <c r="C7" i="31" s="1"/>
  <c r="E7" i="31" s="1"/>
  <c r="AC7" i="30"/>
  <c r="AN7" i="30" l="1"/>
  <c r="K7" i="31"/>
  <c r="AF8" i="30" s="1"/>
  <c r="AG8" i="30" s="1"/>
  <c r="AO8" i="30" s="1"/>
  <c r="H8" i="31"/>
  <c r="I8" i="31" s="1"/>
  <c r="AH7" i="30"/>
  <c r="B7" i="31" s="1"/>
  <c r="D7" i="31" s="1"/>
  <c r="J7" i="31" l="1"/>
  <c r="C8" i="30"/>
  <c r="D8" i="30"/>
  <c r="B8" i="30"/>
  <c r="E7" i="30"/>
  <c r="I8" i="30" s="1"/>
  <c r="G7" i="30"/>
  <c r="K8" i="30" s="1"/>
  <c r="F7" i="30"/>
  <c r="J8" i="30" s="1"/>
  <c r="Y8" i="30" l="1"/>
  <c r="AB8" i="30" s="1"/>
  <c r="X8" i="30"/>
  <c r="AA8" i="30" s="1"/>
  <c r="AD8" i="30" s="1"/>
  <c r="W8" i="30"/>
  <c r="Z8" i="30" s="1"/>
  <c r="AC8" i="30" s="1"/>
  <c r="V8" i="30"/>
  <c r="S8" i="30"/>
  <c r="O8" i="30"/>
  <c r="U8" i="30"/>
  <c r="R8" i="30"/>
  <c r="N8" i="30"/>
  <c r="T8" i="30"/>
  <c r="Q8" i="30"/>
  <c r="M8" i="30"/>
  <c r="H7" i="30"/>
  <c r="L8" i="30" s="1"/>
  <c r="G9" i="31" l="1"/>
  <c r="H9" i="31" s="1"/>
  <c r="I9" i="31" s="1"/>
  <c r="AE8" i="30"/>
  <c r="P8" i="30"/>
  <c r="AI8" i="30"/>
  <c r="C8" i="31" s="1"/>
  <c r="E8" i="31" s="1"/>
  <c r="AJ8" i="30"/>
  <c r="AK8" i="30"/>
  <c r="AL8" i="30"/>
  <c r="AN8" i="30" l="1"/>
  <c r="K8" i="31"/>
  <c r="AF9" i="30" s="1"/>
  <c r="AG9" i="30" s="1"/>
  <c r="AO9" i="30" s="1"/>
  <c r="AM8" i="30"/>
  <c r="AH8" i="30"/>
  <c r="B8" i="31" s="1"/>
  <c r="D8" i="31" s="1"/>
  <c r="F8" i="30" s="1"/>
  <c r="J9" i="30" l="1"/>
  <c r="U9" i="30" s="1"/>
  <c r="J8" i="31"/>
  <c r="H8" i="30" s="1"/>
  <c r="L9" i="30" s="1"/>
  <c r="C9" i="30"/>
  <c r="D9" i="30"/>
  <c r="B9" i="30"/>
  <c r="G8" i="30"/>
  <c r="K9" i="30" s="1"/>
  <c r="E8" i="30"/>
  <c r="I9" i="30" s="1"/>
  <c r="N9" i="30" l="1"/>
  <c r="R9" i="30"/>
  <c r="W9" i="30"/>
  <c r="Z9" i="30" s="1"/>
  <c r="AC9" i="30" s="1"/>
  <c r="X9" i="30"/>
  <c r="AA9" i="30" s="1"/>
  <c r="AD9" i="30" s="1"/>
  <c r="Y9" i="30"/>
  <c r="AB9" i="30" s="1"/>
  <c r="S9" i="30"/>
  <c r="P9" i="30"/>
  <c r="AM9" i="30" s="1"/>
  <c r="M9" i="30"/>
  <c r="Q9" i="30"/>
  <c r="T9" i="30"/>
  <c r="V9" i="30"/>
  <c r="O9" i="30"/>
  <c r="AK9" i="30" l="1"/>
  <c r="AE9" i="30"/>
  <c r="AH9" i="30" s="1"/>
  <c r="B9" i="31" s="1"/>
  <c r="D9" i="31" s="1"/>
  <c r="J9" i="31" s="1"/>
  <c r="W10" i="30" s="1"/>
  <c r="G10" i="31"/>
  <c r="H10" i="31" s="1"/>
  <c r="I10" i="31" s="1"/>
  <c r="AJ9" i="30"/>
  <c r="AI9" i="30"/>
  <c r="C9" i="31" s="1"/>
  <c r="E9" i="31" s="1"/>
  <c r="K9" i="31" s="1"/>
  <c r="AL9" i="30"/>
  <c r="X10" i="30" l="1"/>
  <c r="AA10" i="30" s="1"/>
  <c r="AD10" i="30" s="1"/>
  <c r="Y10" i="30"/>
  <c r="AB10" i="30" s="1"/>
  <c r="AN9" i="30"/>
  <c r="AF10" i="30"/>
  <c r="AG10" i="30" s="1"/>
  <c r="AO10" i="30" s="1"/>
  <c r="E9" i="30"/>
  <c r="I10" i="30" s="1"/>
  <c r="C10" i="30"/>
  <c r="B10" i="30"/>
  <c r="G9" i="30"/>
  <c r="K10" i="30" s="1"/>
  <c r="F9" i="30"/>
  <c r="J10" i="30" s="1"/>
  <c r="D10" i="30"/>
  <c r="AE10" i="30" l="1"/>
  <c r="Q10" i="30"/>
  <c r="T10" i="30"/>
  <c r="M10" i="30"/>
  <c r="U10" i="30"/>
  <c r="N10" i="30"/>
  <c r="R10" i="30"/>
  <c r="S10" i="30"/>
  <c r="V10" i="30"/>
  <c r="O10" i="30"/>
  <c r="Z10" i="30"/>
  <c r="AC10" i="30" s="1"/>
  <c r="H9" i="30"/>
  <c r="L10" i="30" s="1"/>
  <c r="AK10" i="30" l="1"/>
  <c r="AN10" i="30"/>
  <c r="G11" i="31"/>
  <c r="H11" i="31" s="1"/>
  <c r="I11" i="31" s="1"/>
  <c r="P10" i="30"/>
  <c r="AL10" i="30"/>
  <c r="AI10" i="30"/>
  <c r="C10" i="31" s="1"/>
  <c r="E10" i="31" s="1"/>
  <c r="K10" i="31" s="1"/>
  <c r="AJ10" i="30"/>
  <c r="AM10" i="30" l="1"/>
  <c r="AH10" i="30"/>
  <c r="B10" i="31" s="1"/>
  <c r="D10" i="31" s="1"/>
  <c r="J10" i="31" s="1"/>
  <c r="AF11" i="30"/>
  <c r="AG11" i="30" s="1"/>
  <c r="AO11" i="30" s="1"/>
  <c r="X11" i="30" l="1"/>
  <c r="AA11" i="30" s="1"/>
  <c r="AD11" i="30" s="1"/>
  <c r="W11" i="30"/>
  <c r="Y11" i="30"/>
  <c r="AB11" i="30" s="1"/>
  <c r="F10" i="30"/>
  <c r="J11" i="30" s="1"/>
  <c r="E10" i="30"/>
  <c r="I11" i="30" s="1"/>
  <c r="G10" i="30"/>
  <c r="K11" i="30" s="1"/>
  <c r="D11" i="30"/>
  <c r="C11" i="30"/>
  <c r="B11" i="30"/>
  <c r="AE11" i="30" l="1"/>
  <c r="N11" i="30"/>
  <c r="R11" i="30"/>
  <c r="U11" i="30"/>
  <c r="O11" i="30"/>
  <c r="V11" i="30"/>
  <c r="S11" i="30"/>
  <c r="Q11" i="30"/>
  <c r="M11" i="30"/>
  <c r="T11" i="30"/>
  <c r="Z11" i="30"/>
  <c r="AC11" i="30" s="1"/>
  <c r="H10" i="30"/>
  <c r="L11" i="30" s="1"/>
  <c r="G12" i="31" l="1"/>
  <c r="H12" i="31" s="1"/>
  <c r="I12" i="31" s="1"/>
  <c r="AK11" i="30"/>
  <c r="AL11" i="30"/>
  <c r="AN11" i="30"/>
  <c r="P11" i="30"/>
  <c r="AJ11" i="30"/>
  <c r="AI11" i="30"/>
  <c r="C11" i="31" s="1"/>
  <c r="E11" i="31" s="1"/>
  <c r="K11" i="31" s="1"/>
  <c r="AM11" i="30" l="1"/>
  <c r="AH11" i="30"/>
  <c r="B11" i="31" s="1"/>
  <c r="D11" i="31" s="1"/>
  <c r="J11" i="31" s="1"/>
  <c r="AF12" i="30"/>
  <c r="AG12" i="30" s="1"/>
  <c r="AO12" i="30" s="1"/>
  <c r="X12" i="30" l="1"/>
  <c r="AA12" i="30" s="1"/>
  <c r="AD12" i="30" s="1"/>
  <c r="W12" i="30"/>
  <c r="Y12" i="30"/>
  <c r="AB12" i="30" s="1"/>
  <c r="C12" i="30"/>
  <c r="E11" i="30"/>
  <c r="I12" i="30" s="1"/>
  <c r="D12" i="30"/>
  <c r="B12" i="30"/>
  <c r="F11" i="30"/>
  <c r="J12" i="30" s="1"/>
  <c r="G11" i="30"/>
  <c r="K12" i="30" s="1"/>
  <c r="AE12" i="30" l="1"/>
  <c r="V12" i="30"/>
  <c r="S12" i="30"/>
  <c r="O12" i="30"/>
  <c r="R12" i="30"/>
  <c r="N12" i="30"/>
  <c r="U12" i="30"/>
  <c r="T12" i="30"/>
  <c r="Q12" i="30"/>
  <c r="M12" i="30"/>
  <c r="Z12" i="30"/>
  <c r="H11" i="30"/>
  <c r="L12" i="30" s="1"/>
  <c r="G13" i="31" l="1"/>
  <c r="H13" i="31" s="1"/>
  <c r="I13" i="31" s="1"/>
  <c r="AL12" i="30"/>
  <c r="AI12" i="30"/>
  <c r="C12" i="31" s="1"/>
  <c r="E12" i="31" s="1"/>
  <c r="K12" i="31" s="1"/>
  <c r="AJ12" i="30"/>
  <c r="AK12" i="30"/>
  <c r="P12" i="30"/>
  <c r="AC12" i="30"/>
  <c r="AN12" i="30" l="1"/>
  <c r="AM12" i="30"/>
  <c r="AH12" i="30"/>
  <c r="B12" i="31" s="1"/>
  <c r="D12" i="31" s="1"/>
  <c r="J12" i="31" s="1"/>
  <c r="AF13" i="30"/>
  <c r="AG13" i="30" s="1"/>
  <c r="X13" i="30" l="1"/>
  <c r="AA13" i="30" s="1"/>
  <c r="AD13" i="30" s="1"/>
  <c r="Y13" i="30"/>
  <c r="AB13" i="30" s="1"/>
  <c r="W13" i="30"/>
  <c r="C13" i="30"/>
  <c r="B13" i="30"/>
  <c r="G12" i="30"/>
  <c r="K13" i="30" s="1"/>
  <c r="F12" i="30"/>
  <c r="J13" i="30" s="1"/>
  <c r="D13" i="30"/>
  <c r="E12" i="30"/>
  <c r="I13" i="30" s="1"/>
  <c r="AO13" i="30"/>
  <c r="AE13" i="30" l="1"/>
  <c r="T13" i="30"/>
  <c r="M13" i="30"/>
  <c r="Q13" i="30"/>
  <c r="Z13" i="30"/>
  <c r="AC13" i="30" s="1"/>
  <c r="H12" i="30"/>
  <c r="L13" i="30" s="1"/>
  <c r="AJ13" i="30" l="1"/>
  <c r="R13" i="30"/>
  <c r="N13" i="30"/>
  <c r="AN13" i="30"/>
  <c r="O13" i="30"/>
  <c r="S13" i="30"/>
  <c r="V13" i="30"/>
  <c r="P13" i="30"/>
  <c r="AM13" i="30" s="1"/>
  <c r="U13" i="30"/>
  <c r="G14" i="31" l="1"/>
  <c r="H14" i="31" s="1"/>
  <c r="I14" i="31" s="1"/>
  <c r="AL13" i="30"/>
  <c r="AK13" i="30"/>
  <c r="AI13" i="30"/>
  <c r="C13" i="31" s="1"/>
  <c r="E13" i="31" s="1"/>
  <c r="K13" i="31" s="1"/>
  <c r="AH13" i="30"/>
  <c r="B13" i="31" s="1"/>
  <c r="D13" i="31" s="1"/>
  <c r="J13" i="31" s="1"/>
  <c r="X14" i="30" l="1"/>
  <c r="AA14" i="30" s="1"/>
  <c r="AD14" i="30" s="1"/>
  <c r="W14" i="30"/>
  <c r="Y14" i="30"/>
  <c r="AB14" i="30" s="1"/>
  <c r="F13" i="30"/>
  <c r="J14" i="30" s="1"/>
  <c r="D14" i="30"/>
  <c r="G13" i="30"/>
  <c r="K14" i="30" s="1"/>
  <c r="C14" i="30"/>
  <c r="B14" i="30"/>
  <c r="E13" i="30"/>
  <c r="I14" i="30" s="1"/>
  <c r="AF14" i="30"/>
  <c r="AG14" i="30" s="1"/>
  <c r="AE14" i="30" l="1"/>
  <c r="AO14" i="30"/>
  <c r="M14" i="30"/>
  <c r="H13" i="30"/>
  <c r="L14" i="30" s="1"/>
  <c r="Z14" i="30"/>
  <c r="N14" i="30" l="1"/>
  <c r="U14" i="30"/>
  <c r="V14" i="30"/>
  <c r="S14" i="30"/>
  <c r="Q14" i="30"/>
  <c r="T14" i="30"/>
  <c r="R14" i="30"/>
  <c r="AC14" i="30"/>
  <c r="P14" i="30"/>
  <c r="AM14" i="30" s="1"/>
  <c r="O14" i="30"/>
  <c r="G15" i="31" l="1"/>
  <c r="J41" i="25" s="1"/>
  <c r="AN14" i="30"/>
  <c r="AJ14" i="30"/>
  <c r="AI14" i="30"/>
  <c r="C14" i="31" s="1"/>
  <c r="E14" i="31" s="1"/>
  <c r="K14" i="31" s="1"/>
  <c r="AK14" i="30"/>
  <c r="AL14" i="30"/>
  <c r="AH14" i="30"/>
  <c r="B14" i="31" s="1"/>
  <c r="D14" i="31" s="1"/>
  <c r="J14" i="31" s="1"/>
  <c r="H15" i="31" l="1"/>
  <c r="I15" i="31" s="1"/>
  <c r="X15" i="30"/>
  <c r="AA15" i="30" s="1"/>
  <c r="Y15" i="30"/>
  <c r="AB15" i="30" s="1"/>
  <c r="W15" i="30"/>
  <c r="E14" i="30"/>
  <c r="I15" i="30" s="1"/>
  <c r="C15" i="30"/>
  <c r="D15" i="30"/>
  <c r="G14" i="30"/>
  <c r="K15" i="30" s="1"/>
  <c r="B15" i="30"/>
  <c r="F14" i="30"/>
  <c r="J15" i="30" s="1"/>
  <c r="AF15" i="30"/>
  <c r="AG15" i="30" s="1"/>
  <c r="AE15" i="30" l="1"/>
  <c r="AD15" i="30"/>
  <c r="V15" i="30"/>
  <c r="S15" i="30"/>
  <c r="O15" i="30"/>
  <c r="T15" i="30"/>
  <c r="Q15" i="30"/>
  <c r="M15" i="30"/>
  <c r="AO15" i="30"/>
  <c r="U15" i="30"/>
  <c r="N15" i="30"/>
  <c r="R15" i="30"/>
  <c r="H14" i="30"/>
  <c r="L15" i="30" s="1"/>
  <c r="Z15" i="30"/>
  <c r="AI15" i="30" l="1"/>
  <c r="C15" i="31" s="1"/>
  <c r="E15" i="31" s="1"/>
  <c r="AK15" i="30"/>
  <c r="G16" i="31"/>
  <c r="H16" i="31" s="1"/>
  <c r="I16" i="31" s="1"/>
  <c r="AL15" i="30"/>
  <c r="AJ15" i="30"/>
  <c r="P15" i="30"/>
  <c r="AC15" i="30"/>
  <c r="AN15" i="30" l="1"/>
  <c r="K15" i="31"/>
  <c r="AF16" i="30" s="1"/>
  <c r="AG16" i="30" s="1"/>
  <c r="AO16" i="30" s="1"/>
  <c r="AM15" i="30"/>
  <c r="AH15" i="30"/>
  <c r="B15" i="31" s="1"/>
  <c r="D15" i="31" s="1"/>
  <c r="J15" i="31" s="1"/>
  <c r="X16" i="30" l="1"/>
  <c r="AA16" i="30" s="1"/>
  <c r="AD16" i="30" s="1"/>
  <c r="Y16" i="30"/>
  <c r="AB16" i="30" s="1"/>
  <c r="W16" i="30"/>
  <c r="E15" i="30"/>
  <c r="I16" i="30" s="1"/>
  <c r="D16" i="30"/>
  <c r="B16" i="30"/>
  <c r="C16" i="30"/>
  <c r="F15" i="30"/>
  <c r="J16" i="30" s="1"/>
  <c r="G15" i="30"/>
  <c r="K16" i="30" s="1"/>
  <c r="AE16" i="30" l="1"/>
  <c r="S16" i="30"/>
  <c r="O16" i="30"/>
  <c r="V16" i="30"/>
  <c r="T16" i="30"/>
  <c r="Q16" i="30"/>
  <c r="M16" i="30"/>
  <c r="N16" i="30"/>
  <c r="R16" i="30"/>
  <c r="U16" i="30"/>
  <c r="Z16" i="30"/>
  <c r="H15" i="30"/>
  <c r="L16" i="30" s="1"/>
  <c r="AK16" i="30" l="1"/>
  <c r="AJ16" i="30"/>
  <c r="AI16" i="30"/>
  <c r="C16" i="31" s="1"/>
  <c r="E16" i="31" s="1"/>
  <c r="K16" i="31" s="1"/>
  <c r="P16" i="30"/>
  <c r="G17" i="31"/>
  <c r="AC16" i="30"/>
  <c r="AL16" i="30"/>
  <c r="AN16" i="30" l="1"/>
  <c r="AM16" i="30"/>
  <c r="AH16" i="30"/>
  <c r="B16" i="31" s="1"/>
  <c r="D16" i="31" s="1"/>
  <c r="J16" i="31" s="1"/>
  <c r="AF17" i="30"/>
  <c r="AG17" i="30" s="1"/>
  <c r="H17" i="31"/>
  <c r="I17" i="31" s="1"/>
  <c r="X17" i="30" l="1"/>
  <c r="AA17" i="30" s="1"/>
  <c r="AD17" i="30" s="1"/>
  <c r="Y17" i="30"/>
  <c r="AB17" i="30" s="1"/>
  <c r="W17" i="30"/>
  <c r="AO17" i="30"/>
  <c r="G16" i="30"/>
  <c r="K17" i="30" s="1"/>
  <c r="D17" i="30"/>
  <c r="E16" i="30"/>
  <c r="I17" i="30" s="1"/>
  <c r="C17" i="30"/>
  <c r="B17" i="30"/>
  <c r="F16" i="30"/>
  <c r="J17" i="30" s="1"/>
  <c r="AE17" i="30" l="1"/>
  <c r="V17" i="30"/>
  <c r="O17" i="30"/>
  <c r="S17" i="30"/>
  <c r="R17" i="30"/>
  <c r="N17" i="30"/>
  <c r="U17" i="30"/>
  <c r="M17" i="30"/>
  <c r="T17" i="30"/>
  <c r="Q17" i="30"/>
  <c r="Z17" i="30"/>
  <c r="H16" i="30"/>
  <c r="L17" i="30" s="1"/>
  <c r="G18" i="31" l="1"/>
  <c r="H18" i="31" s="1"/>
  <c r="I18" i="31" s="1"/>
  <c r="AK17" i="30"/>
  <c r="P17" i="30"/>
  <c r="AJ17" i="30"/>
  <c r="AI17" i="30"/>
  <c r="C17" i="31" s="1"/>
  <c r="E17" i="31" s="1"/>
  <c r="K17" i="31" s="1"/>
  <c r="AL17" i="30"/>
  <c r="AC17" i="30"/>
  <c r="AN17" i="30" l="1"/>
  <c r="AM17" i="30"/>
  <c r="AH17" i="30"/>
  <c r="B17" i="31" s="1"/>
  <c r="D17" i="31" s="1"/>
  <c r="J17" i="31" s="1"/>
  <c r="AF18" i="30"/>
  <c r="AG18" i="30" s="1"/>
  <c r="X18" i="30" l="1"/>
  <c r="AA18" i="30" s="1"/>
  <c r="AD18" i="30" s="1"/>
  <c r="Y18" i="30"/>
  <c r="AB18" i="30" s="1"/>
  <c r="W18" i="30"/>
  <c r="F17" i="30"/>
  <c r="J18" i="30" s="1"/>
  <c r="D18" i="30"/>
  <c r="E17" i="30"/>
  <c r="I18" i="30" s="1"/>
  <c r="C18" i="30"/>
  <c r="G17" i="30"/>
  <c r="K18" i="30" s="1"/>
  <c r="B18" i="30"/>
  <c r="AO18" i="30"/>
  <c r="AE18" i="30" l="1"/>
  <c r="Q18" i="30"/>
  <c r="M18" i="30"/>
  <c r="T18" i="30"/>
  <c r="N18" i="30"/>
  <c r="R18" i="30"/>
  <c r="U18" i="30"/>
  <c r="S18" i="30"/>
  <c r="O18" i="30"/>
  <c r="V18" i="30"/>
  <c r="Z18" i="30"/>
  <c r="H17" i="30"/>
  <c r="L18" i="30" s="1"/>
  <c r="AK18" i="30" l="1"/>
  <c r="G19" i="31"/>
  <c r="P18" i="30"/>
  <c r="AL18" i="30"/>
  <c r="AJ18" i="30"/>
  <c r="AI18" i="30"/>
  <c r="C18" i="31" s="1"/>
  <c r="E18" i="31" s="1"/>
  <c r="K18" i="31" s="1"/>
  <c r="AC18" i="30"/>
  <c r="AN18" i="30" l="1"/>
  <c r="AM18" i="30"/>
  <c r="AH18" i="30"/>
  <c r="B18" i="31" s="1"/>
  <c r="D18" i="31" s="1"/>
  <c r="J18" i="31" s="1"/>
  <c r="AF19" i="30"/>
  <c r="AG19" i="30" s="1"/>
  <c r="H19" i="31"/>
  <c r="I19" i="31" s="1"/>
  <c r="X19" i="30" l="1"/>
  <c r="AA19" i="30" s="1"/>
  <c r="AD19" i="30" s="1"/>
  <c r="Y19" i="30"/>
  <c r="AB19" i="30" s="1"/>
  <c r="W19" i="30"/>
  <c r="AO19" i="30"/>
  <c r="B19" i="30"/>
  <c r="G18" i="30"/>
  <c r="K19" i="30" s="1"/>
  <c r="C19" i="30"/>
  <c r="F18" i="30"/>
  <c r="J19" i="30" s="1"/>
  <c r="E18" i="30"/>
  <c r="I19" i="30" s="1"/>
  <c r="D19" i="30"/>
  <c r="AE19" i="30" l="1"/>
  <c r="M19" i="30"/>
  <c r="Q19" i="30"/>
  <c r="T19" i="30"/>
  <c r="S19" i="30"/>
  <c r="O19" i="30"/>
  <c r="V19" i="30"/>
  <c r="N19" i="30"/>
  <c r="R19" i="30"/>
  <c r="U19" i="30"/>
  <c r="Z19" i="30"/>
  <c r="H18" i="30"/>
  <c r="L19" i="30" s="1"/>
  <c r="AL19" i="30" l="1"/>
  <c r="AJ19" i="30"/>
  <c r="AI19" i="30"/>
  <c r="C19" i="31" s="1"/>
  <c r="E19" i="31" s="1"/>
  <c r="K19" i="31" s="1"/>
  <c r="AK19" i="30"/>
  <c r="G20" i="31"/>
  <c r="P19" i="30"/>
  <c r="AC19" i="30"/>
  <c r="AN19" i="30" l="1"/>
  <c r="AM19" i="30"/>
  <c r="AH19" i="30"/>
  <c r="B19" i="31" s="1"/>
  <c r="D19" i="31" s="1"/>
  <c r="J19" i="31" s="1"/>
  <c r="H20" i="31"/>
  <c r="I20" i="31" s="1"/>
  <c r="AF20" i="30"/>
  <c r="AG20" i="30" s="1"/>
  <c r="X20" i="30" l="1"/>
  <c r="AA20" i="30" s="1"/>
  <c r="AD20" i="30" s="1"/>
  <c r="Y20" i="30"/>
  <c r="AB20" i="30" s="1"/>
  <c r="W20" i="30"/>
  <c r="G19" i="30"/>
  <c r="K20" i="30" s="1"/>
  <c r="C20" i="30"/>
  <c r="E19" i="30"/>
  <c r="I20" i="30" s="1"/>
  <c r="B20" i="30"/>
  <c r="D20" i="30"/>
  <c r="F19" i="30"/>
  <c r="J20" i="30" s="1"/>
  <c r="AO20" i="30"/>
  <c r="AE20" i="30" l="1"/>
  <c r="T20" i="30"/>
  <c r="M20" i="30"/>
  <c r="Q20" i="30"/>
  <c r="O20" i="30"/>
  <c r="S20" i="30"/>
  <c r="V20" i="30"/>
  <c r="N20" i="30"/>
  <c r="R20" i="30"/>
  <c r="U20" i="30"/>
  <c r="Z20" i="30"/>
  <c r="H19" i="30"/>
  <c r="L20" i="30" s="1"/>
  <c r="AL20" i="30" l="1"/>
  <c r="AK20" i="30"/>
  <c r="P20" i="30"/>
  <c r="AJ20" i="30"/>
  <c r="AI20" i="30"/>
  <c r="C20" i="31" s="1"/>
  <c r="E20" i="31" s="1"/>
  <c r="K20" i="31" s="1"/>
  <c r="AC20" i="30"/>
  <c r="G21" i="31"/>
  <c r="H21" i="31" s="1"/>
  <c r="I21" i="31" s="1"/>
  <c r="AN20" i="30" l="1"/>
  <c r="AM20" i="30"/>
  <c r="AH20" i="30"/>
  <c r="B20" i="31" s="1"/>
  <c r="D20" i="31" s="1"/>
  <c r="J20" i="31" s="1"/>
  <c r="AF21" i="30"/>
  <c r="AG21" i="30" s="1"/>
  <c r="X21" i="30" l="1"/>
  <c r="AA21" i="30" s="1"/>
  <c r="AD21" i="30" s="1"/>
  <c r="Y21" i="30"/>
  <c r="AB21" i="30" s="1"/>
  <c r="W21" i="30"/>
  <c r="F20" i="30"/>
  <c r="J21" i="30" s="1"/>
  <c r="G20" i="30"/>
  <c r="K21" i="30" s="1"/>
  <c r="D21" i="30"/>
  <c r="B21" i="30"/>
  <c r="C21" i="30"/>
  <c r="E20" i="30"/>
  <c r="I21" i="30" s="1"/>
  <c r="AO21" i="30"/>
  <c r="AE21" i="30" l="1"/>
  <c r="T21" i="30"/>
  <c r="Q21" i="30"/>
  <c r="M21" i="30"/>
  <c r="N21" i="30"/>
  <c r="R21" i="30"/>
  <c r="U21" i="30"/>
  <c r="S21" i="30"/>
  <c r="V21" i="30"/>
  <c r="O21" i="30"/>
  <c r="Z21" i="30"/>
  <c r="H20" i="30"/>
  <c r="L21" i="30" s="1"/>
  <c r="AL21" i="30" l="1"/>
  <c r="AJ21" i="30"/>
  <c r="AI21" i="30"/>
  <c r="C21" i="31" s="1"/>
  <c r="E21" i="31" s="1"/>
  <c r="K21" i="31" s="1"/>
  <c r="P21" i="30"/>
  <c r="AK21" i="30"/>
  <c r="G22" i="31"/>
  <c r="AC21" i="30"/>
  <c r="H22" i="31" l="1"/>
  <c r="I22" i="31" s="1"/>
  <c r="AN21" i="30"/>
  <c r="AM21" i="30"/>
  <c r="AH21" i="30"/>
  <c r="B21" i="31" s="1"/>
  <c r="D21" i="31" s="1"/>
  <c r="J21" i="31" s="1"/>
  <c r="AF22" i="30"/>
  <c r="AG22" i="30" s="1"/>
  <c r="X22" i="30" l="1"/>
  <c r="AA22" i="30" s="1"/>
  <c r="AD22" i="30" s="1"/>
  <c r="Y22" i="30"/>
  <c r="AB22" i="30" s="1"/>
  <c r="W22" i="30"/>
  <c r="E21" i="30"/>
  <c r="I22" i="30" s="1"/>
  <c r="D22" i="30"/>
  <c r="B22" i="30"/>
  <c r="G21" i="30"/>
  <c r="K22" i="30" s="1"/>
  <c r="F21" i="30"/>
  <c r="J22" i="30" s="1"/>
  <c r="C22" i="30"/>
  <c r="AO22" i="30"/>
  <c r="AE22" i="30" l="1"/>
  <c r="V22" i="30"/>
  <c r="S22" i="30"/>
  <c r="O22" i="30"/>
  <c r="T22" i="30"/>
  <c r="Q22" i="30"/>
  <c r="M22" i="30"/>
  <c r="N22" i="30"/>
  <c r="R22" i="30"/>
  <c r="U22" i="30"/>
  <c r="Z22" i="30"/>
  <c r="H21" i="30"/>
  <c r="L22" i="30" s="1"/>
  <c r="AK22" i="30" l="1"/>
  <c r="AI22" i="30"/>
  <c r="C22" i="31" s="1"/>
  <c r="E22" i="31" s="1"/>
  <c r="K22" i="31" s="1"/>
  <c r="AJ22" i="30"/>
  <c r="AL22" i="30"/>
  <c r="G23" i="31"/>
  <c r="P22" i="30"/>
  <c r="AC22" i="30"/>
  <c r="AN22" i="30" l="1"/>
  <c r="AM22" i="30"/>
  <c r="AH22" i="30"/>
  <c r="B22" i="31" s="1"/>
  <c r="D22" i="31" s="1"/>
  <c r="J22" i="31" s="1"/>
  <c r="AF23" i="30"/>
  <c r="AG23" i="30" s="1"/>
  <c r="H23" i="31"/>
  <c r="I23" i="31" s="1"/>
  <c r="X23" i="30" l="1"/>
  <c r="AA23" i="30" s="1"/>
  <c r="AD23" i="30" s="1"/>
  <c r="Y23" i="30"/>
  <c r="AB23" i="30" s="1"/>
  <c r="W23" i="30"/>
  <c r="D23" i="30"/>
  <c r="G22" i="30"/>
  <c r="K23" i="30" s="1"/>
  <c r="B23" i="30"/>
  <c r="E22" i="30"/>
  <c r="I23" i="30" s="1"/>
  <c r="F22" i="30"/>
  <c r="J23" i="30" s="1"/>
  <c r="C23" i="30"/>
  <c r="AO23" i="30"/>
  <c r="AE23" i="30" l="1"/>
  <c r="Q23" i="30"/>
  <c r="M23" i="30"/>
  <c r="T23" i="30"/>
  <c r="N23" i="30"/>
  <c r="U23" i="30"/>
  <c r="R23" i="30"/>
  <c r="S23" i="30"/>
  <c r="V23" i="30"/>
  <c r="O23" i="30"/>
  <c r="Z23" i="30"/>
  <c r="H22" i="30"/>
  <c r="L23" i="30" s="1"/>
  <c r="AL23" i="30" l="1"/>
  <c r="AK23" i="30"/>
  <c r="P23" i="30"/>
  <c r="G24" i="31"/>
  <c r="AC23" i="30"/>
  <c r="AJ23" i="30"/>
  <c r="AI23" i="30"/>
  <c r="C23" i="31" s="1"/>
  <c r="E23" i="31" s="1"/>
  <c r="K23" i="31" s="1"/>
  <c r="AN23" i="30" l="1"/>
  <c r="AM23" i="30"/>
  <c r="AH23" i="30"/>
  <c r="B23" i="31" s="1"/>
  <c r="D23" i="31" s="1"/>
  <c r="J23" i="31" s="1"/>
  <c r="AF24" i="30"/>
  <c r="AG24" i="30" s="1"/>
  <c r="H24" i="31"/>
  <c r="I24" i="31" s="1"/>
  <c r="X24" i="30" l="1"/>
  <c r="AA24" i="30" s="1"/>
  <c r="AD24" i="30" s="1"/>
  <c r="Y24" i="30"/>
  <c r="AB24" i="30" s="1"/>
  <c r="W24" i="30"/>
  <c r="AO24" i="30"/>
  <c r="G23" i="30"/>
  <c r="K24" i="30" s="1"/>
  <c r="B24" i="30"/>
  <c r="D24" i="30"/>
  <c r="F23" i="30"/>
  <c r="J24" i="30" s="1"/>
  <c r="C24" i="30"/>
  <c r="E23" i="30"/>
  <c r="I24" i="30" s="1"/>
  <c r="AE24" i="30" l="1"/>
  <c r="O24" i="30"/>
  <c r="V24" i="30"/>
  <c r="S24" i="30"/>
  <c r="M24" i="30"/>
  <c r="Q24" i="30"/>
  <c r="T24" i="30"/>
  <c r="R24" i="30"/>
  <c r="U24" i="30"/>
  <c r="N24" i="30"/>
  <c r="Z24" i="30"/>
  <c r="H23" i="30"/>
  <c r="L24" i="30" s="1"/>
  <c r="AL24" i="30" l="1"/>
  <c r="AK24" i="30"/>
  <c r="G25" i="31"/>
  <c r="J42" i="25" s="1"/>
  <c r="AI24" i="30"/>
  <c r="C24" i="31" s="1"/>
  <c r="E24" i="31" s="1"/>
  <c r="K24" i="31" s="1"/>
  <c r="AJ24" i="30"/>
  <c r="P24" i="30"/>
  <c r="AC24" i="30"/>
  <c r="H25" i="31" l="1"/>
  <c r="I25" i="31" s="1"/>
  <c r="AN24" i="30"/>
  <c r="AM24" i="30"/>
  <c r="AH24" i="30"/>
  <c r="B24" i="31" s="1"/>
  <c r="D24" i="31" s="1"/>
  <c r="J24" i="31" s="1"/>
  <c r="AF25" i="30"/>
  <c r="AG25" i="30" s="1"/>
  <c r="X25" i="30" l="1"/>
  <c r="AA25" i="30" s="1"/>
  <c r="AD25" i="30" s="1"/>
  <c r="Y25" i="30"/>
  <c r="AB25" i="30" s="1"/>
  <c r="W25" i="30"/>
  <c r="AO25" i="30"/>
  <c r="D25" i="30"/>
  <c r="G24" i="30"/>
  <c r="K25" i="30" s="1"/>
  <c r="B25" i="30"/>
  <c r="E24" i="30"/>
  <c r="I25" i="30" s="1"/>
  <c r="C25" i="30"/>
  <c r="F24" i="30"/>
  <c r="J25" i="30" s="1"/>
  <c r="AE25" i="30" l="1"/>
  <c r="Q25" i="30"/>
  <c r="T25" i="30"/>
  <c r="M25" i="30"/>
  <c r="R25" i="30"/>
  <c r="N25" i="30"/>
  <c r="U25" i="30"/>
  <c r="O25" i="30"/>
  <c r="S25" i="30"/>
  <c r="V25" i="30"/>
  <c r="Z25" i="30"/>
  <c r="H24" i="30"/>
  <c r="L25" i="30" s="1"/>
  <c r="AL25" i="30" l="1"/>
  <c r="AK25" i="30"/>
  <c r="G26" i="31"/>
  <c r="P25" i="30"/>
  <c r="AC25" i="30"/>
  <c r="AJ25" i="30"/>
  <c r="AI25" i="30"/>
  <c r="C25" i="31" s="1"/>
  <c r="E25" i="31" s="1"/>
  <c r="K25" i="31" s="1"/>
  <c r="AN25" i="30" l="1"/>
  <c r="AM25" i="30"/>
  <c r="AH25" i="30"/>
  <c r="B25" i="31" s="1"/>
  <c r="D25" i="31" s="1"/>
  <c r="J25" i="31" s="1"/>
  <c r="H26" i="31"/>
  <c r="I26" i="31" s="1"/>
  <c r="AF26" i="30"/>
  <c r="AG26" i="30" s="1"/>
  <c r="X26" i="30" l="1"/>
  <c r="AA26" i="30" s="1"/>
  <c r="AD26" i="30" s="1"/>
  <c r="Y26" i="30"/>
  <c r="AB26" i="30" s="1"/>
  <c r="W26" i="30"/>
  <c r="AO26" i="30"/>
  <c r="G25" i="30"/>
  <c r="K26" i="30" s="1"/>
  <c r="E25" i="30"/>
  <c r="I26" i="30" s="1"/>
  <c r="B26" i="30"/>
  <c r="C26" i="30"/>
  <c r="F25" i="30"/>
  <c r="J26" i="30" s="1"/>
  <c r="D26" i="30"/>
  <c r="AE26" i="30" l="1"/>
  <c r="V26" i="30"/>
  <c r="O26" i="30"/>
  <c r="S26" i="30"/>
  <c r="U26" i="30"/>
  <c r="N26" i="30"/>
  <c r="R26" i="30"/>
  <c r="Q26" i="30"/>
  <c r="M26" i="30"/>
  <c r="T26" i="30"/>
  <c r="Z26" i="30"/>
  <c r="H25" i="30"/>
  <c r="L26" i="30" s="1"/>
  <c r="AK26" i="30" l="1"/>
  <c r="AL26" i="30"/>
  <c r="AJ26" i="30"/>
  <c r="AI26" i="30"/>
  <c r="C26" i="31" s="1"/>
  <c r="E26" i="31" s="1"/>
  <c r="K26" i="31" s="1"/>
  <c r="AC26" i="30"/>
  <c r="P26" i="30"/>
  <c r="G27" i="31"/>
  <c r="AN26" i="30" l="1"/>
  <c r="AM26" i="30"/>
  <c r="AH26" i="30"/>
  <c r="B26" i="31" s="1"/>
  <c r="D26" i="31" s="1"/>
  <c r="J26" i="31" s="1"/>
  <c r="H27" i="31"/>
  <c r="I27" i="31" s="1"/>
  <c r="AF27" i="30"/>
  <c r="AG27" i="30" s="1"/>
  <c r="X27" i="30" l="1"/>
  <c r="AA27" i="30" s="1"/>
  <c r="AD27" i="30" s="1"/>
  <c r="Y27" i="30"/>
  <c r="AB27" i="30" s="1"/>
  <c r="W27" i="30"/>
  <c r="AO27" i="30"/>
  <c r="E26" i="30"/>
  <c r="I27" i="30" s="1"/>
  <c r="G26" i="30"/>
  <c r="K27" i="30" s="1"/>
  <c r="C27" i="30"/>
  <c r="B27" i="30"/>
  <c r="D27" i="30"/>
  <c r="F26" i="30"/>
  <c r="J27" i="30" s="1"/>
  <c r="AE27" i="30" l="1"/>
  <c r="Z27" i="30"/>
  <c r="H26" i="30"/>
  <c r="L27" i="30" s="1"/>
  <c r="Q27" i="30"/>
  <c r="N27" i="30"/>
  <c r="U27" i="30"/>
  <c r="R27" i="30"/>
  <c r="V27" i="30"/>
  <c r="M27" i="30" l="1"/>
  <c r="AJ27" i="30" s="1"/>
  <c r="AK27" i="30"/>
  <c r="T27" i="30"/>
  <c r="G28" i="31" s="1"/>
  <c r="S27" i="30"/>
  <c r="AI27" i="30" s="1"/>
  <c r="C27" i="31" s="1"/>
  <c r="E27" i="31" s="1"/>
  <c r="K27" i="31" s="1"/>
  <c r="O27" i="30"/>
  <c r="P27" i="30"/>
  <c r="AM27" i="30" s="1"/>
  <c r="AC27" i="30"/>
  <c r="AN27" i="30" l="1"/>
  <c r="AH27" i="30"/>
  <c r="B27" i="31" s="1"/>
  <c r="D27" i="31" s="1"/>
  <c r="J27" i="31" s="1"/>
  <c r="H28" i="31"/>
  <c r="I28" i="31" s="1"/>
  <c r="AF28" i="30"/>
  <c r="AG28" i="30" s="1"/>
  <c r="AL27" i="30"/>
  <c r="D28" i="30" l="1"/>
  <c r="C28" i="30"/>
  <c r="F27" i="30"/>
  <c r="G27" i="30"/>
  <c r="K28" i="30" s="1"/>
  <c r="E27" i="30"/>
  <c r="X28" i="30"/>
  <c r="AA28" i="30" s="1"/>
  <c r="AD28" i="30" s="1"/>
  <c r="Y28" i="30"/>
  <c r="AB28" i="30" s="1"/>
  <c r="W28" i="30"/>
  <c r="Z28" i="30" s="1"/>
  <c r="AC28" i="30" s="1"/>
  <c r="B28" i="30"/>
  <c r="AO28" i="30"/>
  <c r="H27" i="30"/>
  <c r="L28" i="30" s="1"/>
  <c r="I28" i="30" l="1"/>
  <c r="T28" i="30" s="1"/>
  <c r="J28" i="30"/>
  <c r="U28" i="30" s="1"/>
  <c r="AE28" i="30"/>
  <c r="AN28" i="30" s="1"/>
  <c r="S28" i="30"/>
  <c r="O28" i="30"/>
  <c r="P28" i="30"/>
  <c r="V28" i="30"/>
  <c r="Q28" i="30" l="1"/>
  <c r="M28" i="30"/>
  <c r="R28" i="30"/>
  <c r="N28" i="30"/>
  <c r="G29" i="31"/>
  <c r="H29" i="31" s="1"/>
  <c r="I29" i="31" s="1"/>
  <c r="AK28" i="30"/>
  <c r="AM28" i="30"/>
  <c r="AL28" i="30"/>
  <c r="AH28" i="30" l="1"/>
  <c r="B28" i="31" s="1"/>
  <c r="D28" i="31" s="1"/>
  <c r="J28" i="31" s="1"/>
  <c r="W29" i="30" s="1"/>
  <c r="AI28" i="30"/>
  <c r="C28" i="31" s="1"/>
  <c r="E28" i="31" s="1"/>
  <c r="K28" i="31" s="1"/>
  <c r="AF29" i="30" s="1"/>
  <c r="AG29" i="30" s="1"/>
  <c r="AO29" i="30" s="1"/>
  <c r="AJ28" i="30"/>
  <c r="Y29" i="30" l="1"/>
  <c r="AB29" i="30" s="1"/>
  <c r="AE29" i="30" s="1"/>
  <c r="X29" i="30"/>
  <c r="AA29" i="30" s="1"/>
  <c r="AD29" i="30" s="1"/>
  <c r="B29" i="30"/>
  <c r="C29" i="30"/>
  <c r="G28" i="30"/>
  <c r="K29" i="30" s="1"/>
  <c r="E28" i="30"/>
  <c r="I29" i="30" s="1"/>
  <c r="F28" i="30"/>
  <c r="J29" i="30" s="1"/>
  <c r="U29" i="30" s="1"/>
  <c r="D29" i="30"/>
  <c r="H28" i="30"/>
  <c r="L29" i="30" s="1"/>
  <c r="Z29" i="30"/>
  <c r="AC29" i="30" s="1"/>
  <c r="Q29" i="30" l="1"/>
  <c r="S29" i="30"/>
  <c r="T29" i="30"/>
  <c r="N29" i="30"/>
  <c r="R29" i="30"/>
  <c r="V29" i="30"/>
  <c r="O29" i="30"/>
  <c r="M29" i="30"/>
  <c r="P29" i="30"/>
  <c r="AN29" i="30"/>
  <c r="AL29" i="30" l="1"/>
  <c r="AK29" i="30"/>
  <c r="AI29" i="30"/>
  <c r="C29" i="31" s="1"/>
  <c r="E29" i="31" s="1"/>
  <c r="K29" i="31" s="1"/>
  <c r="AF30" i="30" s="1"/>
  <c r="AG30" i="30" s="1"/>
  <c r="AJ29" i="30"/>
  <c r="G30" i="31"/>
  <c r="H30" i="31" s="1"/>
  <c r="I30" i="31" s="1"/>
  <c r="AM29" i="30"/>
  <c r="AH29" i="30"/>
  <c r="B29" i="31" s="1"/>
  <c r="D29" i="31" s="1"/>
  <c r="J29" i="31" s="1"/>
  <c r="X30" i="30" l="1"/>
  <c r="AA30" i="30" s="1"/>
  <c r="AD30" i="30" s="1"/>
  <c r="W30" i="30"/>
  <c r="Y30" i="30"/>
  <c r="AB30" i="30" s="1"/>
  <c r="AO30" i="30"/>
  <c r="D30" i="30"/>
  <c r="E29" i="30"/>
  <c r="I30" i="30" s="1"/>
  <c r="G29" i="30"/>
  <c r="K30" i="30" s="1"/>
  <c r="B30" i="30"/>
  <c r="F29" i="30"/>
  <c r="J30" i="30" s="1"/>
  <c r="C30" i="30"/>
  <c r="AE30" i="30" l="1"/>
  <c r="U30" i="30"/>
  <c r="V30" i="30"/>
  <c r="H29" i="30"/>
  <c r="L30" i="30" s="1"/>
  <c r="Z30" i="30"/>
  <c r="AC30" i="30" s="1"/>
  <c r="Q30" i="30" l="1"/>
  <c r="M30" i="30"/>
  <c r="T30" i="30"/>
  <c r="G31" i="31" s="1"/>
  <c r="AN30" i="30"/>
  <c r="P30" i="30"/>
  <c r="AM30" i="30" s="1"/>
  <c r="N30" i="30"/>
  <c r="R30" i="30"/>
  <c r="O30" i="30"/>
  <c r="S30" i="30"/>
  <c r="AL30" i="30" l="1"/>
  <c r="AK30" i="30"/>
  <c r="H31" i="31"/>
  <c r="I31" i="31" s="1"/>
  <c r="AH30" i="30"/>
  <c r="B30" i="31" s="1"/>
  <c r="D30" i="31" s="1"/>
  <c r="J30" i="31" s="1"/>
  <c r="AI30" i="30"/>
  <c r="C30" i="31" s="1"/>
  <c r="E30" i="31" s="1"/>
  <c r="K30" i="31" s="1"/>
  <c r="AJ30" i="30"/>
  <c r="X31" i="30" l="1"/>
  <c r="AA31" i="30" s="1"/>
  <c r="AD31" i="30" s="1"/>
  <c r="W31" i="30"/>
  <c r="Y31" i="30"/>
  <c r="AB31" i="30" s="1"/>
  <c r="AF31" i="30"/>
  <c r="AG31" i="30" s="1"/>
  <c r="G30" i="30"/>
  <c r="K31" i="30" s="1"/>
  <c r="D31" i="30"/>
  <c r="C31" i="30"/>
  <c r="F30" i="30"/>
  <c r="J31" i="30" s="1"/>
  <c r="B31" i="30"/>
  <c r="E30" i="30"/>
  <c r="I31" i="30" s="1"/>
  <c r="AE31" i="30" l="1"/>
  <c r="S31" i="30"/>
  <c r="O31" i="30"/>
  <c r="V31" i="30"/>
  <c r="U31" i="30"/>
  <c r="N31" i="30"/>
  <c r="R31" i="30"/>
  <c r="AO31" i="30"/>
  <c r="H30" i="30"/>
  <c r="L31" i="30" s="1"/>
  <c r="Z31" i="30"/>
  <c r="AK31" i="30" l="1"/>
  <c r="M31" i="30"/>
  <c r="Q31" i="30"/>
  <c r="T31" i="30"/>
  <c r="G32" i="31" s="1"/>
  <c r="AC31" i="30"/>
  <c r="P31" i="30"/>
  <c r="AL31" i="30"/>
  <c r="AN31" i="30" l="1"/>
  <c r="AM31" i="30"/>
  <c r="AH31" i="30"/>
  <c r="B31" i="31" s="1"/>
  <c r="D31" i="31" s="1"/>
  <c r="J31" i="31" s="1"/>
  <c r="H32" i="31"/>
  <c r="I32" i="31" s="1"/>
  <c r="AJ31" i="30"/>
  <c r="AI31" i="30"/>
  <c r="C31" i="31" s="1"/>
  <c r="E31" i="31" s="1"/>
  <c r="K31" i="31" s="1"/>
  <c r="X32" i="30" l="1"/>
  <c r="AA32" i="30" s="1"/>
  <c r="Y32" i="30"/>
  <c r="AB32" i="30" s="1"/>
  <c r="AE32" i="30" s="1"/>
  <c r="W32" i="30"/>
  <c r="G31" i="30"/>
  <c r="K32" i="30" s="1"/>
  <c r="D32" i="30"/>
  <c r="B32" i="30"/>
  <c r="C32" i="30"/>
  <c r="E31" i="30"/>
  <c r="I32" i="30" s="1"/>
  <c r="F31" i="30"/>
  <c r="J32" i="30" s="1"/>
  <c r="AF32" i="30"/>
  <c r="AG32" i="30" s="1"/>
  <c r="AO32" i="30" l="1"/>
  <c r="T32" i="30"/>
  <c r="M32" i="30"/>
  <c r="Q32" i="30"/>
  <c r="V32" i="30"/>
  <c r="O32" i="30"/>
  <c r="S32" i="30"/>
  <c r="AD32" i="30"/>
  <c r="Z32" i="30"/>
  <c r="H31" i="30"/>
  <c r="L32" i="30" s="1"/>
  <c r="AL32" i="30" l="1"/>
  <c r="U32" i="30"/>
  <c r="G33" i="31" s="1"/>
  <c r="N32" i="30"/>
  <c r="R32" i="30"/>
  <c r="AI32" i="30" s="1"/>
  <c r="C32" i="31" s="1"/>
  <c r="E32" i="31" s="1"/>
  <c r="K32" i="31" s="1"/>
  <c r="P32" i="30"/>
  <c r="AM32" i="30" s="1"/>
  <c r="AC32" i="30"/>
  <c r="AJ32" i="30"/>
  <c r="AK32" i="30" l="1"/>
  <c r="AN32" i="30"/>
  <c r="AH32" i="30"/>
  <c r="B32" i="31" s="1"/>
  <c r="D32" i="31" s="1"/>
  <c r="J32" i="31" s="1"/>
  <c r="H33" i="31"/>
  <c r="I33" i="31" s="1"/>
  <c r="AF33" i="30"/>
  <c r="AG33" i="30" s="1"/>
  <c r="Y33" i="30" l="1"/>
  <c r="AB33" i="30" s="1"/>
  <c r="X33" i="30"/>
  <c r="AA33" i="30" s="1"/>
  <c r="AD33" i="30" s="1"/>
  <c r="W33" i="30"/>
  <c r="AO33" i="30"/>
  <c r="E32" i="30"/>
  <c r="I33" i="30" s="1"/>
  <c r="B33" i="30"/>
  <c r="G32" i="30"/>
  <c r="K33" i="30" s="1"/>
  <c r="D33" i="30"/>
  <c r="F32" i="30"/>
  <c r="J33" i="30" s="1"/>
  <c r="C33" i="30"/>
  <c r="AE33" i="30" l="1"/>
  <c r="T33" i="30"/>
  <c r="Q33" i="30"/>
  <c r="M33" i="30"/>
  <c r="R33" i="30"/>
  <c r="N33" i="30"/>
  <c r="U33" i="30"/>
  <c r="V33" i="30"/>
  <c r="S33" i="30"/>
  <c r="O33" i="30"/>
  <c r="Z33" i="30"/>
  <c r="H32" i="30"/>
  <c r="L33" i="30" s="1"/>
  <c r="AI33" i="30" l="1"/>
  <c r="C33" i="31" s="1"/>
  <c r="E33" i="31" s="1"/>
  <c r="K33" i="31" s="1"/>
  <c r="AJ33" i="30"/>
  <c r="AL33" i="30"/>
  <c r="AK33" i="30"/>
  <c r="P33" i="30"/>
  <c r="G34" i="31"/>
  <c r="AC33" i="30"/>
  <c r="AN33" i="30" l="1"/>
  <c r="AM33" i="30"/>
  <c r="AH33" i="30"/>
  <c r="B33" i="31" s="1"/>
  <c r="D33" i="31" s="1"/>
  <c r="J33" i="31" s="1"/>
  <c r="AF34" i="30"/>
  <c r="AG34" i="30" s="1"/>
  <c r="H34" i="31"/>
  <c r="I34" i="31" s="1"/>
  <c r="X34" i="30" l="1"/>
  <c r="AA34" i="30" s="1"/>
  <c r="AD34" i="30" s="1"/>
  <c r="Y34" i="30"/>
  <c r="AB34" i="30" s="1"/>
  <c r="W34" i="30"/>
  <c r="AO34" i="30"/>
  <c r="D34" i="30"/>
  <c r="E33" i="30"/>
  <c r="I34" i="30" s="1"/>
  <c r="F33" i="30"/>
  <c r="J34" i="30" s="1"/>
  <c r="G33" i="30"/>
  <c r="K34" i="30" s="1"/>
  <c r="B34" i="30"/>
  <c r="C34" i="30"/>
  <c r="AE34" i="30" l="1"/>
  <c r="Z34" i="30"/>
  <c r="H33" i="30"/>
  <c r="L34" i="30" s="1"/>
  <c r="V34" i="30"/>
  <c r="S34" i="30"/>
  <c r="O34" i="30"/>
  <c r="R34" i="30"/>
  <c r="N34" i="30"/>
  <c r="U34" i="30"/>
  <c r="M34" i="30"/>
  <c r="Q34" i="30"/>
  <c r="T34" i="30"/>
  <c r="AK34" i="30" l="1"/>
  <c r="P34" i="30"/>
  <c r="AC34" i="30"/>
  <c r="AL34" i="30"/>
  <c r="G35" i="31"/>
  <c r="J43" i="25" s="1"/>
  <c r="AJ34" i="30"/>
  <c r="AI34" i="30"/>
  <c r="C34" i="31" s="1"/>
  <c r="E34" i="31" s="1"/>
  <c r="K34" i="31" s="1"/>
  <c r="AN34" i="30" l="1"/>
  <c r="AM34" i="30"/>
  <c r="AH34" i="30"/>
  <c r="B34" i="31" s="1"/>
  <c r="D34" i="31" s="1"/>
  <c r="J34" i="31" s="1"/>
  <c r="AF35" i="30"/>
  <c r="AG35" i="30" s="1"/>
  <c r="H35" i="31"/>
  <c r="I35" i="31" s="1"/>
  <c r="X35" i="30" l="1"/>
  <c r="AA35" i="30" s="1"/>
  <c r="AD35" i="30" s="1"/>
  <c r="Y35" i="30"/>
  <c r="AB35" i="30" s="1"/>
  <c r="W35" i="30"/>
  <c r="AO35" i="30"/>
  <c r="B35" i="30"/>
  <c r="E34" i="30"/>
  <c r="I35" i="30" s="1"/>
  <c r="G34" i="30"/>
  <c r="K35" i="30" s="1"/>
  <c r="D35" i="30"/>
  <c r="C35" i="30"/>
  <c r="F34" i="30"/>
  <c r="J35" i="30" s="1"/>
  <c r="AE35" i="30" l="1"/>
  <c r="N35" i="30"/>
  <c r="U35" i="30"/>
  <c r="R35" i="30"/>
  <c r="T35" i="30"/>
  <c r="Q35" i="30"/>
  <c r="M35" i="30"/>
  <c r="Z35" i="30"/>
  <c r="H34" i="30"/>
  <c r="L35" i="30" s="1"/>
  <c r="AK35" i="30" l="1"/>
  <c r="AJ35" i="30"/>
  <c r="S35" i="30"/>
  <c r="O35" i="30"/>
  <c r="V35" i="30"/>
  <c r="G36" i="31" s="1"/>
  <c r="H36" i="31" s="1"/>
  <c r="I36" i="31" s="1"/>
  <c r="P35" i="30"/>
  <c r="AC35" i="30"/>
  <c r="AN35" i="30" l="1"/>
  <c r="AM35" i="30"/>
  <c r="AH35" i="30"/>
  <c r="B35" i="31" s="1"/>
  <c r="D35" i="31" s="1"/>
  <c r="J35" i="31" s="1"/>
  <c r="AL35" i="30"/>
  <c r="AI35" i="30"/>
  <c r="C35" i="31" s="1"/>
  <c r="E35" i="31" s="1"/>
  <c r="K35" i="31" s="1"/>
  <c r="X36" i="30" l="1"/>
  <c r="AA36" i="30" s="1"/>
  <c r="AD36" i="30" s="1"/>
  <c r="Y36" i="30"/>
  <c r="AB36" i="30" s="1"/>
  <c r="W36" i="30"/>
  <c r="AF36" i="30"/>
  <c r="AG36" i="30" s="1"/>
  <c r="AO36" i="30" s="1"/>
  <c r="D36" i="30"/>
  <c r="E35" i="30"/>
  <c r="I36" i="30" s="1"/>
  <c r="F35" i="30"/>
  <c r="J36" i="30" s="1"/>
  <c r="C36" i="30"/>
  <c r="B36" i="30"/>
  <c r="G35" i="30"/>
  <c r="K36" i="30" s="1"/>
  <c r="AE36" i="30" l="1"/>
  <c r="N36" i="30"/>
  <c r="U36" i="30"/>
  <c r="R36" i="30"/>
  <c r="Z36" i="30"/>
  <c r="H35" i="30"/>
  <c r="L36" i="30" s="1"/>
  <c r="S36" i="30"/>
  <c r="V36" i="30"/>
  <c r="O36" i="30"/>
  <c r="Q36" i="30"/>
  <c r="T36" i="30"/>
  <c r="M36" i="30"/>
  <c r="G37" i="31" l="1"/>
  <c r="H37" i="31" s="1"/>
  <c r="I37" i="31" s="1"/>
  <c r="AK36" i="30"/>
  <c r="AI36" i="30"/>
  <c r="C36" i="31" s="1"/>
  <c r="E36" i="31" s="1"/>
  <c r="K36" i="31" s="1"/>
  <c r="AJ36" i="30"/>
  <c r="AL36" i="30"/>
  <c r="P36" i="30"/>
  <c r="AC36" i="30"/>
  <c r="AN36" i="30" l="1"/>
  <c r="AM36" i="30"/>
  <c r="AH36" i="30"/>
  <c r="B36" i="31" s="1"/>
  <c r="D36" i="31" s="1"/>
  <c r="J36" i="31" s="1"/>
  <c r="AF37" i="30"/>
  <c r="AG37" i="30" s="1"/>
  <c r="X37" i="30" l="1"/>
  <c r="AA37" i="30" s="1"/>
  <c r="AD37" i="30" s="1"/>
  <c r="Y37" i="30"/>
  <c r="AB37" i="30" s="1"/>
  <c r="W37" i="30"/>
  <c r="AO37" i="30"/>
  <c r="E36" i="30"/>
  <c r="I37" i="30" s="1"/>
  <c r="G36" i="30"/>
  <c r="K37" i="30" s="1"/>
  <c r="C37" i="30"/>
  <c r="D37" i="30"/>
  <c r="F36" i="30"/>
  <c r="J37" i="30" s="1"/>
  <c r="B37" i="30"/>
  <c r="AE37" i="30" l="1"/>
  <c r="Q37" i="30"/>
  <c r="T37" i="30"/>
  <c r="M37" i="30"/>
  <c r="Z37" i="30"/>
  <c r="H36" i="30"/>
  <c r="L37" i="30" s="1"/>
  <c r="V37" i="30"/>
  <c r="O37" i="30"/>
  <c r="S37" i="30"/>
  <c r="U37" i="30"/>
  <c r="N37" i="30"/>
  <c r="R37" i="30"/>
  <c r="AL37" i="30" l="1"/>
  <c r="P37" i="30"/>
  <c r="AC37" i="30"/>
  <c r="G38" i="31"/>
  <c r="AJ37" i="30"/>
  <c r="AI37" i="30"/>
  <c r="C37" i="31" s="1"/>
  <c r="E37" i="31" s="1"/>
  <c r="K37" i="31" s="1"/>
  <c r="AK37" i="30"/>
  <c r="AN37" i="30" l="1"/>
  <c r="AM37" i="30"/>
  <c r="AH37" i="30"/>
  <c r="B37" i="31" s="1"/>
  <c r="D37" i="31" s="1"/>
  <c r="J37" i="31" s="1"/>
  <c r="H38" i="31"/>
  <c r="I38" i="31" s="1"/>
  <c r="AF38" i="30"/>
  <c r="AG38" i="30" s="1"/>
  <c r="X38" i="30" l="1"/>
  <c r="AA38" i="30" s="1"/>
  <c r="AD38" i="30" s="1"/>
  <c r="Y38" i="30"/>
  <c r="AB38" i="30" s="1"/>
  <c r="W38" i="30"/>
  <c r="AO38" i="30"/>
  <c r="G37" i="30"/>
  <c r="K38" i="30" s="1"/>
  <c r="D38" i="30"/>
  <c r="F37" i="30"/>
  <c r="J38" i="30" s="1"/>
  <c r="C38" i="30"/>
  <c r="E37" i="30"/>
  <c r="I38" i="30" s="1"/>
  <c r="B38" i="30"/>
  <c r="AE38" i="30" l="1"/>
  <c r="Q38" i="30"/>
  <c r="R38" i="30"/>
  <c r="U38" i="30"/>
  <c r="N38" i="30"/>
  <c r="T38" i="30"/>
  <c r="M38" i="30"/>
  <c r="V38" i="30"/>
  <c r="S38" i="30"/>
  <c r="O38" i="30"/>
  <c r="Z38" i="30"/>
  <c r="AC38" i="30" s="1"/>
  <c r="H37" i="30"/>
  <c r="L38" i="30" s="1"/>
  <c r="AL38" i="30" l="1"/>
  <c r="G39" i="31"/>
  <c r="H39" i="31" s="1"/>
  <c r="I39" i="31" s="1"/>
  <c r="AJ38" i="30"/>
  <c r="AK38" i="30"/>
  <c r="AN38" i="30"/>
  <c r="P38" i="30"/>
  <c r="AI38" i="30"/>
  <c r="C38" i="31" s="1"/>
  <c r="E38" i="31" s="1"/>
  <c r="K38" i="31" s="1"/>
  <c r="AM38" i="30" l="1"/>
  <c r="AH38" i="30"/>
  <c r="B38" i="31" s="1"/>
  <c r="D38" i="31" s="1"/>
  <c r="J38" i="31" s="1"/>
  <c r="AF39" i="30"/>
  <c r="AG39" i="30" s="1"/>
  <c r="X39" i="30" l="1"/>
  <c r="AA39" i="30" s="1"/>
  <c r="AD39" i="30" s="1"/>
  <c r="W39" i="30"/>
  <c r="Y39" i="30"/>
  <c r="AB39" i="30" s="1"/>
  <c r="AO39" i="30"/>
  <c r="E38" i="30"/>
  <c r="I39" i="30" s="1"/>
  <c r="C39" i="30"/>
  <c r="B39" i="30"/>
  <c r="F38" i="30"/>
  <c r="J39" i="30" s="1"/>
  <c r="G38" i="30"/>
  <c r="K39" i="30" s="1"/>
  <c r="D39" i="30"/>
  <c r="AE39" i="30" l="1"/>
  <c r="S39" i="30"/>
  <c r="V39" i="30"/>
  <c r="O39" i="30"/>
  <c r="M39" i="30"/>
  <c r="T39" i="30"/>
  <c r="Q39" i="30"/>
  <c r="H38" i="30"/>
  <c r="L39" i="30" s="1"/>
  <c r="Z39" i="30"/>
  <c r="U39" i="30"/>
  <c r="N39" i="30"/>
  <c r="R39" i="30"/>
  <c r="P39" i="30" l="1"/>
  <c r="AJ39" i="30"/>
  <c r="AI39" i="30"/>
  <c r="C39" i="31" s="1"/>
  <c r="E39" i="31" s="1"/>
  <c r="K39" i="31" s="1"/>
  <c r="G40" i="31"/>
  <c r="AC39" i="30"/>
  <c r="AK39" i="30"/>
  <c r="AL39" i="30"/>
  <c r="AN39" i="30" l="1"/>
  <c r="AM39" i="30"/>
  <c r="AH39" i="30"/>
  <c r="B39" i="31" s="1"/>
  <c r="D39" i="31" s="1"/>
  <c r="J39" i="31" s="1"/>
  <c r="AF40" i="30"/>
  <c r="AG40" i="30" s="1"/>
  <c r="H40" i="31"/>
  <c r="I40" i="31" s="1"/>
  <c r="X40" i="30" l="1"/>
  <c r="AA40" i="30" s="1"/>
  <c r="AD40" i="30" s="1"/>
  <c r="Y40" i="30"/>
  <c r="AB40" i="30" s="1"/>
  <c r="W40" i="30"/>
  <c r="AO40" i="30"/>
  <c r="F39" i="30"/>
  <c r="J40" i="30" s="1"/>
  <c r="C40" i="30"/>
  <c r="G39" i="30"/>
  <c r="K40" i="30" s="1"/>
  <c r="B40" i="30"/>
  <c r="D40" i="30"/>
  <c r="E39" i="30"/>
  <c r="I40" i="30" s="1"/>
  <c r="AE40" i="30" l="1"/>
  <c r="Q40" i="30"/>
  <c r="M40" i="30"/>
  <c r="T40" i="30"/>
  <c r="R40" i="30"/>
  <c r="U40" i="30"/>
  <c r="N40" i="30"/>
  <c r="V40" i="30"/>
  <c r="S40" i="30"/>
  <c r="O40" i="30"/>
  <c r="Z40" i="30"/>
  <c r="H39" i="30"/>
  <c r="L40" i="30" s="1"/>
  <c r="AL40" i="30" l="1"/>
  <c r="P40" i="30"/>
  <c r="AK40" i="30"/>
  <c r="AC40" i="30"/>
  <c r="G41" i="31"/>
  <c r="AJ40" i="30"/>
  <c r="AI40" i="30"/>
  <c r="C40" i="31" s="1"/>
  <c r="E40" i="31" s="1"/>
  <c r="K40" i="31" s="1"/>
  <c r="AN40" i="30" l="1"/>
  <c r="AM40" i="30"/>
  <c r="AH40" i="30"/>
  <c r="B40" i="31" s="1"/>
  <c r="D40" i="31" s="1"/>
  <c r="J40" i="31" s="1"/>
  <c r="AF41" i="30"/>
  <c r="AG41" i="30" s="1"/>
  <c r="AO41" i="30" s="1"/>
  <c r="H41" i="31"/>
  <c r="I41" i="31" s="1"/>
  <c r="X41" i="30" l="1"/>
  <c r="AA41" i="30" s="1"/>
  <c r="AD41" i="30" s="1"/>
  <c r="Y41" i="30"/>
  <c r="AB41" i="30" s="1"/>
  <c r="W41" i="30"/>
  <c r="E40" i="30"/>
  <c r="I41" i="30" s="1"/>
  <c r="F40" i="30"/>
  <c r="J41" i="30" s="1"/>
  <c r="C41" i="30"/>
  <c r="G40" i="30"/>
  <c r="K41" i="30" s="1"/>
  <c r="B41" i="30"/>
  <c r="D41" i="30"/>
  <c r="AE41" i="30" l="1"/>
  <c r="V41" i="30"/>
  <c r="S41" i="30"/>
  <c r="O41" i="30"/>
  <c r="U41" i="30"/>
  <c r="N41" i="30"/>
  <c r="R41" i="30"/>
  <c r="M41" i="30"/>
  <c r="T41" i="30"/>
  <c r="Q41" i="30"/>
  <c r="Z41" i="30"/>
  <c r="H40" i="30"/>
  <c r="L41" i="30" s="1"/>
  <c r="G42" i="31" l="1"/>
  <c r="H42" i="31" s="1"/>
  <c r="I42" i="31" s="1"/>
  <c r="AK41" i="30"/>
  <c r="P41" i="30"/>
  <c r="AC41" i="30"/>
  <c r="AL41" i="30"/>
  <c r="AJ41" i="30"/>
  <c r="AI41" i="30"/>
  <c r="C41" i="31" s="1"/>
  <c r="E41" i="31" s="1"/>
  <c r="K41" i="31" s="1"/>
  <c r="AN41" i="30" l="1"/>
  <c r="AM41" i="30"/>
  <c r="AH41" i="30"/>
  <c r="B41" i="31" s="1"/>
  <c r="D41" i="31" s="1"/>
  <c r="J41" i="31" s="1"/>
  <c r="AF42" i="30"/>
  <c r="AG42" i="30" s="1"/>
  <c r="X42" i="30" l="1"/>
  <c r="AA42" i="30" s="1"/>
  <c r="AD42" i="30" s="1"/>
  <c r="Y42" i="30"/>
  <c r="AB42" i="30" s="1"/>
  <c r="W42" i="30"/>
  <c r="AO42" i="30"/>
  <c r="G41" i="30"/>
  <c r="K42" i="30" s="1"/>
  <c r="B42" i="30"/>
  <c r="F41" i="30"/>
  <c r="J42" i="30" s="1"/>
  <c r="C42" i="30"/>
  <c r="D42" i="30"/>
  <c r="E41" i="30"/>
  <c r="I42" i="30" s="1"/>
  <c r="AE42" i="30" l="1"/>
  <c r="Z42" i="30"/>
  <c r="H41" i="30"/>
  <c r="L42" i="30" s="1"/>
  <c r="M42" i="30"/>
  <c r="T42" i="30"/>
  <c r="Q42" i="30"/>
  <c r="N42" i="30"/>
  <c r="R42" i="30"/>
  <c r="U42" i="30"/>
  <c r="S42" i="30"/>
  <c r="V42" i="30"/>
  <c r="O42" i="30"/>
  <c r="AK42" i="30" l="1"/>
  <c r="G43" i="31"/>
  <c r="H43" i="31" s="1"/>
  <c r="I43" i="31" s="1"/>
  <c r="AJ42" i="30"/>
  <c r="AI42" i="30"/>
  <c r="C42" i="31" s="1"/>
  <c r="E42" i="31" s="1"/>
  <c r="K42" i="31" s="1"/>
  <c r="P42" i="30"/>
  <c r="AL42" i="30"/>
  <c r="AC42" i="30"/>
  <c r="AN42" i="30" l="1"/>
  <c r="AM42" i="30"/>
  <c r="AH42" i="30"/>
  <c r="B42" i="31" s="1"/>
  <c r="D42" i="31" s="1"/>
  <c r="J42" i="31" s="1"/>
  <c r="AF43" i="30"/>
  <c r="AG43" i="30" s="1"/>
  <c r="X43" i="30" l="1"/>
  <c r="AA43" i="30" s="1"/>
  <c r="AD43" i="30" s="1"/>
  <c r="Y43" i="30"/>
  <c r="AB43" i="30" s="1"/>
  <c r="W43" i="30"/>
  <c r="AO43" i="30"/>
  <c r="G42" i="30"/>
  <c r="K43" i="30" s="1"/>
  <c r="C43" i="30"/>
  <c r="F42" i="30"/>
  <c r="J43" i="30" s="1"/>
  <c r="D43" i="30"/>
  <c r="B43" i="30"/>
  <c r="E42" i="30"/>
  <c r="I43" i="30" s="1"/>
  <c r="AE43" i="30" l="1"/>
  <c r="U43" i="30"/>
  <c r="N43" i="30"/>
  <c r="R43" i="30"/>
  <c r="Q43" i="30"/>
  <c r="T43" i="30"/>
  <c r="M43" i="30"/>
  <c r="O43" i="30"/>
  <c r="V43" i="30"/>
  <c r="S43" i="30"/>
  <c r="Z43" i="30"/>
  <c r="H42" i="30"/>
  <c r="L43" i="30" s="1"/>
  <c r="AL43" i="30" l="1"/>
  <c r="AK43" i="30"/>
  <c r="G44" i="31"/>
  <c r="H44" i="31" s="1"/>
  <c r="I44" i="31" s="1"/>
  <c r="AJ43" i="30"/>
  <c r="AI43" i="30"/>
  <c r="C43" i="31" s="1"/>
  <c r="E43" i="31" s="1"/>
  <c r="K43" i="31" s="1"/>
  <c r="P43" i="30"/>
  <c r="AC43" i="30"/>
  <c r="AM43" i="30" l="1"/>
  <c r="AH43" i="30"/>
  <c r="B43" i="31" s="1"/>
  <c r="D43" i="31" s="1"/>
  <c r="J43" i="31" s="1"/>
  <c r="AN43" i="30"/>
  <c r="AF44" i="30"/>
  <c r="AG44" i="30" s="1"/>
  <c r="AO44" i="30" s="1"/>
  <c r="X44" i="30" l="1"/>
  <c r="AA44" i="30" s="1"/>
  <c r="AD44" i="30" s="1"/>
  <c r="Y44" i="30"/>
  <c r="AB44" i="30" s="1"/>
  <c r="W44" i="30"/>
  <c r="G43" i="30"/>
  <c r="K44" i="30" s="1"/>
  <c r="F43" i="30"/>
  <c r="J44" i="30" s="1"/>
  <c r="E43" i="30"/>
  <c r="I44" i="30" s="1"/>
  <c r="D44" i="30"/>
  <c r="C44" i="30"/>
  <c r="B44" i="30"/>
  <c r="AE44" i="30" l="1"/>
  <c r="Q44" i="30"/>
  <c r="T44" i="30"/>
  <c r="M44" i="30"/>
  <c r="S44" i="30"/>
  <c r="O44" i="30"/>
  <c r="V44" i="30"/>
  <c r="N44" i="30"/>
  <c r="R44" i="30"/>
  <c r="U44" i="30"/>
  <c r="H43" i="30"/>
  <c r="L44" i="30" s="1"/>
  <c r="Z44" i="30"/>
  <c r="AK44" i="30" l="1"/>
  <c r="AL44" i="30"/>
  <c r="P44" i="30"/>
  <c r="G45" i="31"/>
  <c r="J44" i="25" s="1"/>
  <c r="AC44" i="30"/>
  <c r="AI44" i="30"/>
  <c r="C44" i="31" s="1"/>
  <c r="E44" i="31" s="1"/>
  <c r="K44" i="31" s="1"/>
  <c r="AJ44" i="30"/>
  <c r="AN44" i="30" l="1"/>
  <c r="AM44" i="30"/>
  <c r="AH44" i="30"/>
  <c r="B44" i="31" s="1"/>
  <c r="D44" i="31" s="1"/>
  <c r="J44" i="31" s="1"/>
  <c r="H45" i="31"/>
  <c r="I45" i="31" s="1"/>
  <c r="AF45" i="30"/>
  <c r="AG45" i="30" s="1"/>
  <c r="X45" i="30" l="1"/>
  <c r="AA45" i="30" s="1"/>
  <c r="AD45" i="30" s="1"/>
  <c r="Y45" i="30"/>
  <c r="AB45" i="30" s="1"/>
  <c r="AE45" i="30" s="1"/>
  <c r="W45" i="30"/>
  <c r="E44" i="30"/>
  <c r="I45" i="30" s="1"/>
  <c r="C45" i="30"/>
  <c r="F44" i="30"/>
  <c r="J45" i="30" s="1"/>
  <c r="G44" i="30"/>
  <c r="K45" i="30" s="1"/>
  <c r="D45" i="30"/>
  <c r="B45" i="30"/>
  <c r="AO45" i="30"/>
  <c r="R45" i="30" l="1"/>
  <c r="U45" i="30"/>
  <c r="N45" i="30"/>
  <c r="V45" i="30"/>
  <c r="O45" i="30"/>
  <c r="S45" i="30"/>
  <c r="T45" i="30"/>
  <c r="Q45" i="30"/>
  <c r="M45" i="30"/>
  <c r="Z45" i="30"/>
  <c r="H44" i="30"/>
  <c r="L45" i="30" s="1"/>
  <c r="G46" i="31" l="1"/>
  <c r="H46" i="31" s="1"/>
  <c r="I46" i="31" s="1"/>
  <c r="P45" i="30"/>
  <c r="AJ45" i="30"/>
  <c r="AI45" i="30"/>
  <c r="C45" i="31" s="1"/>
  <c r="E45" i="31" s="1"/>
  <c r="K45" i="31" s="1"/>
  <c r="AL45" i="30"/>
  <c r="AC45" i="30"/>
  <c r="AK45" i="30"/>
  <c r="AN45" i="30" l="1"/>
  <c r="AM45" i="30"/>
  <c r="AH45" i="30"/>
  <c r="B45" i="31" s="1"/>
  <c r="D45" i="31" s="1"/>
  <c r="J45" i="31" s="1"/>
  <c r="AF46" i="30"/>
  <c r="AG46" i="30" s="1"/>
  <c r="X46" i="30" l="1"/>
  <c r="AA46" i="30" s="1"/>
  <c r="AD46" i="30" s="1"/>
  <c r="Y46" i="30"/>
  <c r="AB46" i="30" s="1"/>
  <c r="W46" i="30"/>
  <c r="C46" i="30"/>
  <c r="F45" i="30"/>
  <c r="J46" i="30" s="1"/>
  <c r="B46" i="30"/>
  <c r="D46" i="30"/>
  <c r="G45" i="30"/>
  <c r="K46" i="30" s="1"/>
  <c r="E45" i="30"/>
  <c r="I46" i="30" s="1"/>
  <c r="AO46" i="30"/>
  <c r="AE46" i="30" l="1"/>
  <c r="T46" i="30"/>
  <c r="M46" i="30"/>
  <c r="Q46" i="30"/>
  <c r="O46" i="30"/>
  <c r="V46" i="30"/>
  <c r="S46" i="30"/>
  <c r="U46" i="30"/>
  <c r="N46" i="30"/>
  <c r="R46" i="30"/>
  <c r="Z46" i="30"/>
  <c r="H45" i="30"/>
  <c r="L46" i="30" s="1"/>
  <c r="AL46" i="30" l="1"/>
  <c r="AK46" i="30"/>
  <c r="AJ46" i="30"/>
  <c r="AI46" i="30"/>
  <c r="C46" i="31" s="1"/>
  <c r="E46" i="31" s="1"/>
  <c r="K46" i="31" s="1"/>
  <c r="P46" i="30"/>
  <c r="G47" i="31"/>
  <c r="AC46" i="30"/>
  <c r="AN46" i="30" l="1"/>
  <c r="AM46" i="30"/>
  <c r="AH46" i="30"/>
  <c r="B46" i="31" s="1"/>
  <c r="D46" i="31" s="1"/>
  <c r="J46" i="31" s="1"/>
  <c r="H47" i="31"/>
  <c r="I47" i="31" s="1"/>
  <c r="AF47" i="30"/>
  <c r="AG47" i="30" s="1"/>
  <c r="AO47" i="30" s="1"/>
  <c r="X47" i="30" l="1"/>
  <c r="AA47" i="30" s="1"/>
  <c r="AD47" i="30" s="1"/>
  <c r="Y47" i="30"/>
  <c r="AB47" i="30" s="1"/>
  <c r="W47" i="30"/>
  <c r="G46" i="30"/>
  <c r="K47" i="30" s="1"/>
  <c r="F46" i="30"/>
  <c r="J47" i="30" s="1"/>
  <c r="B47" i="30"/>
  <c r="C47" i="30"/>
  <c r="D47" i="30"/>
  <c r="E46" i="30"/>
  <c r="I47" i="30" s="1"/>
  <c r="AE47" i="30" l="1"/>
  <c r="Z47" i="30"/>
  <c r="H46" i="30"/>
  <c r="L47" i="30" s="1"/>
  <c r="AC47" i="30" l="1"/>
  <c r="P47" i="30"/>
  <c r="AM47" i="30" s="1"/>
  <c r="R47" i="30"/>
  <c r="N47" i="30"/>
  <c r="U47" i="30"/>
  <c r="Q47" i="30"/>
  <c r="M47" i="30"/>
  <c r="T47" i="30"/>
  <c r="O47" i="30"/>
  <c r="V47" i="30"/>
  <c r="S47" i="30"/>
  <c r="AN47" i="30" l="1"/>
  <c r="AL47" i="30"/>
  <c r="G48" i="31"/>
  <c r="H48" i="31" s="1"/>
  <c r="I48" i="31" s="1"/>
  <c r="AH47" i="30"/>
  <c r="B47" i="31" s="1"/>
  <c r="D47" i="31" s="1"/>
  <c r="J47" i="31" s="1"/>
  <c r="AI47" i="30"/>
  <c r="C47" i="31" s="1"/>
  <c r="E47" i="31" s="1"/>
  <c r="K47" i="31" s="1"/>
  <c r="AJ47" i="30"/>
  <c r="AK47" i="30"/>
  <c r="X48" i="30" l="1"/>
  <c r="AA48" i="30" s="1"/>
  <c r="AD48" i="30" s="1"/>
  <c r="Y48" i="30"/>
  <c r="AB48" i="30" s="1"/>
  <c r="W48" i="30"/>
  <c r="D48" i="30"/>
  <c r="C48" i="30"/>
  <c r="B48" i="30"/>
  <c r="E47" i="30"/>
  <c r="I48" i="30" s="1"/>
  <c r="G47" i="30"/>
  <c r="K48" i="30" s="1"/>
  <c r="F47" i="30"/>
  <c r="J48" i="30" s="1"/>
  <c r="AF48" i="30"/>
  <c r="AG48" i="30" s="1"/>
  <c r="AO48" i="30" s="1"/>
  <c r="AE48" i="30" l="1"/>
  <c r="R48" i="30"/>
  <c r="U48" i="30"/>
  <c r="N48" i="30"/>
  <c r="T48" i="30"/>
  <c r="Z48" i="30"/>
  <c r="H47" i="30"/>
  <c r="L48" i="30" s="1"/>
  <c r="Q48" i="30" l="1"/>
  <c r="M48" i="30"/>
  <c r="O48" i="30"/>
  <c r="S48" i="30"/>
  <c r="V48" i="30"/>
  <c r="G49" i="31" s="1"/>
  <c r="AK48" i="30"/>
  <c r="P48" i="30"/>
  <c r="AM48" i="30" s="1"/>
  <c r="AC48" i="30"/>
  <c r="AN48" i="30" l="1"/>
  <c r="H49" i="31"/>
  <c r="I49" i="31" s="1"/>
  <c r="AI48" i="30"/>
  <c r="C48" i="31" s="1"/>
  <c r="E48" i="31" s="1"/>
  <c r="K48" i="31" s="1"/>
  <c r="AJ48" i="30"/>
  <c r="AL48" i="30"/>
  <c r="AH48" i="30"/>
  <c r="B48" i="31" s="1"/>
  <c r="D48" i="31" s="1"/>
  <c r="J48" i="31" s="1"/>
  <c r="X49" i="30" l="1"/>
  <c r="AA49" i="30" s="1"/>
  <c r="Y49" i="30"/>
  <c r="AB49" i="30" s="1"/>
  <c r="AE49" i="30" s="1"/>
  <c r="W49" i="30"/>
  <c r="E48" i="30"/>
  <c r="I49" i="30" s="1"/>
  <c r="G48" i="30"/>
  <c r="K49" i="30" s="1"/>
  <c r="D49" i="30"/>
  <c r="C49" i="30"/>
  <c r="F48" i="30"/>
  <c r="J49" i="30" s="1"/>
  <c r="B49" i="30"/>
  <c r="AF49" i="30"/>
  <c r="AG49" i="30" s="1"/>
  <c r="AD49" i="30" l="1"/>
  <c r="AO49" i="30"/>
  <c r="O49" i="30"/>
  <c r="Z49" i="30"/>
  <c r="H48" i="30"/>
  <c r="L49" i="30" s="1"/>
  <c r="V49" i="30" l="1"/>
  <c r="R49" i="30"/>
  <c r="N49" i="30"/>
  <c r="P49" i="30"/>
  <c r="AM49" i="30" s="1"/>
  <c r="AC49" i="30"/>
  <c r="M49" i="30"/>
  <c r="Q49" i="30"/>
  <c r="S49" i="30"/>
  <c r="AL49" i="30" s="1"/>
  <c r="T49" i="30"/>
  <c r="U49" i="30"/>
  <c r="AN49" i="30" l="1"/>
  <c r="AH49" i="30"/>
  <c r="B49" i="31" s="1"/>
  <c r="D49" i="31" s="1"/>
  <c r="J49" i="31" s="1"/>
  <c r="G50" i="31"/>
  <c r="H50" i="31" s="1"/>
  <c r="I50" i="31" s="1"/>
  <c r="AJ49" i="30"/>
  <c r="AI49" i="30"/>
  <c r="C49" i="31" s="1"/>
  <c r="E49" i="31" s="1"/>
  <c r="K49" i="31" s="1"/>
  <c r="AK49" i="30"/>
  <c r="Y50" i="30" l="1"/>
  <c r="AB50" i="30" s="1"/>
  <c r="AE50" i="30" s="1"/>
  <c r="X50" i="30"/>
  <c r="AA50" i="30" s="1"/>
  <c r="AD50" i="30" s="1"/>
  <c r="W50" i="30"/>
  <c r="AF50" i="30"/>
  <c r="AG50" i="30" s="1"/>
  <c r="G49" i="30"/>
  <c r="K50" i="30" s="1"/>
  <c r="B50" i="30"/>
  <c r="C50" i="30"/>
  <c r="D50" i="30"/>
  <c r="E49" i="30"/>
  <c r="I50" i="30" s="1"/>
  <c r="F49" i="30"/>
  <c r="J50" i="30" s="1"/>
  <c r="Z50" i="30" l="1"/>
  <c r="H49" i="30"/>
  <c r="L50" i="30" s="1"/>
  <c r="T50" i="30"/>
  <c r="V50" i="30"/>
  <c r="O50" i="30"/>
  <c r="S50" i="30"/>
  <c r="AO50" i="30"/>
  <c r="M50" i="30" l="1"/>
  <c r="Q50" i="30"/>
  <c r="N50" i="30"/>
  <c r="U50" i="30"/>
  <c r="G51" i="31" s="1"/>
  <c r="H51" i="31" s="1"/>
  <c r="I51" i="31" s="1"/>
  <c r="R50" i="30"/>
  <c r="P50" i="30"/>
  <c r="AM50" i="30" s="1"/>
  <c r="AC50" i="30"/>
  <c r="AL50" i="30"/>
  <c r="AN50" i="30" l="1"/>
  <c r="AK50" i="30"/>
  <c r="AI50" i="30"/>
  <c r="C50" i="31" s="1"/>
  <c r="E50" i="31" s="1"/>
  <c r="K50" i="31" s="1"/>
  <c r="AJ50" i="30"/>
  <c r="AH50" i="30"/>
  <c r="B50" i="31" s="1"/>
  <c r="D50" i="31" s="1"/>
  <c r="J50" i="31" s="1"/>
  <c r="X51" i="30" l="1"/>
  <c r="AA51" i="30" s="1"/>
  <c r="AD51" i="30" s="1"/>
  <c r="Y51" i="30"/>
  <c r="AB51" i="30" s="1"/>
  <c r="W51" i="30"/>
  <c r="G50" i="30"/>
  <c r="K51" i="30" s="1"/>
  <c r="D51" i="30"/>
  <c r="F50" i="30"/>
  <c r="J51" i="30" s="1"/>
  <c r="E50" i="30"/>
  <c r="I51" i="30" s="1"/>
  <c r="B51" i="30"/>
  <c r="C51" i="30"/>
  <c r="AF51" i="30"/>
  <c r="AG51" i="30" s="1"/>
  <c r="AE51" i="30" l="1"/>
  <c r="N51" i="30"/>
  <c r="U51" i="30"/>
  <c r="R51" i="30"/>
  <c r="AO51" i="30"/>
  <c r="M51" i="30"/>
  <c r="Q51" i="30"/>
  <c r="T51" i="30"/>
  <c r="S51" i="30"/>
  <c r="V51" i="30"/>
  <c r="O51" i="30"/>
  <c r="Z51" i="30"/>
  <c r="H50" i="30"/>
  <c r="L51" i="30" s="1"/>
  <c r="AK51" i="30" l="1"/>
  <c r="G52" i="31"/>
  <c r="H52" i="31" s="1"/>
  <c r="I52" i="31" s="1"/>
  <c r="P51" i="30"/>
  <c r="AJ51" i="30"/>
  <c r="AI51" i="30"/>
  <c r="C51" i="31" s="1"/>
  <c r="E51" i="31" s="1"/>
  <c r="K51" i="31" s="1"/>
  <c r="AC51" i="30"/>
  <c r="AL51" i="30"/>
  <c r="AN51" i="30" l="1"/>
  <c r="AM51" i="30"/>
  <c r="AH51" i="30"/>
  <c r="B51" i="31" s="1"/>
  <c r="D51" i="31" s="1"/>
  <c r="J51" i="31" s="1"/>
  <c r="AF52" i="30"/>
  <c r="AG52" i="30" s="1"/>
  <c r="X52" i="30" l="1"/>
  <c r="AA52" i="30" s="1"/>
  <c r="AD52" i="30" s="1"/>
  <c r="Y52" i="30"/>
  <c r="AB52" i="30" s="1"/>
  <c r="W52" i="30"/>
  <c r="AO52" i="30"/>
  <c r="E51" i="30"/>
  <c r="I52" i="30" s="1"/>
  <c r="C52" i="30"/>
  <c r="B52" i="30"/>
  <c r="G51" i="30"/>
  <c r="K52" i="30" s="1"/>
  <c r="D52" i="30"/>
  <c r="F51" i="30"/>
  <c r="J52" i="30" s="1"/>
  <c r="AE52" i="30" l="1"/>
  <c r="S52" i="30"/>
  <c r="O52" i="30"/>
  <c r="V52" i="30"/>
  <c r="Q52" i="30"/>
  <c r="M52" i="30"/>
  <c r="T52" i="30"/>
  <c r="N52" i="30"/>
  <c r="U52" i="30"/>
  <c r="R52" i="30"/>
  <c r="Z52" i="30"/>
  <c r="H51" i="30"/>
  <c r="L52" i="30" s="1"/>
  <c r="G53" i="31" l="1"/>
  <c r="H53" i="31" s="1"/>
  <c r="I53" i="31" s="1"/>
  <c r="P52" i="30"/>
  <c r="AJ52" i="30"/>
  <c r="AI52" i="30"/>
  <c r="C52" i="31" s="1"/>
  <c r="E52" i="31" s="1"/>
  <c r="K52" i="31" s="1"/>
  <c r="AC52" i="30"/>
  <c r="AK52" i="30"/>
  <c r="AL52" i="30"/>
  <c r="AN52" i="30" l="1"/>
  <c r="AM52" i="30"/>
  <c r="AH52" i="30"/>
  <c r="B52" i="31" s="1"/>
  <c r="D52" i="31" s="1"/>
  <c r="J52" i="31" s="1"/>
  <c r="AF53" i="30"/>
  <c r="AG53" i="30" s="1"/>
  <c r="X53" i="30" l="1"/>
  <c r="AA53" i="30" s="1"/>
  <c r="AD53" i="30" s="1"/>
  <c r="Y53" i="30"/>
  <c r="AB53" i="30" s="1"/>
  <c r="AE53" i="30" s="1"/>
  <c r="W53" i="30"/>
  <c r="AO53" i="30"/>
  <c r="E52" i="30"/>
  <c r="I53" i="30" s="1"/>
  <c r="C53" i="30"/>
  <c r="F52" i="30"/>
  <c r="J53" i="30" s="1"/>
  <c r="D53" i="30"/>
  <c r="G52" i="30"/>
  <c r="K53" i="30" s="1"/>
  <c r="B53" i="30"/>
  <c r="S53" i="30" l="1"/>
  <c r="V53" i="30"/>
  <c r="O53" i="30"/>
  <c r="M53" i="30"/>
  <c r="Q53" i="30"/>
  <c r="T53" i="30"/>
  <c r="Z53" i="30"/>
  <c r="H52" i="30"/>
  <c r="L53" i="30" s="1"/>
  <c r="U53" i="30"/>
  <c r="N53" i="30"/>
  <c r="R53" i="30"/>
  <c r="AK53" i="30" l="1"/>
  <c r="G54" i="31"/>
  <c r="H54" i="31" s="1"/>
  <c r="I54" i="31" s="1"/>
  <c r="P53" i="30"/>
  <c r="AC53" i="30"/>
  <c r="AJ53" i="30"/>
  <c r="AI53" i="30"/>
  <c r="C53" i="31" s="1"/>
  <c r="E53" i="31" s="1"/>
  <c r="K53" i="31" s="1"/>
  <c r="AL53" i="30"/>
  <c r="AN53" i="30" l="1"/>
  <c r="AM53" i="30"/>
  <c r="AH53" i="30"/>
  <c r="B53" i="31" s="1"/>
  <c r="D53" i="31" s="1"/>
  <c r="J53" i="31" s="1"/>
  <c r="AF54" i="30"/>
  <c r="AG54" i="30" s="1"/>
  <c r="Y54" i="30" l="1"/>
  <c r="AB54" i="30" s="1"/>
  <c r="X54" i="30"/>
  <c r="AA54" i="30" s="1"/>
  <c r="AD54" i="30" s="1"/>
  <c r="W54" i="30"/>
  <c r="AO54" i="30"/>
  <c r="F53" i="30"/>
  <c r="J54" i="30" s="1"/>
  <c r="B54" i="30"/>
  <c r="D54" i="30"/>
  <c r="E53" i="30"/>
  <c r="I54" i="30" s="1"/>
  <c r="G53" i="30"/>
  <c r="K54" i="30" s="1"/>
  <c r="C54" i="30"/>
  <c r="AE54" i="30" l="1"/>
  <c r="S54" i="30"/>
  <c r="V54" i="30"/>
  <c r="O54" i="30"/>
  <c r="U54" i="30"/>
  <c r="R54" i="30"/>
  <c r="N54" i="30"/>
  <c r="Q54" i="30"/>
  <c r="T54" i="30"/>
  <c r="M54" i="30"/>
  <c r="Z54" i="30"/>
  <c r="H53" i="30"/>
  <c r="L54" i="30" s="1"/>
  <c r="G55" i="31" l="1"/>
  <c r="J45" i="25" s="1"/>
  <c r="AJ54" i="30"/>
  <c r="AI54" i="30"/>
  <c r="C54" i="31" s="1"/>
  <c r="E54" i="31" s="1"/>
  <c r="K54" i="31" s="1"/>
  <c r="P54" i="30"/>
  <c r="AK54" i="30"/>
  <c r="AL54" i="30"/>
  <c r="AC54" i="30"/>
  <c r="H55" i="31" l="1"/>
  <c r="I55" i="31" s="1"/>
  <c r="AN54" i="30"/>
  <c r="AM54" i="30"/>
  <c r="AH54" i="30"/>
  <c r="B54" i="31" s="1"/>
  <c r="D54" i="31" s="1"/>
  <c r="J54" i="31" s="1"/>
  <c r="AF55" i="30"/>
  <c r="AG55" i="30" s="1"/>
  <c r="X55" i="30" l="1"/>
  <c r="AA55" i="30" s="1"/>
  <c r="AD55" i="30" s="1"/>
  <c r="Y55" i="30"/>
  <c r="AB55" i="30" s="1"/>
  <c r="W55" i="30"/>
  <c r="AO55" i="30"/>
  <c r="B55" i="30"/>
  <c r="G54" i="30"/>
  <c r="K55" i="30" s="1"/>
  <c r="E54" i="30"/>
  <c r="I55" i="30" s="1"/>
  <c r="F54" i="30"/>
  <c r="J55" i="30" s="1"/>
  <c r="C55" i="30"/>
  <c r="D55" i="30"/>
  <c r="AE55" i="30" l="1"/>
  <c r="V55" i="30"/>
  <c r="O55" i="30"/>
  <c r="S55" i="30"/>
  <c r="U55" i="30"/>
  <c r="R55" i="30"/>
  <c r="N55" i="30"/>
  <c r="T55" i="30"/>
  <c r="M55" i="30"/>
  <c r="Q55" i="30"/>
  <c r="Z55" i="30"/>
  <c r="H54" i="30"/>
  <c r="L55" i="30" s="1"/>
  <c r="G56" i="31" l="1"/>
  <c r="H56" i="31" s="1"/>
  <c r="I56" i="31" s="1"/>
  <c r="AL55" i="30"/>
  <c r="AK55" i="30"/>
  <c r="P55" i="30"/>
  <c r="AC55" i="30"/>
  <c r="AJ55" i="30"/>
  <c r="AI55" i="30"/>
  <c r="C55" i="31" s="1"/>
  <c r="E55" i="31" s="1"/>
  <c r="K55" i="31" s="1"/>
  <c r="AN55" i="30" l="1"/>
  <c r="AM55" i="30"/>
  <c r="AH55" i="30"/>
  <c r="B55" i="31" s="1"/>
  <c r="D55" i="31" s="1"/>
  <c r="J55" i="31" s="1"/>
  <c r="AF56" i="30"/>
  <c r="AG56" i="30" s="1"/>
  <c r="X56" i="30" l="1"/>
  <c r="AA56" i="30" s="1"/>
  <c r="AD56" i="30" s="1"/>
  <c r="Y56" i="30"/>
  <c r="AB56" i="30" s="1"/>
  <c r="AE56" i="30" s="1"/>
  <c r="W56" i="30"/>
  <c r="E55" i="30"/>
  <c r="I56" i="30" s="1"/>
  <c r="F55" i="30"/>
  <c r="J56" i="30" s="1"/>
  <c r="C56" i="30"/>
  <c r="B56" i="30"/>
  <c r="G55" i="30"/>
  <c r="K56" i="30" s="1"/>
  <c r="D56" i="30"/>
  <c r="AO56" i="30"/>
  <c r="T56" i="30" l="1"/>
  <c r="V56" i="30"/>
  <c r="O56" i="30"/>
  <c r="S56" i="30"/>
  <c r="Z56" i="30"/>
  <c r="H55" i="30"/>
  <c r="L56" i="30" s="1"/>
  <c r="AC56" i="30" l="1"/>
  <c r="AL56" i="30"/>
  <c r="N56" i="30"/>
  <c r="R56" i="30"/>
  <c r="U56" i="30"/>
  <c r="G57" i="31" s="1"/>
  <c r="Q56" i="30"/>
  <c r="M56" i="30"/>
  <c r="P56" i="30"/>
  <c r="AM56" i="30" s="1"/>
  <c r="AK56" i="30" l="1"/>
  <c r="AN56" i="30"/>
  <c r="H57" i="31"/>
  <c r="I57" i="31" s="1"/>
  <c r="AH56" i="30"/>
  <c r="B56" i="31" s="1"/>
  <c r="D56" i="31" s="1"/>
  <c r="J56" i="31" s="1"/>
  <c r="AJ56" i="30"/>
  <c r="AI56" i="30"/>
  <c r="C56" i="31" s="1"/>
  <c r="E56" i="31" s="1"/>
  <c r="K56" i="31" s="1"/>
  <c r="Y57" i="30" l="1"/>
  <c r="AB57" i="30" s="1"/>
  <c r="X57" i="30"/>
  <c r="AA57" i="30" s="1"/>
  <c r="AD57" i="30" s="1"/>
  <c r="W57" i="30"/>
  <c r="G56" i="30"/>
  <c r="K57" i="30" s="1"/>
  <c r="D57" i="30"/>
  <c r="B57" i="30"/>
  <c r="F56" i="30"/>
  <c r="J57" i="30" s="1"/>
  <c r="C57" i="30"/>
  <c r="E56" i="30"/>
  <c r="I57" i="30" s="1"/>
  <c r="AF57" i="30"/>
  <c r="AG57" i="30" s="1"/>
  <c r="AE57" i="30" l="1"/>
  <c r="AO57" i="30"/>
  <c r="T57" i="30"/>
  <c r="Q57" i="30"/>
  <c r="M57" i="30"/>
  <c r="V57" i="30"/>
  <c r="Z57" i="30"/>
  <c r="H56" i="30"/>
  <c r="L57" i="30" s="1"/>
  <c r="N57" i="30" l="1"/>
  <c r="R57" i="30"/>
  <c r="AJ57" i="30"/>
  <c r="P57" i="30"/>
  <c r="U57" i="30"/>
  <c r="G58" i="31" s="1"/>
  <c r="AC57" i="30"/>
  <c r="O57" i="30"/>
  <c r="S57" i="30"/>
  <c r="AK57" i="30" l="1"/>
  <c r="AN57" i="30"/>
  <c r="AM57" i="30"/>
  <c r="AH57" i="30"/>
  <c r="B57" i="31" s="1"/>
  <c r="D57" i="31" s="1"/>
  <c r="J57" i="31" s="1"/>
  <c r="H58" i="31"/>
  <c r="I58" i="31" s="1"/>
  <c r="AL57" i="30"/>
  <c r="AI57" i="30"/>
  <c r="C57" i="31" s="1"/>
  <c r="E57" i="31" s="1"/>
  <c r="K57" i="31" s="1"/>
  <c r="X58" i="30" l="1"/>
  <c r="AA58" i="30" s="1"/>
  <c r="Y58" i="30"/>
  <c r="AB58" i="30" s="1"/>
  <c r="AE58" i="30" s="1"/>
  <c r="W58" i="30"/>
  <c r="AF58" i="30"/>
  <c r="AG58" i="30" s="1"/>
  <c r="E57" i="30"/>
  <c r="I58" i="30" s="1"/>
  <c r="F57" i="30"/>
  <c r="J58" i="30" s="1"/>
  <c r="B58" i="30"/>
  <c r="D58" i="30"/>
  <c r="G57" i="30"/>
  <c r="K58" i="30" s="1"/>
  <c r="C58" i="30"/>
  <c r="U58" i="30" l="1"/>
  <c r="R58" i="30"/>
  <c r="N58" i="30"/>
  <c r="T58" i="30"/>
  <c r="Q58" i="30"/>
  <c r="M58" i="30"/>
  <c r="Z58" i="30"/>
  <c r="AC58" i="30" s="1"/>
  <c r="H57" i="30"/>
  <c r="L58" i="30" s="1"/>
  <c r="V58" i="30"/>
  <c r="O58" i="30"/>
  <c r="S58" i="30"/>
  <c r="AO58" i="30"/>
  <c r="AD58" i="30"/>
  <c r="AN58" i="30" l="1"/>
  <c r="G59" i="31"/>
  <c r="H59" i="31" s="1"/>
  <c r="I59" i="31" s="1"/>
  <c r="AI58" i="30"/>
  <c r="C58" i="31" s="1"/>
  <c r="E58" i="31" s="1"/>
  <c r="K58" i="31" s="1"/>
  <c r="AJ58" i="30"/>
  <c r="AL58" i="30"/>
  <c r="P58" i="30"/>
  <c r="AM58" i="30" s="1"/>
  <c r="AK58" i="30"/>
  <c r="AH58" i="30" l="1"/>
  <c r="B58" i="31" s="1"/>
  <c r="D58" i="31" s="1"/>
  <c r="J58" i="31" s="1"/>
  <c r="AF59" i="30"/>
  <c r="AG59" i="30" s="1"/>
  <c r="Y59" i="30" l="1"/>
  <c r="AB59" i="30" s="1"/>
  <c r="W59" i="30"/>
  <c r="X59" i="30"/>
  <c r="AA59" i="30" s="1"/>
  <c r="AD59" i="30" s="1"/>
  <c r="AO59" i="30"/>
  <c r="G58" i="30"/>
  <c r="K59" i="30" s="1"/>
  <c r="E58" i="30"/>
  <c r="I59" i="30" s="1"/>
  <c r="B59" i="30"/>
  <c r="F58" i="30"/>
  <c r="J59" i="30" s="1"/>
  <c r="C59" i="30"/>
  <c r="D59" i="30"/>
  <c r="AE59" i="30" l="1"/>
  <c r="T59" i="30"/>
  <c r="M59" i="30"/>
  <c r="Q59" i="30"/>
  <c r="N59" i="30"/>
  <c r="R59" i="30"/>
  <c r="U59" i="30"/>
  <c r="V59" i="30"/>
  <c r="S59" i="30"/>
  <c r="O59" i="30"/>
  <c r="Z59" i="30"/>
  <c r="H58" i="30"/>
  <c r="L59" i="30" s="1"/>
  <c r="AK59" i="30" l="1"/>
  <c r="AL59" i="30"/>
  <c r="AJ59" i="30"/>
  <c r="AI59" i="30"/>
  <c r="C59" i="31" s="1"/>
  <c r="E59" i="31" s="1"/>
  <c r="K59" i="31" s="1"/>
  <c r="P59" i="30"/>
  <c r="G60" i="31"/>
  <c r="AC59" i="30"/>
  <c r="AN59" i="30" l="1"/>
  <c r="AM59" i="30"/>
  <c r="AH59" i="30"/>
  <c r="B59" i="31" s="1"/>
  <c r="D59" i="31" s="1"/>
  <c r="J59" i="31" s="1"/>
  <c r="H60" i="31"/>
  <c r="I60" i="31" s="1"/>
  <c r="AF60" i="30"/>
  <c r="AG60" i="30" s="1"/>
  <c r="X60" i="30" l="1"/>
  <c r="AA60" i="30" s="1"/>
  <c r="AD60" i="30" s="1"/>
  <c r="Y60" i="30"/>
  <c r="AB60" i="30" s="1"/>
  <c r="W60" i="30"/>
  <c r="AO60" i="30"/>
  <c r="G59" i="30"/>
  <c r="K60" i="30" s="1"/>
  <c r="D60" i="30"/>
  <c r="C60" i="30"/>
  <c r="E59" i="30"/>
  <c r="I60" i="30" s="1"/>
  <c r="B60" i="30"/>
  <c r="F59" i="30"/>
  <c r="J60" i="30" s="1"/>
  <c r="AE60" i="30" l="1"/>
  <c r="U60" i="30"/>
  <c r="N60" i="30"/>
  <c r="R60" i="30"/>
  <c r="Z60" i="30"/>
  <c r="H59" i="30"/>
  <c r="L60" i="30" s="1"/>
  <c r="O60" i="30"/>
  <c r="S60" i="30"/>
  <c r="V60" i="30"/>
  <c r="AK60" i="30" l="1"/>
  <c r="AC60" i="30"/>
  <c r="P60" i="30"/>
  <c r="AM60" i="30" s="1"/>
  <c r="M60" i="30"/>
  <c r="T60" i="30"/>
  <c r="G61" i="31" s="1"/>
  <c r="Q60" i="30"/>
  <c r="AL60" i="30"/>
  <c r="AN60" i="30" l="1"/>
  <c r="H61" i="31"/>
  <c r="I61" i="31" s="1"/>
  <c r="AI60" i="30"/>
  <c r="C60" i="31" s="1"/>
  <c r="E60" i="31" s="1"/>
  <c r="K60" i="31" s="1"/>
  <c r="AJ60" i="30"/>
  <c r="AH60" i="30"/>
  <c r="B60" i="31" s="1"/>
  <c r="D60" i="31" s="1"/>
  <c r="J60" i="31" s="1"/>
  <c r="X61" i="30" l="1"/>
  <c r="AA61" i="30" s="1"/>
  <c r="Y61" i="30"/>
  <c r="AB61" i="30" s="1"/>
  <c r="W61" i="30"/>
  <c r="AF61" i="30"/>
  <c r="AG61" i="30" s="1"/>
  <c r="G60" i="30"/>
  <c r="K61" i="30" s="1"/>
  <c r="B61" i="30"/>
  <c r="C61" i="30"/>
  <c r="E60" i="30"/>
  <c r="I61" i="30" s="1"/>
  <c r="F60" i="30"/>
  <c r="J61" i="30" s="1"/>
  <c r="D61" i="30"/>
  <c r="AE61" i="30" l="1"/>
  <c r="S61" i="30"/>
  <c r="O61" i="30"/>
  <c r="V61" i="30"/>
  <c r="R61" i="30"/>
  <c r="N61" i="30"/>
  <c r="U61" i="30"/>
  <c r="Z61" i="30"/>
  <c r="H60" i="30"/>
  <c r="L61" i="30" s="1"/>
  <c r="Q61" i="30"/>
  <c r="M61" i="30"/>
  <c r="T61" i="30"/>
  <c r="AD61" i="30"/>
  <c r="AO61" i="30"/>
  <c r="AC61" i="30" l="1"/>
  <c r="P61" i="30"/>
  <c r="AI61" i="30"/>
  <c r="C61" i="31" s="1"/>
  <c r="E61" i="31" s="1"/>
  <c r="K61" i="31" s="1"/>
  <c r="AJ61" i="30"/>
  <c r="AK61" i="30"/>
  <c r="AL61" i="30"/>
  <c r="G62" i="31"/>
  <c r="AN61" i="30" l="1"/>
  <c r="AM61" i="30"/>
  <c r="AH61" i="30"/>
  <c r="B61" i="31" s="1"/>
  <c r="D61" i="31" s="1"/>
  <c r="J61" i="31" s="1"/>
  <c r="H62" i="31"/>
  <c r="I62" i="31" s="1"/>
  <c r="AF62" i="30"/>
  <c r="AG62" i="30" s="1"/>
  <c r="X62" i="30" l="1"/>
  <c r="AA62" i="30" s="1"/>
  <c r="AD62" i="30" s="1"/>
  <c r="Y62" i="30"/>
  <c r="AB62" i="30" s="1"/>
  <c r="W62" i="30"/>
  <c r="AO62" i="30"/>
  <c r="B62" i="30"/>
  <c r="C62" i="30"/>
  <c r="F61" i="30"/>
  <c r="J62" i="30" s="1"/>
  <c r="G61" i="30"/>
  <c r="K62" i="30" s="1"/>
  <c r="E61" i="30"/>
  <c r="I62" i="30" s="1"/>
  <c r="D62" i="30"/>
  <c r="AE62" i="30" l="1"/>
  <c r="V62" i="30"/>
  <c r="S62" i="30"/>
  <c r="O62" i="30"/>
  <c r="M62" i="30"/>
  <c r="T62" i="30"/>
  <c r="Q62" i="30"/>
  <c r="R62" i="30"/>
  <c r="N62" i="30"/>
  <c r="U62" i="30"/>
  <c r="Z62" i="30"/>
  <c r="H61" i="30"/>
  <c r="L62" i="30" s="1"/>
  <c r="G63" i="31" l="1"/>
  <c r="H63" i="31" s="1"/>
  <c r="I63" i="31" s="1"/>
  <c r="AK62" i="30"/>
  <c r="AJ62" i="30"/>
  <c r="AI62" i="30"/>
  <c r="C62" i="31" s="1"/>
  <c r="E62" i="31" s="1"/>
  <c r="K62" i="31" s="1"/>
  <c r="P62" i="30"/>
  <c r="AC62" i="30"/>
  <c r="AL62" i="30"/>
  <c r="AN62" i="30" l="1"/>
  <c r="AM62" i="30"/>
  <c r="AH62" i="30"/>
  <c r="B62" i="31" s="1"/>
  <c r="D62" i="31" s="1"/>
  <c r="J62" i="31" s="1"/>
  <c r="AF63" i="30"/>
  <c r="AG63" i="30" s="1"/>
  <c r="X63" i="30" l="1"/>
  <c r="AA63" i="30" s="1"/>
  <c r="AD63" i="30" s="1"/>
  <c r="Y63" i="30"/>
  <c r="AB63" i="30" s="1"/>
  <c r="W63" i="30"/>
  <c r="AO63" i="30"/>
  <c r="F62" i="30"/>
  <c r="J63" i="30" s="1"/>
  <c r="E62" i="30"/>
  <c r="I63" i="30" s="1"/>
  <c r="B63" i="30"/>
  <c r="G62" i="30"/>
  <c r="K63" i="30" s="1"/>
  <c r="C63" i="30"/>
  <c r="D63" i="30"/>
  <c r="AE63" i="30" l="1"/>
  <c r="Q63" i="30"/>
  <c r="M63" i="30"/>
  <c r="T63" i="30"/>
  <c r="N63" i="30"/>
  <c r="R63" i="30"/>
  <c r="U63" i="30"/>
  <c r="S63" i="30"/>
  <c r="O63" i="30"/>
  <c r="V63" i="30"/>
  <c r="Z63" i="30"/>
  <c r="H62" i="30"/>
  <c r="L63" i="30" s="1"/>
  <c r="AK63" i="30" l="1"/>
  <c r="P63" i="30"/>
  <c r="AL63" i="30"/>
  <c r="G64" i="31"/>
  <c r="AC63" i="30"/>
  <c r="AJ63" i="30"/>
  <c r="AI63" i="30"/>
  <c r="C63" i="31" s="1"/>
  <c r="E63" i="31" s="1"/>
  <c r="K63" i="31" s="1"/>
  <c r="AN63" i="30" l="1"/>
  <c r="AM63" i="30"/>
  <c r="AH63" i="30"/>
  <c r="B63" i="31" s="1"/>
  <c r="D63" i="31" s="1"/>
  <c r="J63" i="31" s="1"/>
  <c r="AF64" i="30"/>
  <c r="AG64" i="30" s="1"/>
  <c r="H64" i="31"/>
  <c r="I64" i="31" s="1"/>
  <c r="X64" i="30" l="1"/>
  <c r="AA64" i="30" s="1"/>
  <c r="AD64" i="30" s="1"/>
  <c r="Y64" i="30"/>
  <c r="AB64" i="30" s="1"/>
  <c r="W64" i="30"/>
  <c r="AO64" i="30"/>
  <c r="B64" i="30"/>
  <c r="F63" i="30"/>
  <c r="J64" i="30" s="1"/>
  <c r="C64" i="30"/>
  <c r="E63" i="30"/>
  <c r="I64" i="30" s="1"/>
  <c r="G63" i="30"/>
  <c r="K64" i="30" s="1"/>
  <c r="D64" i="30"/>
  <c r="AE64" i="30" l="1"/>
  <c r="V64" i="30"/>
  <c r="S64" i="30"/>
  <c r="O64" i="30"/>
  <c r="Q64" i="30"/>
  <c r="M64" i="30"/>
  <c r="T64" i="30"/>
  <c r="U64" i="30"/>
  <c r="R64" i="30"/>
  <c r="N64" i="30"/>
  <c r="Z64" i="30"/>
  <c r="H63" i="30"/>
  <c r="L64" i="30" s="1"/>
  <c r="AC64" i="30" l="1"/>
  <c r="AK64" i="30"/>
  <c r="P64" i="30"/>
  <c r="G65" i="31"/>
  <c r="J46" i="25" s="1"/>
  <c r="AJ64" i="30"/>
  <c r="AI64" i="30"/>
  <c r="C64" i="31" s="1"/>
  <c r="E64" i="31" s="1"/>
  <c r="K64" i="31" s="1"/>
  <c r="AL64" i="30"/>
  <c r="AN64" i="30" l="1"/>
  <c r="AM64" i="30"/>
  <c r="AH64" i="30"/>
  <c r="B64" i="31" s="1"/>
  <c r="D64" i="31" s="1"/>
  <c r="J64" i="31" s="1"/>
  <c r="H65" i="31"/>
  <c r="I65" i="31" s="1"/>
  <c r="AF65" i="30"/>
  <c r="AG65" i="30" s="1"/>
  <c r="X65" i="30" l="1"/>
  <c r="AA65" i="30" s="1"/>
  <c r="AD65" i="30" s="1"/>
  <c r="Y65" i="30"/>
  <c r="AB65" i="30" s="1"/>
  <c r="W65" i="30"/>
  <c r="AO65" i="30"/>
  <c r="F64" i="30"/>
  <c r="J65" i="30" s="1"/>
  <c r="E64" i="30"/>
  <c r="I65" i="30" s="1"/>
  <c r="G64" i="30"/>
  <c r="K65" i="30" s="1"/>
  <c r="D65" i="30"/>
  <c r="C65" i="30"/>
  <c r="B65" i="30"/>
  <c r="AE65" i="30" l="1"/>
  <c r="T65" i="30"/>
  <c r="M65" i="30"/>
  <c r="Q65" i="30"/>
  <c r="U65" i="30"/>
  <c r="R65" i="30"/>
  <c r="N65" i="30"/>
  <c r="V65" i="30"/>
  <c r="O65" i="30"/>
  <c r="S65" i="30"/>
  <c r="Z65" i="30"/>
  <c r="AC65" i="30" s="1"/>
  <c r="H64" i="30"/>
  <c r="L65" i="30" s="1"/>
  <c r="AL65" i="30" l="1"/>
  <c r="G66" i="31"/>
  <c r="H66" i="31" s="1"/>
  <c r="I66" i="31" s="1"/>
  <c r="AJ65" i="30"/>
  <c r="AI65" i="30"/>
  <c r="C65" i="31" s="1"/>
  <c r="E65" i="31" s="1"/>
  <c r="K65" i="31" s="1"/>
  <c r="AK65" i="30"/>
  <c r="P65" i="30"/>
  <c r="AN65" i="30"/>
  <c r="AM65" i="30" l="1"/>
  <c r="AH65" i="30"/>
  <c r="B65" i="31" s="1"/>
  <c r="D65" i="31" s="1"/>
  <c r="J65" i="31" s="1"/>
  <c r="AF66" i="30"/>
  <c r="AG66" i="30" s="1"/>
  <c r="X66" i="30" l="1"/>
  <c r="AA66" i="30" s="1"/>
  <c r="AD66" i="30" s="1"/>
  <c r="W66" i="30"/>
  <c r="Y66" i="30"/>
  <c r="AB66" i="30" s="1"/>
  <c r="AO66" i="30"/>
  <c r="E65" i="30"/>
  <c r="I66" i="30" s="1"/>
  <c r="F65" i="30"/>
  <c r="J66" i="30" s="1"/>
  <c r="B66" i="30"/>
  <c r="G65" i="30"/>
  <c r="K66" i="30" s="1"/>
  <c r="C66" i="30"/>
  <c r="D66" i="30"/>
  <c r="AE66" i="30" l="1"/>
  <c r="Q66" i="30"/>
  <c r="R66" i="30"/>
  <c r="N66" i="30"/>
  <c r="U66" i="30"/>
  <c r="H65" i="30"/>
  <c r="L66" i="30" s="1"/>
  <c r="Z66" i="30"/>
  <c r="T66" i="30"/>
  <c r="M66" i="30"/>
  <c r="AJ66" i="30" l="1"/>
  <c r="AC66" i="30"/>
  <c r="P66" i="30"/>
  <c r="AM66" i="30" s="1"/>
  <c r="AK66" i="30"/>
  <c r="O66" i="30"/>
  <c r="V66" i="30"/>
  <c r="G67" i="31" s="1"/>
  <c r="S66" i="30"/>
  <c r="AL66" i="30" l="1"/>
  <c r="AH66" i="30"/>
  <c r="B66" i="31" s="1"/>
  <c r="D66" i="31" s="1"/>
  <c r="J66" i="31" s="1"/>
  <c r="X67" i="30" s="1"/>
  <c r="AA67" i="30" s="1"/>
  <c r="AI66" i="30"/>
  <c r="C66" i="31" s="1"/>
  <c r="E66" i="31" s="1"/>
  <c r="K66" i="31" s="1"/>
  <c r="AF67" i="30" s="1"/>
  <c r="AG67" i="30" s="1"/>
  <c r="H67" i="31"/>
  <c r="I67" i="31" s="1"/>
  <c r="AN66" i="30"/>
  <c r="H66" i="30" l="1"/>
  <c r="L67" i="30" s="1"/>
  <c r="P67" i="30" s="1"/>
  <c r="AM67" i="30" s="1"/>
  <c r="Y67" i="30"/>
  <c r="AB67" i="30" s="1"/>
  <c r="AE67" i="30" s="1"/>
  <c r="W67" i="30"/>
  <c r="Z67" i="30" s="1"/>
  <c r="AC67" i="30" s="1"/>
  <c r="E66" i="30"/>
  <c r="C67" i="30"/>
  <c r="G66" i="30"/>
  <c r="F66" i="30"/>
  <c r="J67" i="30" s="1"/>
  <c r="D67" i="30"/>
  <c r="B67" i="30"/>
  <c r="AO67" i="30"/>
  <c r="AD67" i="30"/>
  <c r="I67" i="30" l="1"/>
  <c r="T67" i="30" s="1"/>
  <c r="K67" i="30"/>
  <c r="O67" i="30" s="1"/>
  <c r="R67" i="30"/>
  <c r="U67" i="30"/>
  <c r="N67" i="30"/>
  <c r="AN67" i="30"/>
  <c r="Q67" i="30" l="1"/>
  <c r="AK67" i="30"/>
  <c r="M67" i="30"/>
  <c r="V67" i="30"/>
  <c r="G68" i="31" s="1"/>
  <c r="H68" i="31" s="1"/>
  <c r="I68" i="31" s="1"/>
  <c r="S67" i="30"/>
  <c r="AL67" i="30" s="1"/>
  <c r="AJ67" i="30" l="1"/>
  <c r="AH67" i="30"/>
  <c r="B67" i="31" s="1"/>
  <c r="D67" i="31" s="1"/>
  <c r="J67" i="31" s="1"/>
  <c r="Y68" i="30" s="1"/>
  <c r="AB68" i="30" s="1"/>
  <c r="AE68" i="30" s="1"/>
  <c r="AI67" i="30"/>
  <c r="C67" i="31" s="1"/>
  <c r="E67" i="31" s="1"/>
  <c r="K67" i="31" s="1"/>
  <c r="AF68" i="30" s="1"/>
  <c r="AG68" i="30" s="1"/>
  <c r="AO68" i="30" s="1"/>
  <c r="H67" i="30" l="1"/>
  <c r="L68" i="30" s="1"/>
  <c r="P68" i="30" s="1"/>
  <c r="G67" i="30"/>
  <c r="K68" i="30" s="1"/>
  <c r="X68" i="30"/>
  <c r="AA68" i="30" s="1"/>
  <c r="AD68" i="30" s="1"/>
  <c r="D68" i="30"/>
  <c r="W68" i="30"/>
  <c r="Z68" i="30" s="1"/>
  <c r="AC68" i="30" s="1"/>
  <c r="E67" i="30"/>
  <c r="I68" i="30" s="1"/>
  <c r="T68" i="30" s="1"/>
  <c r="C68" i="30"/>
  <c r="F67" i="30"/>
  <c r="J68" i="30" s="1"/>
  <c r="U68" i="30" s="1"/>
  <c r="B68" i="30"/>
  <c r="S68" i="30" l="1"/>
  <c r="V68" i="30"/>
  <c r="G69" i="31" s="1"/>
  <c r="H69" i="31" s="1"/>
  <c r="I69" i="31" s="1"/>
  <c r="O68" i="30"/>
  <c r="M68" i="30"/>
  <c r="Q68" i="30"/>
  <c r="AN68" i="30"/>
  <c r="R68" i="30"/>
  <c r="N68" i="30"/>
  <c r="AM68" i="30"/>
  <c r="AL68" i="30" l="1"/>
  <c r="AI68" i="30"/>
  <c r="C68" i="31" s="1"/>
  <c r="E68" i="31" s="1"/>
  <c r="K68" i="31" s="1"/>
  <c r="AF69" i="30" s="1"/>
  <c r="AG69" i="30" s="1"/>
  <c r="AO69" i="30" s="1"/>
  <c r="AH68" i="30"/>
  <c r="B68" i="31" s="1"/>
  <c r="D68" i="31" s="1"/>
  <c r="J68" i="31" s="1"/>
  <c r="X69" i="30" s="1"/>
  <c r="AA69" i="30" s="1"/>
  <c r="AD69" i="30" s="1"/>
  <c r="AK68" i="30"/>
  <c r="AJ68" i="30"/>
  <c r="D69" i="30" l="1"/>
  <c r="Y69" i="30"/>
  <c r="AB69" i="30" s="1"/>
  <c r="AE69" i="30" s="1"/>
  <c r="W69" i="30"/>
  <c r="Z69" i="30" s="1"/>
  <c r="AC69" i="30" s="1"/>
  <c r="B69" i="30"/>
  <c r="F68" i="30"/>
  <c r="J69" i="30" s="1"/>
  <c r="C69" i="30"/>
  <c r="E68" i="30"/>
  <c r="I69" i="30" s="1"/>
  <c r="T69" i="30" s="1"/>
  <c r="G68" i="30"/>
  <c r="K69" i="30" s="1"/>
  <c r="H68" i="30"/>
  <c r="L69" i="30" s="1"/>
  <c r="S69" i="30" l="1"/>
  <c r="M69" i="30"/>
  <c r="Q69" i="30"/>
  <c r="P69" i="30"/>
  <c r="AM69" i="30" s="1"/>
  <c r="R69" i="30"/>
  <c r="U69" i="30"/>
  <c r="N69" i="30"/>
  <c r="O69" i="30"/>
  <c r="V69" i="30"/>
  <c r="AN69" i="30"/>
  <c r="AL69" i="30" l="1"/>
  <c r="AJ69" i="30"/>
  <c r="G70" i="31"/>
  <c r="H70" i="31" s="1"/>
  <c r="I70" i="31" s="1"/>
  <c r="AH69" i="30"/>
  <c r="B69" i="31" s="1"/>
  <c r="D69" i="31" s="1"/>
  <c r="J69" i="31" s="1"/>
  <c r="AK69" i="30"/>
  <c r="AI69" i="30"/>
  <c r="C69" i="31" s="1"/>
  <c r="E69" i="31" s="1"/>
  <c r="K69" i="31" s="1"/>
  <c r="X70" i="30" l="1"/>
  <c r="AA70" i="30" s="1"/>
  <c r="W70" i="30"/>
  <c r="Z70" i="30" s="1"/>
  <c r="Y70" i="30"/>
  <c r="AB70" i="30" s="1"/>
  <c r="G69" i="30"/>
  <c r="K70" i="30" s="1"/>
  <c r="AF70" i="30"/>
  <c r="AG70" i="30" s="1"/>
  <c r="F69" i="30"/>
  <c r="J70" i="30" s="1"/>
  <c r="C70" i="30"/>
  <c r="D70" i="30"/>
  <c r="E69" i="30"/>
  <c r="I70" i="30" s="1"/>
  <c r="B70" i="30"/>
  <c r="H69" i="30"/>
  <c r="L70" i="30" s="1"/>
  <c r="AE70" i="30" l="1"/>
  <c r="AC70" i="30"/>
  <c r="P70" i="30"/>
  <c r="AM70" i="30" s="1"/>
  <c r="AD70" i="30"/>
  <c r="AO70" i="30"/>
  <c r="O70" i="30"/>
  <c r="AN70" i="30" l="1"/>
  <c r="Q70" i="30"/>
  <c r="M70" i="30"/>
  <c r="T70" i="30"/>
  <c r="V70" i="30"/>
  <c r="S70" i="30"/>
  <c r="AL70" i="30" s="1"/>
  <c r="U70" i="30"/>
  <c r="R70" i="30"/>
  <c r="N70" i="30"/>
  <c r="AK70" i="30" l="1"/>
  <c r="G71" i="31"/>
  <c r="AH70" i="30"/>
  <c r="B70" i="31" s="1"/>
  <c r="D70" i="31" s="1"/>
  <c r="J70" i="31" s="1"/>
  <c r="AJ70" i="30"/>
  <c r="AI70" i="30"/>
  <c r="C70" i="31" s="1"/>
  <c r="E70" i="31" s="1"/>
  <c r="K70" i="31" s="1"/>
  <c r="X71" i="30" l="1"/>
  <c r="AA71" i="30" s="1"/>
  <c r="W71" i="30"/>
  <c r="Y71" i="30"/>
  <c r="AB71" i="30" s="1"/>
  <c r="AE71" i="30" s="1"/>
  <c r="AF71" i="30"/>
  <c r="AG71" i="30" s="1"/>
  <c r="E70" i="30"/>
  <c r="I71" i="30" s="1"/>
  <c r="B71" i="30"/>
  <c r="F70" i="30"/>
  <c r="J71" i="30" s="1"/>
  <c r="G70" i="30"/>
  <c r="K71" i="30" s="1"/>
  <c r="D71" i="30"/>
  <c r="C71" i="30"/>
  <c r="H71" i="31"/>
  <c r="I71" i="31" s="1"/>
  <c r="V71" i="30" l="1"/>
  <c r="O71" i="30"/>
  <c r="S71" i="30"/>
  <c r="T71" i="30"/>
  <c r="Q71" i="30"/>
  <c r="M71" i="30"/>
  <c r="Z71" i="30"/>
  <c r="H70" i="30"/>
  <c r="L71" i="30" s="1"/>
  <c r="AD71" i="30"/>
  <c r="N71" i="30"/>
  <c r="R71" i="30"/>
  <c r="U71" i="30"/>
  <c r="AO71" i="30"/>
  <c r="AK71" i="30" l="1"/>
  <c r="AL71" i="30"/>
  <c r="G72" i="31"/>
  <c r="AC71" i="30"/>
  <c r="AJ71" i="30"/>
  <c r="AI71" i="30"/>
  <c r="C71" i="31" s="1"/>
  <c r="E71" i="31" s="1"/>
  <c r="K71" i="31" s="1"/>
  <c r="P71" i="30"/>
  <c r="H72" i="31" l="1"/>
  <c r="I72" i="31" s="1"/>
  <c r="AN71" i="30"/>
  <c r="AM71" i="30"/>
  <c r="AH71" i="30"/>
  <c r="B71" i="31" s="1"/>
  <c r="D71" i="31" s="1"/>
  <c r="J71" i="31" s="1"/>
  <c r="AF72" i="30"/>
  <c r="AG72" i="30" s="1"/>
  <c r="Y72" i="30" l="1"/>
  <c r="AB72" i="30" s="1"/>
  <c r="X72" i="30"/>
  <c r="AA72" i="30" s="1"/>
  <c r="AD72" i="30" s="1"/>
  <c r="W72" i="30"/>
  <c r="AO72" i="30"/>
  <c r="E71" i="30"/>
  <c r="I72" i="30" s="1"/>
  <c r="B72" i="30"/>
  <c r="D72" i="30"/>
  <c r="G71" i="30"/>
  <c r="K72" i="30" s="1"/>
  <c r="C72" i="30"/>
  <c r="F71" i="30"/>
  <c r="J72" i="30" s="1"/>
  <c r="AE72" i="30" l="1"/>
  <c r="T72" i="30"/>
  <c r="M72" i="30"/>
  <c r="Q72" i="30"/>
  <c r="N72" i="30"/>
  <c r="R72" i="30"/>
  <c r="U72" i="30"/>
  <c r="O72" i="30"/>
  <c r="V72" i="30"/>
  <c r="S72" i="30"/>
  <c r="Z72" i="30"/>
  <c r="AC72" i="30" s="1"/>
  <c r="H71" i="30"/>
  <c r="L72" i="30" s="1"/>
  <c r="AL72" i="30" l="1"/>
  <c r="AI72" i="30"/>
  <c r="C72" i="31" s="1"/>
  <c r="E72" i="31" s="1"/>
  <c r="K72" i="31" s="1"/>
  <c r="AJ72" i="30"/>
  <c r="P72" i="30"/>
  <c r="AK72" i="30"/>
  <c r="G73" i="31"/>
  <c r="H73" i="31" s="1"/>
  <c r="I73" i="31" s="1"/>
  <c r="AN72" i="30"/>
  <c r="AM72" i="30" l="1"/>
  <c r="AH72" i="30"/>
  <c r="B72" i="31" s="1"/>
  <c r="D72" i="31" s="1"/>
  <c r="J72" i="31" s="1"/>
  <c r="AF73" i="30"/>
  <c r="AG73" i="30" s="1"/>
  <c r="AO73" i="30" s="1"/>
  <c r="X73" i="30" l="1"/>
  <c r="AA73" i="30" s="1"/>
  <c r="AD73" i="30" s="1"/>
  <c r="W73" i="30"/>
  <c r="Y73" i="30"/>
  <c r="AB73" i="30" s="1"/>
  <c r="C73" i="30"/>
  <c r="F72" i="30"/>
  <c r="J73" i="30" s="1"/>
  <c r="B73" i="30"/>
  <c r="D73" i="30"/>
  <c r="E72" i="30"/>
  <c r="I73" i="30" s="1"/>
  <c r="G72" i="30"/>
  <c r="K73" i="30" s="1"/>
  <c r="AE73" i="30" l="1"/>
  <c r="R73" i="30"/>
  <c r="U73" i="30"/>
  <c r="N73" i="30"/>
  <c r="M73" i="30"/>
  <c r="H72" i="30"/>
  <c r="L73" i="30" s="1"/>
  <c r="Z73" i="30"/>
  <c r="Q73" i="30" l="1"/>
  <c r="T73" i="30"/>
  <c r="AC73" i="30"/>
  <c r="P73" i="30"/>
  <c r="AM73" i="30" s="1"/>
  <c r="O73" i="30"/>
  <c r="V73" i="30"/>
  <c r="S73" i="30"/>
  <c r="AK73" i="30"/>
  <c r="AN73" i="30" l="1"/>
  <c r="AL73" i="30"/>
  <c r="G74" i="31"/>
  <c r="AI73" i="30"/>
  <c r="C73" i="31" s="1"/>
  <c r="E73" i="31" s="1"/>
  <c r="K73" i="31" s="1"/>
  <c r="AJ73" i="30"/>
  <c r="AH73" i="30"/>
  <c r="B73" i="31" s="1"/>
  <c r="D73" i="31" s="1"/>
  <c r="J73" i="31" s="1"/>
  <c r="X74" i="30" l="1"/>
  <c r="AA74" i="30" s="1"/>
  <c r="Y74" i="30"/>
  <c r="AB74" i="30" s="1"/>
  <c r="W74" i="30"/>
  <c r="F73" i="30"/>
  <c r="J74" i="30" s="1"/>
  <c r="G73" i="30"/>
  <c r="K74" i="30" s="1"/>
  <c r="D74" i="30"/>
  <c r="E73" i="30"/>
  <c r="I74" i="30" s="1"/>
  <c r="B74" i="30"/>
  <c r="C74" i="30"/>
  <c r="AF74" i="30"/>
  <c r="AG74" i="30" s="1"/>
  <c r="H74" i="31"/>
  <c r="I74" i="31" s="1"/>
  <c r="AE74" i="30" l="1"/>
  <c r="T74" i="30"/>
  <c r="M74" i="30"/>
  <c r="Q74" i="30"/>
  <c r="AD74" i="30"/>
  <c r="AO74" i="30"/>
  <c r="O74" i="30"/>
  <c r="S74" i="30"/>
  <c r="V74" i="30"/>
  <c r="Z74" i="30"/>
  <c r="H73" i="30"/>
  <c r="L74" i="30" s="1"/>
  <c r="AJ74" i="30" l="1"/>
  <c r="P74" i="30"/>
  <c r="AM74" i="30" s="1"/>
  <c r="AC74" i="30"/>
  <c r="N74" i="30"/>
  <c r="U74" i="30"/>
  <c r="G75" i="31" s="1"/>
  <c r="J47" i="25" s="1"/>
  <c r="R74" i="30"/>
  <c r="AL74" i="30"/>
  <c r="AK74" i="30" l="1"/>
  <c r="AN74" i="30"/>
  <c r="AH74" i="30"/>
  <c r="B74" i="31" s="1"/>
  <c r="D74" i="31" s="1"/>
  <c r="J74" i="31" s="1"/>
  <c r="H75" i="31"/>
  <c r="I75" i="31" s="1"/>
  <c r="AI74" i="30"/>
  <c r="C74" i="31" s="1"/>
  <c r="E74" i="31" s="1"/>
  <c r="K74" i="31" s="1"/>
  <c r="X75" i="30" l="1"/>
  <c r="AA75" i="30" s="1"/>
  <c r="Y75" i="30"/>
  <c r="AB75" i="30" s="1"/>
  <c r="W75" i="30"/>
  <c r="Z75" i="30" s="1"/>
  <c r="F74" i="30"/>
  <c r="J75" i="30" s="1"/>
  <c r="H74" i="30"/>
  <c r="L75" i="30" s="1"/>
  <c r="D75" i="30"/>
  <c r="AF75" i="30"/>
  <c r="AG75" i="30" s="1"/>
  <c r="B75" i="30"/>
  <c r="G74" i="30"/>
  <c r="K75" i="30" s="1"/>
  <c r="E74" i="30"/>
  <c r="I75" i="30" s="1"/>
  <c r="C75" i="30"/>
  <c r="AE75" i="30" l="1"/>
  <c r="T75" i="30"/>
  <c r="Q75" i="30"/>
  <c r="M75" i="30"/>
  <c r="AD75" i="30"/>
  <c r="P75" i="30"/>
  <c r="AM75" i="30" s="1"/>
  <c r="AC75" i="30"/>
  <c r="S75" i="30"/>
  <c r="O75" i="30"/>
  <c r="V75" i="30"/>
  <c r="AO75" i="30"/>
  <c r="R75" i="30"/>
  <c r="U75" i="30"/>
  <c r="N75" i="30"/>
  <c r="AN75" i="30" l="1"/>
  <c r="AK75" i="30"/>
  <c r="AJ75" i="30"/>
  <c r="AI75" i="30"/>
  <c r="C75" i="31" s="1"/>
  <c r="E75" i="31" s="1"/>
  <c r="K75" i="31" s="1"/>
  <c r="AL75" i="30"/>
  <c r="AH75" i="30"/>
  <c r="B75" i="31" s="1"/>
  <c r="D75" i="31" s="1"/>
  <c r="J75" i="31" s="1"/>
  <c r="W76" i="30" s="1"/>
  <c r="G76" i="31"/>
  <c r="Y76" i="30" l="1"/>
  <c r="AB76" i="30" s="1"/>
  <c r="X76" i="30"/>
  <c r="AA76" i="30" s="1"/>
  <c r="AD76" i="30" s="1"/>
  <c r="H76" i="31"/>
  <c r="I76" i="31" s="1"/>
  <c r="B76" i="30"/>
  <c r="E75" i="30"/>
  <c r="I76" i="30" s="1"/>
  <c r="G75" i="30"/>
  <c r="K76" i="30" s="1"/>
  <c r="C76" i="30"/>
  <c r="F75" i="30"/>
  <c r="J76" i="30" s="1"/>
  <c r="D76" i="30"/>
  <c r="AF76" i="30"/>
  <c r="AG76" i="30" s="1"/>
  <c r="AE76" i="30" l="1"/>
  <c r="O76" i="30"/>
  <c r="V76" i="30"/>
  <c r="S76" i="30"/>
  <c r="M76" i="30"/>
  <c r="Q76" i="30"/>
  <c r="T76" i="30"/>
  <c r="AO76" i="30"/>
  <c r="R76" i="30"/>
  <c r="N76" i="30"/>
  <c r="U76" i="30"/>
  <c r="Z76" i="30"/>
  <c r="H75" i="30"/>
  <c r="L76" i="30" s="1"/>
  <c r="G77" i="31" l="1"/>
  <c r="AJ76" i="30"/>
  <c r="AI76" i="30"/>
  <c r="C76" i="31" s="1"/>
  <c r="E76" i="31" s="1"/>
  <c r="K76" i="31" s="1"/>
  <c r="AC76" i="30"/>
  <c r="AL76" i="30"/>
  <c r="AK76" i="30"/>
  <c r="P76" i="30"/>
  <c r="AN76" i="30" l="1"/>
  <c r="AM76" i="30"/>
  <c r="AH76" i="30"/>
  <c r="B76" i="31" s="1"/>
  <c r="D76" i="31" s="1"/>
  <c r="J76" i="31" s="1"/>
  <c r="AF77" i="30"/>
  <c r="AG77" i="30" s="1"/>
  <c r="H77" i="31"/>
  <c r="I77" i="31" s="1"/>
  <c r="X77" i="30" l="1"/>
  <c r="AA77" i="30" s="1"/>
  <c r="AD77" i="30" s="1"/>
  <c r="Y77" i="30"/>
  <c r="AB77" i="30" s="1"/>
  <c r="W77" i="30"/>
  <c r="AO77" i="30"/>
  <c r="D77" i="30"/>
  <c r="G76" i="30"/>
  <c r="K77" i="30" s="1"/>
  <c r="F76" i="30"/>
  <c r="J77" i="30" s="1"/>
  <c r="B77" i="30"/>
  <c r="C77" i="30"/>
  <c r="E76" i="30"/>
  <c r="I77" i="30" s="1"/>
  <c r="AE77" i="30" l="1"/>
  <c r="U77" i="30"/>
  <c r="R77" i="30"/>
  <c r="N77" i="30"/>
  <c r="M77" i="30"/>
  <c r="Q77" i="30"/>
  <c r="T77" i="30"/>
  <c r="V77" i="30"/>
  <c r="O77" i="30"/>
  <c r="S77" i="30"/>
  <c r="Z77" i="30"/>
  <c r="H76" i="30"/>
  <c r="L77" i="30" s="1"/>
  <c r="G78" i="31" l="1"/>
  <c r="H78" i="31" s="1"/>
  <c r="I78" i="31" s="1"/>
  <c r="AK77" i="30"/>
  <c r="P77" i="30"/>
  <c r="AJ77" i="30"/>
  <c r="AI77" i="30"/>
  <c r="C77" i="31" s="1"/>
  <c r="E77" i="31" s="1"/>
  <c r="K77" i="31" s="1"/>
  <c r="AC77" i="30"/>
  <c r="AL77" i="30"/>
  <c r="AN77" i="30" l="1"/>
  <c r="AM77" i="30"/>
  <c r="AH77" i="30"/>
  <c r="B77" i="31" s="1"/>
  <c r="D77" i="31" s="1"/>
  <c r="J77" i="31" s="1"/>
  <c r="AF78" i="30"/>
  <c r="AG78" i="30" s="1"/>
  <c r="AO78" i="30" s="1"/>
  <c r="X78" i="30" l="1"/>
  <c r="AA78" i="30" s="1"/>
  <c r="AD78" i="30" s="1"/>
  <c r="Y78" i="30"/>
  <c r="AB78" i="30" s="1"/>
  <c r="W78" i="30"/>
  <c r="F77" i="30"/>
  <c r="J78" i="30" s="1"/>
  <c r="C78" i="30"/>
  <c r="D78" i="30"/>
  <c r="G77" i="30"/>
  <c r="K78" i="30" s="1"/>
  <c r="E77" i="30"/>
  <c r="I78" i="30" s="1"/>
  <c r="B78" i="30"/>
  <c r="AE78" i="30" l="1"/>
  <c r="V78" i="30"/>
  <c r="S78" i="30"/>
  <c r="O78" i="30"/>
  <c r="T78" i="30"/>
  <c r="Q78" i="30"/>
  <c r="M78" i="30"/>
  <c r="N78" i="30"/>
  <c r="U78" i="30"/>
  <c r="R78" i="30"/>
  <c r="Z78" i="30"/>
  <c r="H77" i="30"/>
  <c r="L78" i="30" s="1"/>
  <c r="AJ78" i="30" l="1"/>
  <c r="AI78" i="30"/>
  <c r="C78" i="31" s="1"/>
  <c r="E78" i="31" s="1"/>
  <c r="K78" i="31" s="1"/>
  <c r="G79" i="31"/>
  <c r="AL78" i="30"/>
  <c r="P78" i="30"/>
  <c r="AC78" i="30"/>
  <c r="AK78" i="30"/>
  <c r="AN78" i="30" l="1"/>
  <c r="AM78" i="30"/>
  <c r="AH78" i="30"/>
  <c r="B78" i="31" s="1"/>
  <c r="D78" i="31" s="1"/>
  <c r="J78" i="31" s="1"/>
  <c r="H79" i="31"/>
  <c r="I79" i="31" s="1"/>
  <c r="AF79" i="30"/>
  <c r="AG79" i="30" s="1"/>
  <c r="X79" i="30" l="1"/>
  <c r="AA79" i="30" s="1"/>
  <c r="AD79" i="30" s="1"/>
  <c r="Y79" i="30"/>
  <c r="AB79" i="30" s="1"/>
  <c r="W79" i="30"/>
  <c r="AO79" i="30"/>
  <c r="E78" i="30"/>
  <c r="I79" i="30" s="1"/>
  <c r="B79" i="30"/>
  <c r="C79" i="30"/>
  <c r="F78" i="30"/>
  <c r="J79" i="30" s="1"/>
  <c r="D79" i="30"/>
  <c r="G78" i="30"/>
  <c r="K79" i="30" s="1"/>
  <c r="AE79" i="30" l="1"/>
  <c r="Q79" i="30"/>
  <c r="M79" i="30"/>
  <c r="T79" i="30"/>
  <c r="S79" i="30"/>
  <c r="O79" i="30"/>
  <c r="V79" i="30"/>
  <c r="R79" i="30"/>
  <c r="N79" i="30"/>
  <c r="U79" i="30"/>
  <c r="Z79" i="30"/>
  <c r="H78" i="30"/>
  <c r="L79" i="30" s="1"/>
  <c r="AJ79" i="30" l="1"/>
  <c r="AI79" i="30"/>
  <c r="C79" i="31" s="1"/>
  <c r="E79" i="31" s="1"/>
  <c r="K79" i="31" s="1"/>
  <c r="AL79" i="30"/>
  <c r="AK79" i="30"/>
  <c r="G80" i="31"/>
  <c r="P79" i="30"/>
  <c r="AC79" i="30"/>
  <c r="AN79" i="30" l="1"/>
  <c r="AM79" i="30"/>
  <c r="AH79" i="30"/>
  <c r="B79" i="31" s="1"/>
  <c r="D79" i="31" s="1"/>
  <c r="J79" i="31" s="1"/>
  <c r="H80" i="31"/>
  <c r="I80" i="31" s="1"/>
  <c r="AF80" i="30"/>
  <c r="AG80" i="30" s="1"/>
  <c r="X80" i="30" l="1"/>
  <c r="AA80" i="30" s="1"/>
  <c r="AD80" i="30" s="1"/>
  <c r="Y80" i="30"/>
  <c r="AB80" i="30" s="1"/>
  <c r="AE80" i="30" s="1"/>
  <c r="W80" i="30"/>
  <c r="AO80" i="30"/>
  <c r="F79" i="30"/>
  <c r="J80" i="30" s="1"/>
  <c r="B80" i="30"/>
  <c r="C80" i="30"/>
  <c r="D80" i="30"/>
  <c r="E79" i="30"/>
  <c r="I80" i="30" s="1"/>
  <c r="G79" i="30"/>
  <c r="K80" i="30" s="1"/>
  <c r="M80" i="30" l="1"/>
  <c r="Q80" i="30"/>
  <c r="T80" i="30"/>
  <c r="V80" i="30"/>
  <c r="O80" i="30"/>
  <c r="S80" i="30"/>
  <c r="R80" i="30"/>
  <c r="N80" i="30"/>
  <c r="U80" i="30"/>
  <c r="Z80" i="30"/>
  <c r="AC80" i="30" s="1"/>
  <c r="H79" i="30"/>
  <c r="L80" i="30" s="1"/>
  <c r="AL80" i="30" l="1"/>
  <c r="AK80" i="30"/>
  <c r="G81" i="31"/>
  <c r="H81" i="31" s="1"/>
  <c r="I81" i="31" s="1"/>
  <c r="AJ80" i="30"/>
  <c r="AI80" i="30"/>
  <c r="C80" i="31" s="1"/>
  <c r="E80" i="31" s="1"/>
  <c r="K80" i="31" s="1"/>
  <c r="P80" i="30"/>
  <c r="AN80" i="30"/>
  <c r="AM80" i="30" l="1"/>
  <c r="AH80" i="30"/>
  <c r="B80" i="31" s="1"/>
  <c r="D80" i="31" s="1"/>
  <c r="J80" i="31" s="1"/>
  <c r="AF81" i="30"/>
  <c r="AG81" i="30" s="1"/>
  <c r="Y81" i="30" l="1"/>
  <c r="AB81" i="30" s="1"/>
  <c r="X81" i="30"/>
  <c r="AA81" i="30" s="1"/>
  <c r="AD81" i="30" s="1"/>
  <c r="W81" i="30"/>
  <c r="AO81" i="30"/>
  <c r="C81" i="30"/>
  <c r="E80" i="30"/>
  <c r="I81" i="30" s="1"/>
  <c r="G80" i="30"/>
  <c r="K81" i="30" s="1"/>
  <c r="F80" i="30"/>
  <c r="J81" i="30" s="1"/>
  <c r="B81" i="30"/>
  <c r="D81" i="30"/>
  <c r="AE81" i="30" l="1"/>
  <c r="M81" i="30"/>
  <c r="Q81" i="30"/>
  <c r="T81" i="30"/>
  <c r="O81" i="30"/>
  <c r="N81" i="30"/>
  <c r="R81" i="30"/>
  <c r="U81" i="30"/>
  <c r="H80" i="30"/>
  <c r="L81" i="30" s="1"/>
  <c r="Z81" i="30"/>
  <c r="AC81" i="30" s="1"/>
  <c r="AK81" i="30" l="1"/>
  <c r="P81" i="30"/>
  <c r="V81" i="30"/>
  <c r="G82" i="31" s="1"/>
  <c r="S81" i="30"/>
  <c r="AL81" i="30" s="1"/>
  <c r="AJ81" i="30"/>
  <c r="AN81" i="30"/>
  <c r="AI81" i="30" l="1"/>
  <c r="C81" i="31" s="1"/>
  <c r="E81" i="31" s="1"/>
  <c r="K81" i="31" s="1"/>
  <c r="AF82" i="30" s="1"/>
  <c r="AG82" i="30" s="1"/>
  <c r="AO82" i="30" s="1"/>
  <c r="H82" i="31"/>
  <c r="I82" i="31" s="1"/>
  <c r="J48" i="25"/>
  <c r="AM81" i="30"/>
  <c r="AH81" i="30"/>
  <c r="B81" i="31" s="1"/>
  <c r="D81" i="31" s="1"/>
  <c r="J81" i="31" s="1"/>
  <c r="X82" i="30" l="1"/>
  <c r="AA82" i="30" s="1"/>
  <c r="AD82" i="30" s="1"/>
  <c r="W82" i="30"/>
  <c r="Y82" i="30"/>
  <c r="AB82" i="30" s="1"/>
  <c r="AE82" i="30" s="1"/>
  <c r="C82" i="30"/>
  <c r="B82" i="30"/>
  <c r="E81" i="30"/>
  <c r="I82" i="30" s="1"/>
  <c r="F81" i="30"/>
  <c r="J82" i="30" s="1"/>
  <c r="G81" i="30"/>
  <c r="K82" i="30" s="1"/>
  <c r="D82" i="30"/>
  <c r="N82" i="30" l="1"/>
  <c r="R82" i="30"/>
  <c r="U82" i="30"/>
  <c r="T82" i="30"/>
  <c r="M82" i="30"/>
  <c r="Q82" i="30"/>
  <c r="AJ82" i="30" s="1"/>
  <c r="O82" i="30"/>
  <c r="V82" i="30"/>
  <c r="S82" i="30"/>
  <c r="H81" i="30"/>
  <c r="L82" i="30" s="1"/>
  <c r="P82" i="30" s="1"/>
  <c r="AM82" i="30" s="1"/>
  <c r="Z82" i="30"/>
  <c r="AC82" i="30" s="1"/>
  <c r="AN82" i="30" s="1"/>
  <c r="AL82" i="30" l="1"/>
  <c r="AK82" i="30"/>
  <c r="AI82" i="30"/>
  <c r="C82" i="31" s="1"/>
  <c r="E82" i="31" s="1"/>
  <c r="K82" i="31" s="1"/>
  <c r="AH82" i="30"/>
  <c r="B82" i="31" s="1"/>
  <c r="D82" i="31" s="1"/>
  <c r="J82" i="31" s="1"/>
  <c r="E82" i="30" l="1"/>
  <c r="H82" i="30"/>
  <c r="G82" i="30"/>
  <c r="F82" i="30"/>
</calcChain>
</file>

<file path=xl/sharedStrings.xml><?xml version="1.0" encoding="utf-8"?>
<sst xmlns="http://schemas.openxmlformats.org/spreadsheetml/2006/main" count="211" uniqueCount="122">
  <si>
    <t>Oil</t>
  </si>
  <si>
    <t>Gas</t>
  </si>
  <si>
    <t>Coal</t>
  </si>
  <si>
    <t>Year</t>
  </si>
  <si>
    <t>Population</t>
  </si>
  <si>
    <t>EJ/yr</t>
  </si>
  <si>
    <t>Wind</t>
  </si>
  <si>
    <t>Solar</t>
  </si>
  <si>
    <t>Hydro</t>
  </si>
  <si>
    <t>TOTAL</t>
  </si>
  <si>
    <t>Value</t>
  </si>
  <si>
    <t>Climate intervention</t>
  </si>
  <si>
    <t>Per-capita activity</t>
  </si>
  <si>
    <t>Nuclear</t>
  </si>
  <si>
    <t>Industry</t>
  </si>
  <si>
    <t>Transport</t>
  </si>
  <si>
    <t>Residential</t>
  </si>
  <si>
    <t>Commercial and Public Services</t>
  </si>
  <si>
    <t>Agriculture / Forestry</t>
  </si>
  <si>
    <t>Fishing</t>
  </si>
  <si>
    <t>Other non-specified</t>
  </si>
  <si>
    <t>EJ</t>
  </si>
  <si>
    <r>
      <t xml:space="preserve">Demand sector, </t>
    </r>
    <r>
      <rPr>
        <b/>
        <i/>
        <sz val="10"/>
        <color rgb="FF000000"/>
        <rFont val="Palatino Linotype"/>
        <family val="1"/>
      </rPr>
      <t>i</t>
    </r>
  </si>
  <si>
    <r>
      <t xml:space="preserve">Initial proportion electric,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</t>
    </r>
    <r>
      <rPr>
        <b/>
        <i/>
        <sz val="10"/>
        <color rgb="FF000000"/>
        <rFont val="Palatino Linotype"/>
        <family val="1"/>
      </rPr>
      <t>t</t>
    </r>
    <r>
      <rPr>
        <b/>
        <sz val="10"/>
        <color rgb="FF000000"/>
        <rFont val="Palatino Linotype"/>
        <family val="1"/>
      </rPr>
      <t>=0)</t>
    </r>
  </si>
  <si>
    <r>
      <t xml:space="preserve">Efficiency gain from electrification, </t>
    </r>
    <r>
      <rPr>
        <b/>
        <i/>
        <sz val="10"/>
        <color rgb="FF000000"/>
        <rFont val="Palatino Linotype"/>
        <family val="1"/>
      </rPr>
      <t>Eff</t>
    </r>
    <r>
      <rPr>
        <b/>
        <i/>
        <vertAlign val="subscript"/>
        <sz val="10"/>
        <color rgb="FF000000"/>
        <rFont val="Palatino Linotype"/>
        <family val="1"/>
      </rPr>
      <t>i</t>
    </r>
  </si>
  <si>
    <r>
      <t>Share of per-capita activity, A</t>
    </r>
    <r>
      <rPr>
        <b/>
        <vertAlign val="subscript"/>
        <sz val="10"/>
        <color rgb="FF000000"/>
        <rFont val="Palatino Linotype"/>
        <family val="1"/>
      </rPr>
      <t>PC,i</t>
    </r>
    <r>
      <rPr>
        <b/>
        <sz val="10"/>
        <color rgb="FF000000"/>
        <rFont val="Palatino Linotype"/>
        <family val="1"/>
      </rPr>
      <t xml:space="preserve"> / A</t>
    </r>
    <r>
      <rPr>
        <b/>
        <vertAlign val="subscript"/>
        <sz val="10"/>
        <color rgb="FF000000"/>
        <rFont val="Palatino Linotype"/>
        <family val="1"/>
      </rPr>
      <t>PC</t>
    </r>
    <r>
      <rPr>
        <b/>
        <sz val="10"/>
        <color rgb="FF000000"/>
        <rFont val="Palatino Linotype"/>
        <family val="1"/>
      </rPr>
      <t xml:space="preserve"> (%)</t>
    </r>
  </si>
  <si>
    <r>
      <t>Table 2.</t>
    </r>
    <r>
      <rPr>
        <sz val="10"/>
        <color rgb="FF000000"/>
        <rFont val="Palatino Linotype"/>
        <family val="1"/>
      </rPr>
      <t xml:space="preserve"> Non-renewable energy parameters</t>
    </r>
  </si>
  <si>
    <r>
      <t xml:space="preserve">Table 1. </t>
    </r>
    <r>
      <rPr>
        <sz val="10"/>
        <color theme="1"/>
        <rFont val="Palatino Linotype"/>
        <family val="1"/>
      </rPr>
      <t>Sectoral demand profiles</t>
    </r>
  </si>
  <si>
    <t>Model parameter</t>
  </si>
  <si>
    <t>Units</t>
  </si>
  <si>
    <t>%</t>
  </si>
  <si>
    <r>
      <t xml:space="preserve">Initial production rate, </t>
    </r>
    <r>
      <rPr>
        <i/>
        <sz val="10"/>
        <color rgb="FF000000"/>
        <rFont val="Palatino Linotype"/>
        <family val="1"/>
      </rPr>
      <t>NR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</si>
  <si>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Remaining resource, </t>
    </r>
    <r>
      <rPr>
        <i/>
        <sz val="10"/>
        <color rgb="FF000000"/>
        <rFont val="Palatino Linotype"/>
        <family val="1"/>
      </rPr>
      <t>RR</t>
    </r>
    <r>
      <rPr>
        <i/>
        <vertAlign val="subscript"/>
        <sz val="10"/>
        <color rgb="FF000000"/>
        <rFont val="Palatino Linotype"/>
        <family val="1"/>
      </rPr>
      <t>j</t>
    </r>
  </si>
  <si>
    <t>% p.a.</t>
  </si>
  <si>
    <r>
      <t xml:space="preserve">Carbon intensity of fossil fuels, </t>
    </r>
    <r>
      <rPr>
        <i/>
        <sz val="10"/>
        <color rgb="FF000000"/>
        <rFont val="Palatino Linotype"/>
        <family val="1"/>
      </rPr>
      <t>C</t>
    </r>
    <r>
      <rPr>
        <i/>
        <vertAlign val="subscript"/>
        <sz val="10"/>
        <color rgb="FF000000"/>
        <rFont val="Palatino Linotype"/>
        <family val="1"/>
      </rPr>
      <t>j</t>
    </r>
  </si>
  <si>
    <r>
      <t>MtCO</t>
    </r>
    <r>
      <rPr>
        <vertAlign val="subscript"/>
        <sz val="10"/>
        <color rgb="FF000000"/>
        <rFont val="Palatino Linotype"/>
        <family val="1"/>
      </rPr>
      <t>2</t>
    </r>
    <r>
      <rPr>
        <sz val="10"/>
        <color rgb="FF000000"/>
        <rFont val="Palatino Linotype"/>
        <family val="1"/>
      </rPr>
      <t>/EJ</t>
    </r>
  </si>
  <si>
    <t>-</t>
  </si>
  <si>
    <r>
      <t xml:space="preserve">Initial fraction diverted to electricity, </t>
    </r>
    <r>
      <rPr>
        <i/>
        <sz val="10"/>
        <color rgb="FF000000"/>
        <rFont val="Palatino Linotype"/>
        <family val="1"/>
      </rPr>
      <t>NRF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</si>
  <si>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Efficiency of electricity conversion, </t>
    </r>
    <r>
      <rPr>
        <i/>
        <sz val="10"/>
        <color rgb="FF000000"/>
        <rFont val="Palatino Linotype"/>
        <family val="1"/>
      </rPr>
      <t>NRE</t>
    </r>
    <r>
      <rPr>
        <i/>
        <vertAlign val="subscript"/>
        <sz val="10"/>
        <color rgb="FF000000"/>
        <rFont val="Palatino Linotype"/>
        <family val="1"/>
      </rPr>
      <t>j</t>
    </r>
  </si>
  <si>
    <r>
      <t xml:space="preserve">Initial growth rate of fossil fuels &amp; nuclear, </t>
    </r>
    <r>
      <rPr>
        <i/>
        <sz val="10"/>
        <color rgb="FF000000"/>
        <rFont val="Palatino Linotype"/>
        <family val="1"/>
      </rPr>
      <t>r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</si>
  <si>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>Table 3.</t>
    </r>
    <r>
      <rPr>
        <sz val="10"/>
        <color rgb="FF000000"/>
        <rFont val="Palatino Linotype"/>
        <family val="1"/>
      </rPr>
      <t xml:space="preserve"> Renewable electricity parameters</t>
    </r>
  </si>
  <si>
    <r>
      <t xml:space="preserve">Initial renewable electricity supply,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k,net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</si>
  <si>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Saturation potential of renewable electricity,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k,max</t>
    </r>
  </si>
  <si>
    <r>
      <t xml:space="preserve">Energy return on investment of renewable electricity, </t>
    </r>
    <r>
      <rPr>
        <i/>
        <sz val="10"/>
        <color rgb="FF000000"/>
        <rFont val="Palatino Linotype"/>
        <family val="1"/>
      </rPr>
      <t>EROI</t>
    </r>
    <r>
      <rPr>
        <i/>
        <vertAlign val="subscript"/>
        <sz val="10"/>
        <color rgb="FF000000"/>
        <rFont val="Palatino Linotype"/>
        <family val="1"/>
      </rPr>
      <t>k</t>
    </r>
  </si>
  <si>
    <r>
      <t xml:space="preserve">Lifespan of renewable electricity, </t>
    </r>
    <r>
      <rPr>
        <i/>
        <sz val="10"/>
        <color rgb="FF000000"/>
        <rFont val="Palatino Linotype"/>
        <family val="1"/>
      </rPr>
      <t>T</t>
    </r>
    <r>
      <rPr>
        <i/>
        <vertAlign val="subscript"/>
        <sz val="10"/>
        <color rgb="FF000000"/>
        <rFont val="Palatino Linotype"/>
        <family val="1"/>
      </rPr>
      <t>k</t>
    </r>
  </si>
  <si>
    <t>yrs</t>
  </si>
  <si>
    <r>
      <t>Table 4.</t>
    </r>
    <r>
      <rPr>
        <sz val="10"/>
        <color rgb="FF000000"/>
        <rFont val="Palatino Linotype"/>
        <family val="1"/>
      </rPr>
      <t xml:space="preserve"> Biofuel parameters</t>
    </r>
  </si>
  <si>
    <r>
      <t xml:space="preserve">Initial biofuel supply,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RF,net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</si>
  <si>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Saturation potential of biofuel,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RF,max</t>
    </r>
  </si>
  <si>
    <r>
      <t xml:space="preserve">Energy return on investment of biofuel, </t>
    </r>
    <r>
      <rPr>
        <i/>
        <sz val="10"/>
        <color rgb="FF000000"/>
        <rFont val="Palatino Linotype"/>
        <family val="1"/>
      </rPr>
      <t>EROI</t>
    </r>
    <r>
      <rPr>
        <i/>
        <vertAlign val="subscript"/>
        <sz val="10"/>
        <color rgb="FF000000"/>
        <rFont val="Palatino Linotype"/>
        <family val="1"/>
      </rPr>
      <t>RF</t>
    </r>
  </si>
  <si>
    <r>
      <t xml:space="preserve">Fossil fuel emissions, </t>
    </r>
    <r>
      <rPr>
        <b/>
        <i/>
        <sz val="10"/>
        <color rgb="FF000000"/>
        <rFont val="Palatino Linotype"/>
        <family val="1"/>
      </rPr>
      <t>GHG</t>
    </r>
    <r>
      <rPr>
        <b/>
        <i/>
        <vertAlign val="subscript"/>
        <sz val="10"/>
        <color rgb="FF000000"/>
        <rFont val="Palatino Linotype"/>
        <family val="1"/>
      </rPr>
      <t>target</t>
    </r>
    <r>
      <rPr>
        <b/>
        <sz val="10"/>
        <color rgb="FF000000"/>
        <rFont val="Palatino Linotype"/>
        <family val="1"/>
      </rPr>
      <t xml:space="preserve"> (</t>
    </r>
    <r>
      <rPr>
        <b/>
        <i/>
        <sz val="10"/>
        <color rgb="FF000000"/>
        <rFont val="Palatino Linotype"/>
        <family val="1"/>
      </rPr>
      <t>t</t>
    </r>
    <r>
      <rPr>
        <b/>
        <sz val="10"/>
        <color rgb="FF000000"/>
        <rFont val="Palatino Linotype"/>
        <family val="1"/>
      </rPr>
      <t>)</t>
    </r>
  </si>
  <si>
    <t>Global Population (United Nations, 2024)</t>
  </si>
  <si>
    <t>Sectoral Electrification</t>
  </si>
  <si>
    <t>Transition duration (years)</t>
  </si>
  <si>
    <r>
      <t xml:space="preserve">Initial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</si>
  <si>
    <t>Duration (years)</t>
  </si>
  <si>
    <r>
      <t xml:space="preserve">Electrification,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</si>
  <si>
    <r>
      <t xml:space="preserve">Efficiency gain, </t>
    </r>
    <r>
      <rPr>
        <b/>
        <i/>
        <sz val="10"/>
        <color rgb="FF000000"/>
        <rFont val="Palatino Linotype"/>
        <family val="1"/>
      </rPr>
      <t>Eff</t>
    </r>
    <r>
      <rPr>
        <b/>
        <i/>
        <vertAlign val="subscript"/>
        <sz val="10"/>
        <color rgb="FF000000"/>
        <rFont val="Palatino Linotype"/>
        <family val="1"/>
      </rPr>
      <t>i</t>
    </r>
  </si>
  <si>
    <t>Per-Capita Demand</t>
  </si>
  <si>
    <t>Electrification</t>
  </si>
  <si>
    <t>Proportion of maximum</t>
  </si>
  <si>
    <t>1 - Low</t>
  </si>
  <si>
    <t>2 - Medium</t>
  </si>
  <si>
    <t>3 - High</t>
  </si>
  <si>
    <t>1 - Degrowth (0.5x current)</t>
  </si>
  <si>
    <t>2 - Static</t>
  </si>
  <si>
    <t>3 - Medium (1.5x current)</t>
  </si>
  <si>
    <t>4 - High (2x current)</t>
  </si>
  <si>
    <r>
      <t xml:space="preserve">Electricity Demand, </t>
    </r>
    <r>
      <rPr>
        <b/>
        <i/>
        <sz val="10"/>
        <color theme="1"/>
        <rFont val="Palatino Linotype"/>
        <family val="1"/>
      </rPr>
      <t>ED</t>
    </r>
    <r>
      <rPr>
        <b/>
        <i/>
        <vertAlign val="subscript"/>
        <sz val="10"/>
        <color theme="1"/>
        <rFont val="Palatino Linotype"/>
        <family val="1"/>
      </rPr>
      <t>PC,i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</si>
  <si>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Fuel Demand, </t>
    </r>
    <r>
      <rPr>
        <b/>
        <i/>
        <sz val="10"/>
        <color theme="1"/>
        <rFont val="Palatino Linotype"/>
        <family val="1"/>
      </rPr>
      <t>FD</t>
    </r>
    <r>
      <rPr>
        <b/>
        <i/>
        <vertAlign val="subscript"/>
        <sz val="10"/>
        <color theme="1"/>
        <rFont val="Palatino Linotype"/>
        <family val="1"/>
      </rPr>
      <t>PC,i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</si>
  <si>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Production, </t>
    </r>
    <r>
      <rPr>
        <b/>
        <i/>
        <sz val="10"/>
        <color theme="1"/>
        <rFont val="Palatino Linotype"/>
        <family val="1"/>
      </rPr>
      <t>NR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</si>
  <si>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t>Electricity (EJ)</t>
  </si>
  <si>
    <t>Fuel (EJ)</t>
  </si>
  <si>
    <r>
      <t xml:space="preserve">Final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(scenario)</t>
    </r>
  </si>
  <si>
    <r>
      <t xml:space="preserve">New build,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k,build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</si>
  <si>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Installed,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k,installed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</si>
  <si>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Net supply,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k,net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</si>
  <si>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Renewable electricity resources, </t>
    </r>
    <r>
      <rPr>
        <b/>
        <i/>
        <sz val="10"/>
        <color rgb="FF000000"/>
        <rFont val="Palatino Linotype"/>
        <family val="1"/>
      </rPr>
      <t>k</t>
    </r>
  </si>
  <si>
    <r>
      <t xml:space="preserve">Non-renewable resources, </t>
    </r>
    <r>
      <rPr>
        <b/>
        <i/>
        <sz val="10"/>
        <color rgb="FF000000"/>
        <rFont val="Palatino Linotype"/>
        <family val="1"/>
      </rPr>
      <t>j</t>
    </r>
  </si>
  <si>
    <r>
      <t xml:space="preserve">Fraction electricity, </t>
    </r>
    <r>
      <rPr>
        <b/>
        <i/>
        <sz val="10"/>
        <color theme="1"/>
        <rFont val="Palatino Linotype"/>
        <family val="1"/>
      </rPr>
      <t>NRF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(%)</t>
    </r>
  </si>
  <si>
    <t>Emissions (GtC)</t>
  </si>
  <si>
    <t>Scarcity signal</t>
  </si>
  <si>
    <t>Absolute scarcity</t>
  </si>
  <si>
    <t>Growth rates - renewable</t>
  </si>
  <si>
    <t>Climate Policy Setting (0 to 1)</t>
  </si>
  <si>
    <r>
      <t xml:space="preserve">Electricity, </t>
    </r>
    <r>
      <rPr>
        <b/>
        <i/>
        <sz val="10"/>
        <color theme="1"/>
        <rFont val="Palatino Linotype"/>
        <family val="1"/>
      </rPr>
      <t>EC</t>
    </r>
  </si>
  <si>
    <r>
      <t xml:space="preserve">Fuel, </t>
    </r>
    <r>
      <rPr>
        <b/>
        <i/>
        <sz val="10"/>
        <color theme="1"/>
        <rFont val="Palatino Linotype"/>
        <family val="1"/>
      </rPr>
      <t>FC</t>
    </r>
  </si>
  <si>
    <r>
      <t xml:space="preserve">Electricity, </t>
    </r>
    <r>
      <rPr>
        <b/>
        <i/>
        <sz val="10"/>
        <color theme="1"/>
        <rFont val="Palatino Linotype"/>
        <family val="1"/>
      </rPr>
      <t>s</t>
    </r>
    <r>
      <rPr>
        <b/>
        <i/>
        <vertAlign val="subscript"/>
        <sz val="10"/>
        <color theme="1"/>
        <rFont val="Palatino Linotype"/>
        <family val="1"/>
      </rPr>
      <t>E</t>
    </r>
  </si>
  <si>
    <r>
      <t xml:space="preserve">Fuel, </t>
    </r>
    <r>
      <rPr>
        <b/>
        <i/>
        <sz val="10"/>
        <color theme="1"/>
        <rFont val="Palatino Linotype"/>
        <family val="1"/>
      </rPr>
      <t>s</t>
    </r>
    <r>
      <rPr>
        <b/>
        <i/>
        <vertAlign val="subscript"/>
        <sz val="10"/>
        <color theme="1"/>
        <rFont val="Palatino Linotype"/>
        <family val="1"/>
      </rPr>
      <t>F</t>
    </r>
  </si>
  <si>
    <r>
      <t xml:space="preserve">Cumulative emissions - target, </t>
    </r>
    <r>
      <rPr>
        <b/>
        <i/>
        <sz val="10"/>
        <color theme="1"/>
        <rFont val="Palatino Linotype"/>
        <family val="1"/>
      </rPr>
      <t>GHG</t>
    </r>
    <r>
      <rPr>
        <b/>
        <i/>
        <vertAlign val="subscript"/>
        <sz val="10"/>
        <color theme="1"/>
        <rFont val="Palatino Linotype"/>
        <family val="1"/>
      </rPr>
      <t>target</t>
    </r>
  </si>
  <si>
    <r>
      <t xml:space="preserve">Cumulative emissions, </t>
    </r>
    <r>
      <rPr>
        <b/>
        <i/>
        <sz val="10"/>
        <color theme="1"/>
        <rFont val="Palatino Linotype"/>
        <family val="1"/>
      </rPr>
      <t>GHG</t>
    </r>
    <r>
      <rPr>
        <b/>
        <i/>
        <vertAlign val="subscript"/>
        <sz val="10"/>
        <color theme="1"/>
        <rFont val="Palatino Linotype"/>
        <family val="1"/>
      </rPr>
      <t>model</t>
    </r>
  </si>
  <si>
    <r>
      <t>CI</t>
    </r>
    <r>
      <rPr>
        <b/>
        <i/>
        <vertAlign val="subscript"/>
        <sz val="10"/>
        <color theme="1"/>
        <rFont val="Palatino Linotype"/>
        <family val="1"/>
      </rPr>
      <t>required</t>
    </r>
  </si>
  <si>
    <r>
      <t>CI</t>
    </r>
    <r>
      <rPr>
        <b/>
        <i/>
        <vertAlign val="subscript"/>
        <sz val="10"/>
        <color theme="1"/>
        <rFont val="Palatino Linotype"/>
        <family val="1"/>
      </rPr>
      <t>actual</t>
    </r>
  </si>
  <si>
    <r>
      <t xml:space="preserve">Electricity,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k</t>
    </r>
  </si>
  <si>
    <r>
      <t xml:space="preserve">Fuel,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RF</t>
    </r>
  </si>
  <si>
    <r>
      <t xml:space="preserve">New build, </t>
    </r>
    <r>
      <rPr>
        <b/>
        <i/>
        <sz val="10"/>
        <color theme="1"/>
        <rFont val="Palatino Linotype"/>
        <family val="1"/>
      </rPr>
      <t>RF</t>
    </r>
    <r>
      <rPr>
        <b/>
        <i/>
        <vertAlign val="subscript"/>
        <sz val="10"/>
        <color theme="1"/>
        <rFont val="Palatino Linotype"/>
        <family val="1"/>
      </rPr>
      <t>build</t>
    </r>
    <r>
      <rPr>
        <b/>
        <sz val="10"/>
        <color theme="1"/>
        <rFont val="Palatino Linotype"/>
        <family val="1"/>
      </rPr>
      <t xml:space="preserve"> (EJ)</t>
    </r>
  </si>
  <si>
    <r>
      <t xml:space="preserve">Net supply, </t>
    </r>
    <r>
      <rPr>
        <b/>
        <i/>
        <sz val="10"/>
        <color theme="1"/>
        <rFont val="Palatino Linotype"/>
        <family val="1"/>
      </rPr>
      <t>RF</t>
    </r>
    <r>
      <rPr>
        <b/>
        <i/>
        <vertAlign val="subscript"/>
        <sz val="10"/>
        <color theme="1"/>
        <rFont val="Palatino Linotype"/>
        <family val="1"/>
      </rPr>
      <t>net</t>
    </r>
    <r>
      <rPr>
        <b/>
        <sz val="10"/>
        <color theme="1"/>
        <rFont val="Palatino Linotype"/>
        <family val="1"/>
      </rPr>
      <t xml:space="preserve"> (EJ)</t>
    </r>
  </si>
  <si>
    <r>
      <t xml:space="preserve">Electricity, </t>
    </r>
    <r>
      <rPr>
        <b/>
        <i/>
        <sz val="10"/>
        <color theme="1"/>
        <rFont val="Palatino Linotype"/>
        <family val="1"/>
      </rPr>
      <t>ES</t>
    </r>
    <r>
      <rPr>
        <b/>
        <sz val="10"/>
        <color theme="1"/>
        <rFont val="Palatino Linotype"/>
        <family val="1"/>
      </rPr>
      <t xml:space="preserve"> (EJ)</t>
    </r>
  </si>
  <si>
    <r>
      <t xml:space="preserve">Fuel, </t>
    </r>
    <r>
      <rPr>
        <b/>
        <i/>
        <sz val="10"/>
        <color theme="1"/>
        <rFont val="Palatino Linotype"/>
        <family val="1"/>
      </rPr>
      <t>FS</t>
    </r>
    <r>
      <rPr>
        <b/>
        <sz val="10"/>
        <color theme="1"/>
        <rFont val="Palatino Linotype"/>
        <family val="1"/>
      </rPr>
      <t xml:space="preserve"> (EJ)</t>
    </r>
  </si>
  <si>
    <t>Annual (GtC / yr)</t>
  </si>
  <si>
    <t>Cumulative (GtC)</t>
  </si>
  <si>
    <r>
      <t>Table 5.</t>
    </r>
    <r>
      <rPr>
        <sz val="10"/>
        <color rgb="FF000000"/>
        <rFont val="Palatino Linotype"/>
        <family val="1"/>
      </rPr>
      <t xml:space="preserve"> Target emissions pathway (for 1.5°C). NOTE: adapted from published version to provide yearly values and converted to GtC.</t>
    </r>
  </si>
  <si>
    <r>
      <t xml:space="preserve">Growth rate,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(%)</t>
    </r>
  </si>
  <si>
    <r>
      <t xml:space="preserve">Final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(max.)</t>
    </r>
  </si>
  <si>
    <t>Max. growth rate:</t>
  </si>
  <si>
    <t>Final Consumption</t>
  </si>
  <si>
    <t>Renewable Electricity</t>
  </si>
  <si>
    <t>Renewable Fuel</t>
  </si>
  <si>
    <t>Total (Electricity + Fuel)</t>
  </si>
  <si>
    <t>1.5°C</t>
  </si>
  <si>
    <t>Comparative scenarios - cumulative emissions (GtC)</t>
  </si>
  <si>
    <t>RCP2.6 minus 1.5C</t>
  </si>
  <si>
    <t>RCP4.5 minus RCP2.6</t>
  </si>
  <si>
    <t>RCP6.0 minus RCP4.5</t>
  </si>
  <si>
    <t>Modelled scenario:</t>
  </si>
  <si>
    <t>Chosen Scenario</t>
  </si>
  <si>
    <t>Climate</t>
  </si>
  <si>
    <t>Dropdown links (for front end)</t>
  </si>
  <si>
    <r>
      <t xml:space="preserve">Per-capita activity, </t>
    </r>
    <r>
      <rPr>
        <b/>
        <i/>
        <sz val="10"/>
        <color rgb="FF000000"/>
        <rFont val="Palatino Linotype"/>
        <family val="1"/>
      </rPr>
      <t>A</t>
    </r>
    <r>
      <rPr>
        <b/>
        <i/>
        <vertAlign val="subscript"/>
        <sz val="10"/>
        <color rgb="FF000000"/>
        <rFont val="Palatino Linotype"/>
        <family val="1"/>
      </rPr>
      <t>PC</t>
    </r>
    <r>
      <rPr>
        <b/>
        <sz val="10"/>
        <color rgb="FF000000"/>
        <rFont val="Palatino Linotype"/>
        <family val="1"/>
      </rPr>
      <t xml:space="preserve"> (GJ/yr)</t>
    </r>
  </si>
  <si>
    <r>
      <t xml:space="preserve">Renewable Fuel, </t>
    </r>
    <r>
      <rPr>
        <b/>
        <i/>
        <sz val="10"/>
        <color rgb="FF000000"/>
        <rFont val="Palatino Linotype"/>
        <family val="1"/>
      </rPr>
      <t>RF</t>
    </r>
  </si>
  <si>
    <t>https://kumu.io/JamesWard/grease</t>
  </si>
  <si>
    <t>For an interactive version of this conceptual model, please go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</si>
</sst>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</numFmts>
  <fonts count="21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i/>
      <sz val="10"/>
      <color rgb="FF000000"/>
      <name val="Palatino Linotype"/>
      <family val="1"/>
    </font>
    <font>
      <b/>
      <i/>
      <vertAlign val="subscript"/>
      <sz val="10"/>
      <color rgb="FF000000"/>
      <name val="Palatino Linotype"/>
      <family val="1"/>
    </font>
    <font>
      <b/>
      <vertAlign val="subscript"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i/>
      <sz val="10"/>
      <color rgb="FF000000"/>
      <name val="Palatino Linotype"/>
      <family val="1"/>
    </font>
    <font>
      <i/>
      <vertAlign val="subscript"/>
      <sz val="10"/>
      <color rgb="FF000000"/>
      <name val="Palatino Linotype"/>
      <family val="1"/>
    </font>
    <font>
      <vertAlign val="subscript"/>
      <sz val="10"/>
      <color rgb="FF000000"/>
      <name val="Palatino Linotype"/>
      <family val="1"/>
    </font>
    <font>
      <b/>
      <i/>
      <sz val="10"/>
      <color theme="1"/>
      <name val="Palatino Linotype"/>
      <family val="1"/>
    </font>
    <font>
      <b/>
      <i/>
      <vertAlign val="subscript"/>
      <sz val="10"/>
      <color theme="1"/>
      <name val="Palatino Linotype"/>
      <family val="1"/>
    </font>
    <font>
      <u/>
      <sz val="10"/>
      <color theme="10"/>
      <name val="Calibri"/>
      <family val="2"/>
      <scheme val="minor"/>
    </font>
    <font>
      <b/>
      <u/>
      <sz val="10"/>
      <color theme="1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6" fillId="0" borderId="0" applyFill="0" applyBorder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3" fontId="0" fillId="0" borderId="0" xfId="0" applyNumberFormat="1"/>
    <xf numFmtId="9" fontId="7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7" fillId="0" borderId="1" xfId="8" applyNumberFormat="1" applyFont="1" applyBorder="1" applyAlignment="1">
      <alignment horizontal="center"/>
    </xf>
    <xf numFmtId="166" fontId="7" fillId="0" borderId="1" xfId="8" applyNumberFormat="1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9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2" fillId="0" borderId="0" xfId="0" applyFont="1" applyBorder="1"/>
    <xf numFmtId="2" fontId="8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/>
    </xf>
    <xf numFmtId="9" fontId="12" fillId="0" borderId="0" xfId="0" applyNumberFormat="1" applyFont="1"/>
    <xf numFmtId="2" fontId="8" fillId="0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Border="1"/>
    <xf numFmtId="0" fontId="1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6" fontId="7" fillId="0" borderId="9" xfId="8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0" borderId="11" xfId="8" applyNumberFormat="1" applyFont="1" applyBorder="1" applyAlignment="1">
      <alignment horizontal="center"/>
    </xf>
    <xf numFmtId="166" fontId="7" fillId="0" borderId="12" xfId="8" applyNumberFormat="1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7" fillId="0" borderId="11" xfId="8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166" fontId="12" fillId="0" borderId="8" xfId="8" applyNumberFormat="1" applyFont="1" applyBorder="1" applyAlignment="1">
      <alignment horizontal="center"/>
    </xf>
    <xf numFmtId="166" fontId="12" fillId="0" borderId="10" xfId="8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164" fontId="12" fillId="0" borderId="1" xfId="0" applyNumberFormat="1" applyFont="1" applyBorder="1"/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3" borderId="0" xfId="0" applyFill="1"/>
    <xf numFmtId="0" fontId="13" fillId="3" borderId="0" xfId="0" applyFont="1" applyFill="1"/>
    <xf numFmtId="0" fontId="20" fillId="3" borderId="0" xfId="9" applyFont="1" applyFill="1"/>
  </cellXfs>
  <cellStyles count="10">
    <cellStyle name="Comma" xfId="8" builtinId="3"/>
    <cellStyle name="Hyperlink" xfId="9" builtinId="8"/>
    <cellStyle name="Normal" xfId="0" builtinId="0"/>
    <cellStyle name="Normal 10" xfId="5" xr:uid="{9ABCE4FF-E86E-4D44-8369-B7FC0AFA15B1}"/>
    <cellStyle name="Normal 13" xfId="6" xr:uid="{07BF209A-F3D9-4028-8E05-DBB3B2BB71A4}"/>
    <cellStyle name="Normal 2" xfId="1" xr:uid="{D7C89502-988E-4456-80B0-5B6BEBC8B1B4}"/>
    <cellStyle name="Normal 2 2 3" xfId="7" xr:uid="{6C837CAE-D012-4199-B124-9944E05A17F3}"/>
    <cellStyle name="Normal 3" xfId="2" xr:uid="{6AD6FCE4-829D-4A36-BD3A-7F6B9D59AD89}"/>
    <cellStyle name="Normal 4" xfId="4" xr:uid="{27000182-CBB9-47A4-8985-6AE7301F17B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52751658469879"/>
          <c:y val="0.33220440733498918"/>
          <c:w val="0.73642178222867771"/>
          <c:h val="0.4770275326322464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Scenarios'!$A$3:$A$80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xVal>
          <c:yVal>
            <c:numRef>
              <c:f>'Growth Scenarios'!$J$3:$J$80</c:f>
              <c:numCache>
                <c:formatCode>_-* #,##0_-;\-* #,##0_-;_-* "-"??_-;_-@_-</c:formatCode>
                <c:ptCount val="78"/>
                <c:pt idx="0">
                  <c:v>8056505564</c:v>
                </c:pt>
                <c:pt idx="1">
                  <c:v>8126964296</c:v>
                </c:pt>
                <c:pt idx="2">
                  <c:v>8196980849</c:v>
                </c:pt>
                <c:pt idx="3">
                  <c:v>8266245291</c:v>
                </c:pt>
                <c:pt idx="4">
                  <c:v>8335111500</c:v>
                </c:pt>
                <c:pt idx="5">
                  <c:v>8403077188.999999</c:v>
                </c:pt>
                <c:pt idx="6">
                  <c:v>8470160584.000001</c:v>
                </c:pt>
                <c:pt idx="7">
                  <c:v>8536410062.000001</c:v>
                </c:pt>
                <c:pt idx="8">
                  <c:v>8601839760</c:v>
                </c:pt>
                <c:pt idx="9">
                  <c:v>8666398907</c:v>
                </c:pt>
                <c:pt idx="10">
                  <c:v>8730060717</c:v>
                </c:pt>
                <c:pt idx="11">
                  <c:v>8792837445</c:v>
                </c:pt>
                <c:pt idx="12">
                  <c:v>8854732372</c:v>
                </c:pt>
                <c:pt idx="13">
                  <c:v>8915687990</c:v>
                </c:pt>
                <c:pt idx="14">
                  <c:v>8975685239</c:v>
                </c:pt>
                <c:pt idx="15">
                  <c:v>9034620009</c:v>
                </c:pt>
                <c:pt idx="16">
                  <c:v>9092525843</c:v>
                </c:pt>
                <c:pt idx="17">
                  <c:v>9149330917</c:v>
                </c:pt>
                <c:pt idx="18">
                  <c:v>9205049488</c:v>
                </c:pt>
                <c:pt idx="19">
                  <c:v>9259513662</c:v>
                </c:pt>
                <c:pt idx="20">
                  <c:v>9312707079</c:v>
                </c:pt>
                <c:pt idx="21">
                  <c:v>9364615549</c:v>
                </c:pt>
                <c:pt idx="22">
                  <c:v>9415131838</c:v>
                </c:pt>
                <c:pt idx="23">
                  <c:v>9464147498</c:v>
                </c:pt>
                <c:pt idx="24">
                  <c:v>9511631710</c:v>
                </c:pt>
                <c:pt idx="25">
                  <c:v>9557460245</c:v>
                </c:pt>
                <c:pt idx="26">
                  <c:v>9601611841</c:v>
                </c:pt>
                <c:pt idx="27">
                  <c:v>9644036216</c:v>
                </c:pt>
                <c:pt idx="28">
                  <c:v>9684720958</c:v>
                </c:pt>
                <c:pt idx="29">
                  <c:v>9723663649</c:v>
                </c:pt>
                <c:pt idx="30">
                  <c:v>9760865381</c:v>
                </c:pt>
                <c:pt idx="31">
                  <c:v>9796363847</c:v>
                </c:pt>
                <c:pt idx="32">
                  <c:v>9830139471</c:v>
                </c:pt>
                <c:pt idx="33">
                  <c:v>9862335670</c:v>
                </c:pt>
                <c:pt idx="34">
                  <c:v>9893025114</c:v>
                </c:pt>
                <c:pt idx="35">
                  <c:v>9922249272</c:v>
                </c:pt>
                <c:pt idx="36">
                  <c:v>9950079486</c:v>
                </c:pt>
                <c:pt idx="37">
                  <c:v>9976594679</c:v>
                </c:pt>
                <c:pt idx="38">
                  <c:v>10001869905</c:v>
                </c:pt>
                <c:pt idx="39">
                  <c:v>10025962521</c:v>
                </c:pt>
                <c:pt idx="40">
                  <c:v>10048970678</c:v>
                </c:pt>
                <c:pt idx="41">
                  <c:v>10070929392</c:v>
                </c:pt>
                <c:pt idx="42">
                  <c:v>10091876081</c:v>
                </c:pt>
                <c:pt idx="43">
                  <c:v>10111823041</c:v>
                </c:pt>
                <c:pt idx="44">
                  <c:v>10130811174</c:v>
                </c:pt>
                <c:pt idx="45">
                  <c:v>10148805547</c:v>
                </c:pt>
                <c:pt idx="46">
                  <c:v>10165798334</c:v>
                </c:pt>
                <c:pt idx="47">
                  <c:v>10181765935</c:v>
                </c:pt>
                <c:pt idx="48">
                  <c:v>10196717983</c:v>
                </c:pt>
                <c:pt idx="49">
                  <c:v>10210645154</c:v>
                </c:pt>
                <c:pt idx="50">
                  <c:v>10223465184</c:v>
                </c:pt>
                <c:pt idx="51">
                  <c:v>10235190464</c:v>
                </c:pt>
                <c:pt idx="52">
                  <c:v>10245779647</c:v>
                </c:pt>
                <c:pt idx="53">
                  <c:v>10255213216</c:v>
                </c:pt>
                <c:pt idx="54">
                  <c:v>10263489648</c:v>
                </c:pt>
                <c:pt idx="55">
                  <c:v>10270600397</c:v>
                </c:pt>
                <c:pt idx="56">
                  <c:v>10276512248</c:v>
                </c:pt>
                <c:pt idx="57">
                  <c:v>10281262698</c:v>
                </c:pt>
                <c:pt idx="58">
                  <c:v>10284893359</c:v>
                </c:pt>
                <c:pt idx="59">
                  <c:v>10287430111</c:v>
                </c:pt>
                <c:pt idx="60">
                  <c:v>10288979989</c:v>
                </c:pt>
                <c:pt idx="61">
                  <c:v>10289514658</c:v>
                </c:pt>
                <c:pt idx="62">
                  <c:v>10289115830</c:v>
                </c:pt>
                <c:pt idx="63">
                  <c:v>10287797368</c:v>
                </c:pt>
                <c:pt idx="64">
                  <c:v>10285619351</c:v>
                </c:pt>
                <c:pt idx="65">
                  <c:v>10282603396</c:v>
                </c:pt>
                <c:pt idx="66">
                  <c:v>10278805749</c:v>
                </c:pt>
                <c:pt idx="67">
                  <c:v>10274230810</c:v>
                </c:pt>
                <c:pt idx="68">
                  <c:v>10268899331</c:v>
                </c:pt>
                <c:pt idx="69">
                  <c:v>10262824096</c:v>
                </c:pt>
                <c:pt idx="70">
                  <c:v>10255992655</c:v>
                </c:pt>
                <c:pt idx="71">
                  <c:v>10248376862</c:v>
                </c:pt>
                <c:pt idx="72">
                  <c:v>10239994812</c:v>
                </c:pt>
                <c:pt idx="73">
                  <c:v>10230812389</c:v>
                </c:pt>
                <c:pt idx="74">
                  <c:v>10220889358</c:v>
                </c:pt>
                <c:pt idx="75">
                  <c:v>10210209263</c:v>
                </c:pt>
                <c:pt idx="76">
                  <c:v>10198770461</c:v>
                </c:pt>
                <c:pt idx="77">
                  <c:v>10186607670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411-B750-45455437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6367"/>
        <c:axId val="640248287"/>
      </c:scatterChart>
      <c:valAx>
        <c:axId val="640246367"/>
        <c:scaling>
          <c:orientation val="minMax"/>
          <c:max val="2100"/>
          <c:min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8287"/>
        <c:crosses val="autoZero"/>
        <c:crossBetween val="midCat"/>
      </c:valAx>
      <c:valAx>
        <c:axId val="640248287"/>
        <c:scaling>
          <c:orientation val="minMax"/>
          <c:max val="200000000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Per-capita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4681457722942"/>
          <c:y val="0.35062070692927055"/>
          <c:w val="0.7166844251496608"/>
          <c:h val="0.4557986568309072"/>
        </c:manualLayout>
      </c:layout>
      <c:scatterChart>
        <c:scatterStyle val="lineMarker"/>
        <c:varyColors val="0"/>
        <c:ser>
          <c:idx val="1"/>
          <c:order val="0"/>
          <c:tx>
            <c:v>Per-capita energy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'Growth Scenarios'!$A$3:$A$80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xVal>
          <c:yVal>
            <c:numRef>
              <c:f>'Growth Scenarios'!$K$3:$K$80</c:f>
              <c:numCache>
                <c:formatCode>0.00</c:formatCode>
                <c:ptCount val="78"/>
                <c:pt idx="0">
                  <c:v>46.517501704988177</c:v>
                </c:pt>
                <c:pt idx="1">
                  <c:v>46.429180374932741</c:v>
                </c:pt>
                <c:pt idx="2">
                  <c:v>46.332543258450819</c:v>
                </c:pt>
                <c:pt idx="3">
                  <c:v>46.227071347485605</c:v>
                </c:pt>
                <c:pt idx="4">
                  <c:v>46.112244310959667</c:v>
                </c:pt>
                <c:pt idx="5">
                  <c:v>45.987544444493231</c:v>
                </c:pt>
                <c:pt idx="6">
                  <c:v>45.852460942792078</c:v>
                </c:pt>
                <c:pt idx="7">
                  <c:v>45.70649446729265</c:v>
                </c:pt>
                <c:pt idx="8">
                  <c:v>45.549161974695423</c:v>
                </c:pt>
                <c:pt idx="9">
                  <c:v>45.380001765097212</c:v>
                </c:pt>
                <c:pt idx="10">
                  <c:v>45.198578701696213</c:v>
                </c:pt>
                <c:pt idx="11">
                  <c:v>45.004489547644077</c:v>
                </c:pt>
                <c:pt idx="12">
                  <c:v>44.797368359716096</c:v>
                </c:pt>
                <c:pt idx="13">
                  <c:v>44.576891873222401</c:v>
                </c:pt>
                <c:pt idx="14">
                  <c:v>44.342784808146632</c:v>
                </c:pt>
                <c:pt idx="15">
                  <c:v>44.09482502302032</c:v>
                </c:pt>
                <c:pt idx="16">
                  <c:v>43.832848440658843</c:v>
                </c:pt>
                <c:pt idx="17">
                  <c:v>43.556753668716183</c:v>
                </c:pt>
                <c:pt idx="18">
                  <c:v>43.266506238160851</c:v>
                </c:pt>
                <c:pt idx="19">
                  <c:v>42.962142384308358</c:v>
                </c:pt>
                <c:pt idx="20">
                  <c:v>42.643772298013523</c:v>
                </c:pt>
                <c:pt idx="21">
                  <c:v>42.311582779045104</c:v>
                </c:pt>
                <c:pt idx="22">
                  <c:v>41.965839229520249</c:v>
                </c:pt>
                <c:pt idx="23">
                  <c:v>41.606886932516204</c:v>
                </c:pt>
                <c:pt idx="24">
                  <c:v>41.235151569518884</c:v>
                </c:pt>
                <c:pt idx="25">
                  <c:v>40.851138940094287</c:v>
                </c:pt>
                <c:pt idx="26">
                  <c:v>40.455433857929556</c:v>
                </c:pt>
                <c:pt idx="27">
                  <c:v>40.048698209007306</c:v>
                </c:pt>
                <c:pt idx="28">
                  <c:v>39.63166816994444</c:v>
                </c:pt>
                <c:pt idx="29">
                  <c:v>39.205150597217397</c:v>
                </c:pt>
                <c:pt idx="30">
                  <c:v>38.770018610866799</c:v>
                </c:pt>
                <c:pt idx="31">
                  <c:v>38.327206409070293</c:v>
                </c:pt>
                <c:pt idx="32">
                  <c:v>37.877703362432257</c:v>
                </c:pt>
                <c:pt idx="33">
                  <c:v>37.422547448706226</c:v>
                </c:pt>
                <c:pt idx="34">
                  <c:v>36.962818099686956</c:v>
                </c:pt>
                <c:pt idx="35">
                  <c:v>36.499628541949917</c:v>
                </c:pt>
                <c:pt idx="36">
                  <c:v>36.0341177217596</c:v>
                </c:pt>
                <c:pt idx="37">
                  <c:v>35.567441911624556</c:v>
                </c:pt>
                <c:pt idx="38">
                  <c:v>35.100766101489519</c:v>
                </c:pt>
                <c:pt idx="39">
                  <c:v>34.635255281299202</c:v>
                </c:pt>
                <c:pt idx="40">
                  <c:v>34.172065723562163</c:v>
                </c:pt>
                <c:pt idx="41">
                  <c:v>33.712336374542886</c:v>
                </c:pt>
                <c:pt idx="42">
                  <c:v>33.257180460816862</c:v>
                </c:pt>
                <c:pt idx="43">
                  <c:v>32.807677414178826</c:v>
                </c:pt>
                <c:pt idx="44">
                  <c:v>32.364865212382313</c:v>
                </c:pt>
                <c:pt idx="45">
                  <c:v>31.929733226031729</c:v>
                </c:pt>
                <c:pt idx="46">
                  <c:v>31.503215653304675</c:v>
                </c:pt>
                <c:pt idx="47">
                  <c:v>31.08618561424181</c:v>
                </c:pt>
                <c:pt idx="48">
                  <c:v>30.67944996531957</c:v>
                </c:pt>
                <c:pt idx="49">
                  <c:v>30.283744883154831</c:v>
                </c:pt>
                <c:pt idx="50">
                  <c:v>29.899732253730232</c:v>
                </c:pt>
                <c:pt idx="51">
                  <c:v>29.527996890732911</c:v>
                </c:pt>
                <c:pt idx="52">
                  <c:v>29.169044593728866</c:v>
                </c:pt>
                <c:pt idx="53">
                  <c:v>28.823301044204019</c:v>
                </c:pt>
                <c:pt idx="54">
                  <c:v>28.491111525235596</c:v>
                </c:pt>
                <c:pt idx="55">
                  <c:v>28.172741438940758</c:v>
                </c:pt>
                <c:pt idx="56">
                  <c:v>27.868377585088272</c:v>
                </c:pt>
                <c:pt idx="57">
                  <c:v>27.578130154532939</c:v>
                </c:pt>
                <c:pt idx="58">
                  <c:v>27.302035382590276</c:v>
                </c:pt>
                <c:pt idx="59">
                  <c:v>27.040058800228799</c:v>
                </c:pt>
                <c:pt idx="60">
                  <c:v>26.792099015102487</c:v>
                </c:pt>
                <c:pt idx="61">
                  <c:v>26.557991950026715</c:v>
                </c:pt>
                <c:pt idx="62">
                  <c:v>26.33751546353302</c:v>
                </c:pt>
                <c:pt idx="63">
                  <c:v>26.130394275605035</c:v>
                </c:pt>
                <c:pt idx="64">
                  <c:v>25.936305121552905</c:v>
                </c:pt>
                <c:pt idx="65">
                  <c:v>25.754882058151907</c:v>
                </c:pt>
                <c:pt idx="66">
                  <c:v>25.585721848553696</c:v>
                </c:pt>
                <c:pt idx="67">
                  <c:v>25.428389355956465</c:v>
                </c:pt>
                <c:pt idx="68">
                  <c:v>25.282422880457041</c:v>
                </c:pt>
                <c:pt idx="69">
                  <c:v>25.147339378755888</c:v>
                </c:pt>
                <c:pt idx="70">
                  <c:v>25.022639512289455</c:v>
                </c:pt>
                <c:pt idx="71">
                  <c:v>24.907812475763514</c:v>
                </c:pt>
                <c:pt idx="72">
                  <c:v>24.802340564798303</c:v>
                </c:pt>
                <c:pt idx="73">
                  <c:v>24.70570344831637</c:v>
                </c:pt>
                <c:pt idx="74">
                  <c:v>24.617382118260942</c:v>
                </c:pt>
                <c:pt idx="75">
                  <c:v>24.536862496089821</c:v>
                </c:pt>
                <c:pt idx="76">
                  <c:v>24.463638682125502</c:v>
                </c:pt>
                <c:pt idx="77">
                  <c:v>24.397215840146675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5-4685-9992-3FCC09F7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6367"/>
        <c:axId val="640248287"/>
      </c:scatterChart>
      <c:valAx>
        <c:axId val="640246367"/>
        <c:scaling>
          <c:orientation val="minMax"/>
          <c:max val="2100"/>
          <c:min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8287"/>
        <c:crosses val="autoZero"/>
        <c:crossBetween val="midCat"/>
        <c:majorUnit val="30"/>
      </c:valAx>
      <c:valAx>
        <c:axId val="640248287"/>
        <c:scaling>
          <c:orientation val="minMax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Electrification scenario - total demand (EJ/yr)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80318434240036"/>
          <c:y val="0.17171296296296296"/>
          <c:w val="0.58132719038448943"/>
          <c:h val="0.47185630190075356"/>
        </c:manualLayout>
      </c:layout>
      <c:areaChart>
        <c:grouping val="stacked"/>
        <c:varyColors val="0"/>
        <c:ser>
          <c:idx val="2"/>
          <c:order val="2"/>
          <c:tx>
            <c:v>Fuel Supply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'Model - Supply'!$AI$5:$AI$82</c:f>
              <c:numCache>
                <c:formatCode>0.00</c:formatCode>
                <c:ptCount val="78"/>
                <c:pt idx="0">
                  <c:v>272.48999999999995</c:v>
                </c:pt>
                <c:pt idx="1">
                  <c:v>310.65032937401674</c:v>
                </c:pt>
                <c:pt idx="2">
                  <c:v>248.39840678955437</c:v>
                </c:pt>
                <c:pt idx="3">
                  <c:v>263.36159265811324</c:v>
                </c:pt>
                <c:pt idx="4">
                  <c:v>242.37575384976245</c:v>
                </c:pt>
                <c:pt idx="5">
                  <c:v>246.14453895060399</c:v>
                </c:pt>
                <c:pt idx="6">
                  <c:v>224.67443888595955</c:v>
                </c:pt>
                <c:pt idx="7">
                  <c:v>225.8139033503011</c:v>
                </c:pt>
                <c:pt idx="8">
                  <c:v>211.25179938160579</c:v>
                </c:pt>
                <c:pt idx="9">
                  <c:v>201.41528496668701</c:v>
                </c:pt>
                <c:pt idx="10">
                  <c:v>190.46047666625171</c:v>
                </c:pt>
                <c:pt idx="11">
                  <c:v>179.92274106143014</c:v>
                </c:pt>
                <c:pt idx="12">
                  <c:v>169.30692229016353</c:v>
                </c:pt>
                <c:pt idx="13">
                  <c:v>161.79300552337202</c:v>
                </c:pt>
                <c:pt idx="14">
                  <c:v>154.23385697317079</c:v>
                </c:pt>
                <c:pt idx="15">
                  <c:v>144.61494508388796</c:v>
                </c:pt>
                <c:pt idx="16">
                  <c:v>134.70050422502462</c:v>
                </c:pt>
                <c:pt idx="17">
                  <c:v>124.9262677899568</c:v>
                </c:pt>
                <c:pt idx="18">
                  <c:v>115.40219875185011</c:v>
                </c:pt>
                <c:pt idx="19">
                  <c:v>106.16097222824874</c:v>
                </c:pt>
                <c:pt idx="20">
                  <c:v>97.210481456915119</c:v>
                </c:pt>
                <c:pt idx="21">
                  <c:v>88.54638078996993</c:v>
                </c:pt>
                <c:pt idx="22">
                  <c:v>80.150616567760792</c:v>
                </c:pt>
                <c:pt idx="23">
                  <c:v>71.983611886977158</c:v>
                </c:pt>
                <c:pt idx="24">
                  <c:v>63.966742893652722</c:v>
                </c:pt>
                <c:pt idx="25">
                  <c:v>55.939867569879063</c:v>
                </c:pt>
                <c:pt idx="26">
                  <c:v>47.548898505307292</c:v>
                </c:pt>
                <c:pt idx="27">
                  <c:v>38.416192113610691</c:v>
                </c:pt>
                <c:pt idx="28">
                  <c:v>37.351346370107777</c:v>
                </c:pt>
                <c:pt idx="29">
                  <c:v>36.573779146505778</c:v>
                </c:pt>
                <c:pt idx="30">
                  <c:v>35.977720900103705</c:v>
                </c:pt>
                <c:pt idx="31">
                  <c:v>35.495428808503384</c:v>
                </c:pt>
                <c:pt idx="32">
                  <c:v>35.08308667877251</c:v>
                </c:pt>
                <c:pt idx="33">
                  <c:v>34.712141220953356</c:v>
                </c:pt>
                <c:pt idx="34">
                  <c:v>34.364182931298934</c:v>
                </c:pt>
                <c:pt idx="35">
                  <c:v>34.027412963331777</c:v>
                </c:pt>
                <c:pt idx="36">
                  <c:v>33.6944009457468</c:v>
                </c:pt>
                <c:pt idx="37">
                  <c:v>33.360680615139707</c:v>
                </c:pt>
                <c:pt idx="38">
                  <c:v>33.023787085996396</c:v>
                </c:pt>
                <c:pt idx="39">
                  <c:v>32.682596497043498</c:v>
                </c:pt>
                <c:pt idx="40">
                  <c:v>32.336863963050199</c:v>
                </c:pt>
                <c:pt idx="41">
                  <c:v>31.98697630718204</c:v>
                </c:pt>
                <c:pt idx="42">
                  <c:v>31.633663221614867</c:v>
                </c:pt>
                <c:pt idx="43">
                  <c:v>31.277877026026882</c:v>
                </c:pt>
                <c:pt idx="44">
                  <c:v>30.920678174352954</c:v>
                </c:pt>
                <c:pt idx="45">
                  <c:v>30.563215913656371</c:v>
                </c:pt>
                <c:pt idx="46">
                  <c:v>30.206597159803334</c:v>
                </c:pt>
                <c:pt idx="47">
                  <c:v>29.851912889302646</c:v>
                </c:pt>
                <c:pt idx="48">
                  <c:v>29.500205237241712</c:v>
                </c:pt>
                <c:pt idx="49">
                  <c:v>29.152496352865523</c:v>
                </c:pt>
                <c:pt idx="50">
                  <c:v>28.809748245000193</c:v>
                </c:pt>
                <c:pt idx="51">
                  <c:v>28.472780421574274</c:v>
                </c:pt>
                <c:pt idx="52">
                  <c:v>28.142392424016585</c:v>
                </c:pt>
                <c:pt idx="53">
                  <c:v>27.819284240307763</c:v>
                </c:pt>
                <c:pt idx="54">
                  <c:v>27.504084414733793</c:v>
                </c:pt>
                <c:pt idx="55">
                  <c:v>27.197362479827234</c:v>
                </c:pt>
                <c:pt idx="56">
                  <c:v>26.899611008066397</c:v>
                </c:pt>
                <c:pt idx="57">
                  <c:v>26.611217713981823</c:v>
                </c:pt>
                <c:pt idx="58">
                  <c:v>26.332543135594076</c:v>
                </c:pt>
                <c:pt idx="59">
                  <c:v>26.063902245931338</c:v>
                </c:pt>
                <c:pt idx="60">
                  <c:v>25.805535089816317</c:v>
                </c:pt>
                <c:pt idx="61">
                  <c:v>25.557683412877072</c:v>
                </c:pt>
                <c:pt idx="62">
                  <c:v>25.320431520825835</c:v>
                </c:pt>
                <c:pt idx="63">
                  <c:v>25.093846425181702</c:v>
                </c:pt>
                <c:pt idx="64">
                  <c:v>24.877896132383253</c:v>
                </c:pt>
                <c:pt idx="65">
                  <c:v>24.672510064768684</c:v>
                </c:pt>
                <c:pt idx="66">
                  <c:v>24.477538910620108</c:v>
                </c:pt>
                <c:pt idx="67">
                  <c:v>24.292800692310113</c:v>
                </c:pt>
                <c:pt idx="68">
                  <c:v>24.118031495286367</c:v>
                </c:pt>
                <c:pt idx="69">
                  <c:v>23.952920981644485</c:v>
                </c:pt>
                <c:pt idx="70">
                  <c:v>23.797113934232613</c:v>
                </c:pt>
                <c:pt idx="71">
                  <c:v>23.650198000663352</c:v>
                </c:pt>
                <c:pt idx="72">
                  <c:v>23.511707278893365</c:v>
                </c:pt>
                <c:pt idx="73">
                  <c:v>23.381181787751029</c:v>
                </c:pt>
                <c:pt idx="74">
                  <c:v>23.258117124485356</c:v>
                </c:pt>
                <c:pt idx="75">
                  <c:v>23.142065476958368</c:v>
                </c:pt>
                <c:pt idx="76">
                  <c:v>23.032547083734354</c:v>
                </c:pt>
                <c:pt idx="77">
                  <c:v>22.929078833980682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8-46AA-B715-A888BBDD49DC}"/>
            </c:ext>
          </c:extLst>
        </c:ser>
        <c:ser>
          <c:idx val="3"/>
          <c:order val="3"/>
          <c:tx>
            <c:v>Electricity supply</c:v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'Model - Supply'!$AH$5:$AH$82</c:f>
              <c:numCache>
                <c:formatCode>0.00</c:formatCode>
                <c:ptCount val="78"/>
                <c:pt idx="0">
                  <c:v>93.868099999999998</c:v>
                </c:pt>
                <c:pt idx="1">
                  <c:v>81.232439168075246</c:v>
                </c:pt>
                <c:pt idx="2">
                  <c:v>94.299343284280212</c:v>
                </c:pt>
                <c:pt idx="3">
                  <c:v>104.42125535334466</c:v>
                </c:pt>
                <c:pt idx="4">
                  <c:v>115.78109154782859</c:v>
                </c:pt>
                <c:pt idx="5">
                  <c:v>121.63036102599273</c:v>
                </c:pt>
                <c:pt idx="6">
                  <c:v>131.07594382466135</c:v>
                </c:pt>
                <c:pt idx="7">
                  <c:v>136.8241667807419</c:v>
                </c:pt>
                <c:pt idx="8">
                  <c:v>144.34745922462983</c:v>
                </c:pt>
                <c:pt idx="9">
                  <c:v>151.43911379306579</c:v>
                </c:pt>
                <c:pt idx="10">
                  <c:v>158.02545122149704</c:v>
                </c:pt>
                <c:pt idx="11">
                  <c:v>164.09040902742436</c:v>
                </c:pt>
                <c:pt idx="12">
                  <c:v>169.80187452840985</c:v>
                </c:pt>
                <c:pt idx="13">
                  <c:v>174.47273595683396</c:v>
                </c:pt>
                <c:pt idx="14">
                  <c:v>178.7324884792281</c:v>
                </c:pt>
                <c:pt idx="15">
                  <c:v>183.3197228961709</c:v>
                </c:pt>
                <c:pt idx="16">
                  <c:v>187.9154491426564</c:v>
                </c:pt>
                <c:pt idx="17">
                  <c:v>192.22268832334197</c:v>
                </c:pt>
                <c:pt idx="18">
                  <c:v>196.16110497848192</c:v>
                </c:pt>
                <c:pt idx="19">
                  <c:v>199.72392657846058</c:v>
                </c:pt>
                <c:pt idx="20">
                  <c:v>202.90296050377054</c:v>
                </c:pt>
                <c:pt idx="21">
                  <c:v>205.69250540193963</c:v>
                </c:pt>
                <c:pt idx="22">
                  <c:v>208.11527862287176</c:v>
                </c:pt>
                <c:pt idx="23">
                  <c:v>210.24159010055496</c:v>
                </c:pt>
                <c:pt idx="24">
                  <c:v>212.19909540014851</c:v>
                </c:pt>
                <c:pt idx="25">
                  <c:v>214.17563464642438</c:v>
                </c:pt>
                <c:pt idx="26">
                  <c:v>216.42391777415486</c:v>
                </c:pt>
                <c:pt idx="27">
                  <c:v>219.2014357805275</c:v>
                </c:pt>
                <c:pt idx="28">
                  <c:v>221.45374986302153</c:v>
                </c:pt>
                <c:pt idx="29">
                  <c:v>223.03993742805321</c:v>
                </c:pt>
                <c:pt idx="30">
                  <c:v>224.6755170075902</c:v>
                </c:pt>
                <c:pt idx="31">
                  <c:v>226.73033481512792</c:v>
                </c:pt>
                <c:pt idx="32">
                  <c:v>229.15235453917674</c:v>
                </c:pt>
                <c:pt idx="33">
                  <c:v>231.61040503952145</c:v>
                </c:pt>
                <c:pt idx="34">
                  <c:v>233.66407599530638</c:v>
                </c:pt>
                <c:pt idx="35">
                  <c:v>234.91502191675653</c:v>
                </c:pt>
                <c:pt idx="36">
                  <c:v>235.12635597593044</c:v>
                </c:pt>
                <c:pt idx="37">
                  <c:v>234.29435786686426</c:v>
                </c:pt>
                <c:pt idx="38">
                  <c:v>232.64458705487539</c:v>
                </c:pt>
                <c:pt idx="39">
                  <c:v>230.53786171410061</c:v>
                </c:pt>
                <c:pt idx="40">
                  <c:v>228.31825204030656</c:v>
                </c:pt>
                <c:pt idx="41">
                  <c:v>226.1790082204887</c:v>
                </c:pt>
                <c:pt idx="42">
                  <c:v>224.12121870313749</c:v>
                </c:pt>
                <c:pt idx="43">
                  <c:v>222.01718776102913</c:v>
                </c:pt>
                <c:pt idx="44">
                  <c:v>219.73046062063065</c:v>
                </c:pt>
                <c:pt idx="45">
                  <c:v>217.21664933594022</c:v>
                </c:pt>
                <c:pt idx="46">
                  <c:v>214.55333664531395</c:v>
                </c:pt>
                <c:pt idx="47">
                  <c:v>211.88895647712789</c:v>
                </c:pt>
                <c:pt idx="48">
                  <c:v>209.35306019418363</c:v>
                </c:pt>
                <c:pt idx="49">
                  <c:v>206.98697519919173</c:v>
                </c:pt>
                <c:pt idx="50">
                  <c:v>204.73739075245047</c:v>
                </c:pt>
                <c:pt idx="51">
                  <c:v>202.50825849531108</c:v>
                </c:pt>
                <c:pt idx="52">
                  <c:v>200.22938185174576</c:v>
                </c:pt>
                <c:pt idx="53">
                  <c:v>197.9012700207669</c:v>
                </c:pt>
                <c:pt idx="54">
                  <c:v>195.58907592558273</c:v>
                </c:pt>
                <c:pt idx="55">
                  <c:v>193.37674433942829</c:v>
                </c:pt>
                <c:pt idx="56">
                  <c:v>191.31467450379597</c:v>
                </c:pt>
                <c:pt idx="57">
                  <c:v>189.39451339339104</c:v>
                </c:pt>
                <c:pt idx="58">
                  <c:v>187.56301201253268</c:v>
                </c:pt>
                <c:pt idx="59">
                  <c:v>185.76284906075915</c:v>
                </c:pt>
                <c:pt idx="60">
                  <c:v>183.97031320917853</c:v>
                </c:pt>
                <c:pt idx="61">
                  <c:v>182.20619413108523</c:v>
                </c:pt>
                <c:pt idx="62">
                  <c:v>180.51895775707243</c:v>
                </c:pt>
                <c:pt idx="63">
                  <c:v>178.94976510738667</c:v>
                </c:pt>
                <c:pt idx="64">
                  <c:v>177.50825024879106</c:v>
                </c:pt>
                <c:pt idx="65">
                  <c:v>176.16984807196951</c:v>
                </c:pt>
                <c:pt idx="66">
                  <c:v>174.89551696138065</c:v>
                </c:pt>
                <c:pt idx="67">
                  <c:v>173.65682384360852</c:v>
                </c:pt>
                <c:pt idx="68">
                  <c:v>172.45148482123327</c:v>
                </c:pt>
                <c:pt idx="69">
                  <c:v>171.29951912696271</c:v>
                </c:pt>
                <c:pt idx="70">
                  <c:v>170.22615399150573</c:v>
                </c:pt>
                <c:pt idx="71">
                  <c:v>169.24369310914574</c:v>
                </c:pt>
                <c:pt idx="72">
                  <c:v>168.34360297087386</c:v>
                </c:pt>
                <c:pt idx="73">
                  <c:v>167.50223750079138</c:v>
                </c:pt>
                <c:pt idx="74">
                  <c:v>166.69590892180247</c:v>
                </c:pt>
                <c:pt idx="75">
                  <c:v>165.91266533343088</c:v>
                </c:pt>
                <c:pt idx="76">
                  <c:v>165.15670453836532</c:v>
                </c:pt>
                <c:pt idx="77">
                  <c:v>164.44106691203353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8-46AA-B715-A888BBD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1791"/>
        <c:axId val="578716031"/>
      </c:areaChart>
      <c:lineChart>
        <c:grouping val="standard"/>
        <c:varyColors val="0"/>
        <c:ser>
          <c:idx val="1"/>
          <c:order val="0"/>
          <c:tx>
            <c:v>Fuel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- Demand'!$A$5:$A$82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Demand'!$Q$5:$Q$82</c:f>
              <c:numCache>
                <c:formatCode>0.00</c:formatCode>
                <c:ptCount val="78"/>
                <c:pt idx="0">
                  <c:v>289.11891573491692</c:v>
                </c:pt>
                <c:pt idx="1">
                  <c:v>281.22204979974924</c:v>
                </c:pt>
                <c:pt idx="2">
                  <c:v>273.11854072486852</c:v>
                </c:pt>
                <c:pt idx="3">
                  <c:v>264.802300364563</c:v>
                </c:pt>
                <c:pt idx="4">
                  <c:v>256.28977579456665</c:v>
                </c:pt>
                <c:pt idx="5">
                  <c:v>247.57093945304882</c:v>
                </c:pt>
                <c:pt idx="6">
                  <c:v>238.65361988966049</c:v>
                </c:pt>
                <c:pt idx="7">
                  <c:v>229.5470003192205</c:v>
                </c:pt>
                <c:pt idx="8">
                  <c:v>220.25980238276242</c:v>
                </c:pt>
                <c:pt idx="9">
                  <c:v>210.79978079942316</c:v>
                </c:pt>
                <c:pt idx="10">
                  <c:v>201.17620127196358</c:v>
                </c:pt>
                <c:pt idx="11">
                  <c:v>191.40001978140765</c:v>
                </c:pt>
                <c:pt idx="12">
                  <c:v>181.48264667135288</c:v>
                </c:pt>
                <c:pt idx="13">
                  <c:v>171.43499619604566</c:v>
                </c:pt>
                <c:pt idx="14">
                  <c:v>161.26963196231935</c:v>
                </c:pt>
                <c:pt idx="15">
                  <c:v>150.99842669003112</c:v>
                </c:pt>
                <c:pt idx="16">
                  <c:v>140.63649320043731</c:v>
                </c:pt>
                <c:pt idx="17">
                  <c:v>130.19781270642792</c:v>
                </c:pt>
                <c:pt idx="18">
                  <c:v>119.69830983988285</c:v>
                </c:pt>
                <c:pt idx="19">
                  <c:v>109.15208543005616</c:v>
                </c:pt>
                <c:pt idx="20">
                  <c:v>98.575961457298803</c:v>
                </c:pt>
                <c:pt idx="21">
                  <c:v>87.987060236538824</c:v>
                </c:pt>
                <c:pt idx="22">
                  <c:v>77.401902979263724</c:v>
                </c:pt>
                <c:pt idx="23">
                  <c:v>66.837484394949342</c:v>
                </c:pt>
                <c:pt idx="24">
                  <c:v>56.311611510281793</c:v>
                </c:pt>
                <c:pt idx="25">
                  <c:v>45.84150537567352</c:v>
                </c:pt>
                <c:pt idx="26">
                  <c:v>35.444910264631844</c:v>
                </c:pt>
                <c:pt idx="27">
                  <c:v>35.243587503733025</c:v>
                </c:pt>
                <c:pt idx="28">
                  <c:v>35.023725318494073</c:v>
                </c:pt>
                <c:pt idx="29">
                  <c:v>34.786114916560678</c:v>
                </c:pt>
                <c:pt idx="30">
                  <c:v>34.531640088757612</c:v>
                </c:pt>
                <c:pt idx="31">
                  <c:v>34.261387404036967</c:v>
                </c:pt>
                <c:pt idx="32">
                  <c:v>33.976308504066075</c:v>
                </c:pt>
                <c:pt idx="33">
                  <c:v>33.677977366614911</c:v>
                </c:pt>
                <c:pt idx="34">
                  <c:v>33.367760506678039</c:v>
                </c:pt>
                <c:pt idx="35">
                  <c:v>33.046955161487759</c:v>
                </c:pt>
                <c:pt idx="36">
                  <c:v>32.716988117969272</c:v>
                </c:pt>
                <c:pt idx="37">
                  <c:v>32.379328094555405</c:v>
                </c:pt>
                <c:pt idx="38">
                  <c:v>32.035438270305065</c:v>
                </c:pt>
                <c:pt idx="39">
                  <c:v>31.686724136196048</c:v>
                </c:pt>
                <c:pt idx="40">
                  <c:v>31.334710389727309</c:v>
                </c:pt>
                <c:pt idx="41">
                  <c:v>30.980703533147935</c:v>
                </c:pt>
                <c:pt idx="42">
                  <c:v>30.625995141279166</c:v>
                </c:pt>
                <c:pt idx="43">
                  <c:v>30.271770341352973</c:v>
                </c:pt>
                <c:pt idx="44">
                  <c:v>29.919263355147852</c:v>
                </c:pt>
                <c:pt idx="45">
                  <c:v>29.569439648170516</c:v>
                </c:pt>
                <c:pt idx="46">
                  <c:v>29.223299519865673</c:v>
                </c:pt>
                <c:pt idx="47">
                  <c:v>28.881744248425903</c:v>
                </c:pt>
                <c:pt idx="48">
                  <c:v>28.545710049255455</c:v>
                </c:pt>
                <c:pt idx="49">
                  <c:v>28.216012280424344</c:v>
                </c:pt>
                <c:pt idx="50">
                  <c:v>27.893197043257622</c:v>
                </c:pt>
                <c:pt idx="51">
                  <c:v>27.578001337980915</c:v>
                </c:pt>
                <c:pt idx="52">
                  <c:v>27.270938812153716</c:v>
                </c:pt>
                <c:pt idx="53">
                  <c:v>26.972505174000677</c:v>
                </c:pt>
                <c:pt idx="54">
                  <c:v>26.683163323183297</c:v>
                </c:pt>
                <c:pt idx="55">
                  <c:v>26.403275958421901</c:v>
                </c:pt>
                <c:pt idx="56">
                  <c:v>26.133062277135657</c:v>
                </c:pt>
                <c:pt idx="57">
                  <c:v>25.872842576502951</c:v>
                </c:pt>
                <c:pt idx="58">
                  <c:v>25.622865168414698</c:v>
                </c:pt>
                <c:pt idx="59">
                  <c:v>25.383260253302442</c:v>
                </c:pt>
                <c:pt idx="60">
                  <c:v>25.154282569959769</c:v>
                </c:pt>
                <c:pt idx="61">
                  <c:v>24.935782330437185</c:v>
                </c:pt>
                <c:pt idx="62">
                  <c:v>24.727814439182048</c:v>
                </c:pt>
                <c:pt idx="63">
                  <c:v>24.530208382620174</c:v>
                </c:pt>
                <c:pt idx="64">
                  <c:v>24.342850268966256</c:v>
                </c:pt>
                <c:pt idx="65">
                  <c:v>24.165485441469318</c:v>
                </c:pt>
                <c:pt idx="66">
                  <c:v>23.997898165667113</c:v>
                </c:pt>
                <c:pt idx="67">
                  <c:v>23.839714149980015</c:v>
                </c:pt>
                <c:pt idx="68">
                  <c:v>23.690567305540579</c:v>
                </c:pt>
                <c:pt idx="69">
                  <c:v>23.550048248050935</c:v>
                </c:pt>
                <c:pt idx="70">
                  <c:v>23.417670643016251</c:v>
                </c:pt>
                <c:pt idx="71">
                  <c:v>23.292899226693038</c:v>
                </c:pt>
                <c:pt idx="72">
                  <c:v>23.175295282195503</c:v>
                </c:pt>
                <c:pt idx="73">
                  <c:v>23.064296793767056</c:v>
                </c:pt>
                <c:pt idx="74">
                  <c:v>22.959552925934688</c:v>
                </c:pt>
                <c:pt idx="75">
                  <c:v>22.860543192756193</c:v>
                </c:pt>
                <c:pt idx="76">
                  <c:v>22.766786994835268</c:v>
                </c:pt>
                <c:pt idx="77">
                  <c:v>22.677894022854378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8-46AA-B715-A888BBDD49DC}"/>
            </c:ext>
          </c:extLst>
        </c:ser>
        <c:ser>
          <c:idx val="0"/>
          <c:order val="1"/>
          <c:tx>
            <c:v>Electricity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- Demand'!$A$5:$A$82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Demand'!$R$5:$R$82</c:f>
              <c:numCache>
                <c:formatCode>0.00</c:formatCode>
                <c:ptCount val="78"/>
                <c:pt idx="0">
                  <c:v>374.76851130961677</c:v>
                </c:pt>
                <c:pt idx="1">
                  <c:v>376.53743677745337</c:v>
                </c:pt>
                <c:pt idx="2">
                  <c:v>377.96526426932525</c:v>
                </c:pt>
                <c:pt idx="3">
                  <c:v>379.02827975752416</c:v>
                </c:pt>
                <c:pt idx="4">
                  <c:v>379.7337044204495</c:v>
                </c:pt>
                <c:pt idx="5">
                  <c:v>380.05003863819991</c:v>
                </c:pt>
                <c:pt idx="6">
                  <c:v>379.97034115365204</c:v>
                </c:pt>
                <c:pt idx="7">
                  <c:v>379.48964339608017</c:v>
                </c:pt>
                <c:pt idx="8">
                  <c:v>378.60212610875942</c:v>
                </c:pt>
                <c:pt idx="9">
                  <c:v>377.29993348470833</c:v>
                </c:pt>
                <c:pt idx="10">
                  <c:v>375.57724469979104</c:v>
                </c:pt>
                <c:pt idx="11">
                  <c:v>373.43094991305566</c:v>
                </c:pt>
                <c:pt idx="12">
                  <c:v>370.85861569488281</c:v>
                </c:pt>
                <c:pt idx="13">
                  <c:v>367.85644784837973</c:v>
                </c:pt>
                <c:pt idx="14">
                  <c:v>364.42359084955319</c:v>
                </c:pt>
                <c:pt idx="15">
                  <c:v>360.55714998497297</c:v>
                </c:pt>
                <c:pt idx="16">
                  <c:v>356.26128742207891</c:v>
                </c:pt>
                <c:pt idx="17">
                  <c:v>351.53744041979382</c:v>
                </c:pt>
                <c:pt idx="18">
                  <c:v>346.39196298150614</c:v>
                </c:pt>
                <c:pt idx="19">
                  <c:v>340.82593884405901</c:v>
                </c:pt>
                <c:pt idx="20">
                  <c:v>334.84795379527617</c:v>
                </c:pt>
                <c:pt idx="21">
                  <c:v>328.46822411167864</c:v>
                </c:pt>
                <c:pt idx="22">
                  <c:v>321.69530601878864</c:v>
                </c:pt>
                <c:pt idx="23">
                  <c:v>314.53953608155541</c:v>
                </c:pt>
                <c:pt idx="24">
                  <c:v>307.01554066528882</c:v>
                </c:pt>
                <c:pt idx="25">
                  <c:v>299.13644073798451</c:v>
                </c:pt>
                <c:pt idx="26">
                  <c:v>290.92017033091531</c:v>
                </c:pt>
                <c:pt idx="27">
                  <c:v>289.26777929776273</c:v>
                </c:pt>
                <c:pt idx="28">
                  <c:v>287.46322276477957</c:v>
                </c:pt>
                <c:pt idx="29">
                  <c:v>285.5129947041986</c:v>
                </c:pt>
                <c:pt idx="30">
                  <c:v>283.42434898054807</c:v>
                </c:pt>
                <c:pt idx="31">
                  <c:v>281.20620379455875</c:v>
                </c:pt>
                <c:pt idx="32">
                  <c:v>278.86636990816754</c:v>
                </c:pt>
                <c:pt idx="33">
                  <c:v>276.41776601343827</c:v>
                </c:pt>
                <c:pt idx="34">
                  <c:v>273.87160801618097</c:v>
                </c:pt>
                <c:pt idx="35">
                  <c:v>271.23854321310966</c:v>
                </c:pt>
                <c:pt idx="36">
                  <c:v>268.53028220222558</c:v>
                </c:pt>
                <c:pt idx="37">
                  <c:v>265.75887974155916</c:v>
                </c:pt>
                <c:pt idx="38">
                  <c:v>262.9363451237806</c:v>
                </c:pt>
                <c:pt idx="39">
                  <c:v>260.07421415675651</c:v>
                </c:pt>
                <c:pt idx="40">
                  <c:v>257.18500105628789</c:v>
                </c:pt>
                <c:pt idx="41">
                  <c:v>254.27942916330025</c:v>
                </c:pt>
                <c:pt idx="42">
                  <c:v>251.36809929929896</c:v>
                </c:pt>
                <c:pt idx="43">
                  <c:v>248.46073859897325</c:v>
                </c:pt>
                <c:pt idx="44">
                  <c:v>245.5674771489094</c:v>
                </c:pt>
                <c:pt idx="45">
                  <c:v>242.69623917257326</c:v>
                </c:pt>
                <c:pt idx="46">
                  <c:v>239.85523479894132</c:v>
                </c:pt>
                <c:pt idx="47">
                  <c:v>237.05186142310777</c:v>
                </c:pt>
                <c:pt idx="48">
                  <c:v>234.29380319331369</c:v>
                </c:pt>
                <c:pt idx="49">
                  <c:v>231.58775230053493</c:v>
                </c:pt>
                <c:pt idx="50">
                  <c:v>228.93819096490739</c:v>
                </c:pt>
                <c:pt idx="51">
                  <c:v>226.35116824198141</c:v>
                </c:pt>
                <c:pt idx="52">
                  <c:v>223.83089998205503</c:v>
                </c:pt>
                <c:pt idx="53">
                  <c:v>221.38145479526361</c:v>
                </c:pt>
                <c:pt idx="54">
                  <c:v>219.00663200984252</c:v>
                </c:pt>
                <c:pt idx="55">
                  <c:v>216.70940853764472</c:v>
                </c:pt>
                <c:pt idx="56">
                  <c:v>214.4915834790219</c:v>
                </c:pt>
                <c:pt idx="57">
                  <c:v>212.35578572791107</c:v>
                </c:pt>
                <c:pt idx="58">
                  <c:v>210.30405334667608</c:v>
                </c:pt>
                <c:pt idx="59">
                  <c:v>208.33745497765329</c:v>
                </c:pt>
                <c:pt idx="60">
                  <c:v>206.45808143311092</c:v>
                </c:pt>
                <c:pt idx="61">
                  <c:v>204.66470330280472</c:v>
                </c:pt>
                <c:pt idx="62">
                  <c:v>202.9577712243879</c:v>
                </c:pt>
                <c:pt idx="63">
                  <c:v>201.33588567850279</c:v>
                </c:pt>
                <c:pt idx="64">
                  <c:v>199.79811187881947</c:v>
                </c:pt>
                <c:pt idx="65">
                  <c:v>198.34235968644873</c:v>
                </c:pt>
                <c:pt idx="66">
                  <c:v>196.96685842385082</c:v>
                </c:pt>
                <c:pt idx="67">
                  <c:v>195.66853602879488</c:v>
                </c:pt>
                <c:pt idx="68">
                  <c:v>194.44438776421498</c:v>
                </c:pt>
                <c:pt idx="69">
                  <c:v>193.29105353838631</c:v>
                </c:pt>
                <c:pt idx="70">
                  <c:v>192.20454167766599</c:v>
                </c:pt>
                <c:pt idx="71">
                  <c:v>191.18045891322467</c:v>
                </c:pt>
                <c:pt idx="72">
                  <c:v>190.21520440109941</c:v>
                </c:pt>
                <c:pt idx="73">
                  <c:v>189.30416530073248</c:v>
                </c:pt>
                <c:pt idx="74">
                  <c:v>188.44446206990449</c:v>
                </c:pt>
                <c:pt idx="75">
                  <c:v>187.63182273112051</c:v>
                </c:pt>
                <c:pt idx="76">
                  <c:v>186.8623026825411</c:v>
                </c:pt>
                <c:pt idx="77">
                  <c:v>186.13269839360865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8-46AA-B715-A888BBD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21791"/>
        <c:axId val="578716031"/>
      </c:lineChart>
      <c:catAx>
        <c:axId val="57872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78716031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57871603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787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62786403524159"/>
          <c:y val="0.8666650375318502"/>
          <c:w val="0.64173906764278421"/>
          <c:h val="0.12163015433950278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Climate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2068699476223"/>
          <c:y val="0.22390079970658222"/>
          <c:w val="0.55861186596144119"/>
          <c:h val="0.50200236675775589"/>
        </c:manualLayout>
      </c:layout>
      <c:areaChart>
        <c:grouping val="stacked"/>
        <c:varyColors val="0"/>
        <c:ser>
          <c:idx val="1"/>
          <c:order val="1"/>
          <c:tx>
            <c:v>1.5C</c:v>
          </c:tx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'Static Parameters'!$F$40:$F$48</c:f>
              <c:numCache>
                <c:formatCode>0.0</c:formatCode>
                <c:ptCount val="9"/>
                <c:pt idx="0">
                  <c:v>11.549976299999999</c:v>
                </c:pt>
                <c:pt idx="1">
                  <c:v>67.227147661363645</c:v>
                </c:pt>
                <c:pt idx="2">
                  <c:v>88.209917127272746</c:v>
                </c:pt>
                <c:pt idx="3">
                  <c:v>89.691053795454565</c:v>
                </c:pt>
                <c:pt idx="4">
                  <c:v>89.691053795454565</c:v>
                </c:pt>
                <c:pt idx="5">
                  <c:v>89.691053795454565</c:v>
                </c:pt>
                <c:pt idx="6">
                  <c:v>89.691053795454565</c:v>
                </c:pt>
                <c:pt idx="7">
                  <c:v>89.691053795454565</c:v>
                </c:pt>
                <c:pt idx="8">
                  <c:v>89.691053795454565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9D3-9C00-1506F6298D06}"/>
            </c:ext>
          </c:extLst>
        </c:ser>
        <c:ser>
          <c:idx val="2"/>
          <c:order val="2"/>
          <c:tx>
            <c:v>RCP2.6</c:v>
          </c:tx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'Static Parameters'!$G$40:$G$48</c:f>
              <c:numCache>
                <c:formatCode>0.0</c:formatCode>
                <c:ptCount val="9"/>
                <c:pt idx="0">
                  <c:v>0</c:v>
                </c:pt>
                <c:pt idx="1">
                  <c:v>24.282952338636349</c:v>
                </c:pt>
                <c:pt idx="2">
                  <c:v>61.759182872727251</c:v>
                </c:pt>
                <c:pt idx="3">
                  <c:v>98.880046204545437</c:v>
                </c:pt>
                <c:pt idx="4">
                  <c:v>121.90354620454545</c:v>
                </c:pt>
                <c:pt idx="5">
                  <c:v>129.57754620454546</c:v>
                </c:pt>
                <c:pt idx="6">
                  <c:v>127.99104620454546</c:v>
                </c:pt>
                <c:pt idx="7">
                  <c:v>121.47454620454545</c:v>
                </c:pt>
                <c:pt idx="8">
                  <c:v>112.46854620454545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0-49D3-9C00-1506F6298D06}"/>
            </c:ext>
          </c:extLst>
        </c:ser>
        <c:ser>
          <c:idx val="3"/>
          <c:order val="3"/>
          <c:tx>
            <c:v>RCP4.5</c:v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'Static Parameters'!$H$40:$H$48</c:f>
              <c:numCache>
                <c:formatCode>0.0</c:formatCode>
                <c:ptCount val="9"/>
                <c:pt idx="0">
                  <c:v>0</c:v>
                </c:pt>
                <c:pt idx="1">
                  <c:v>22.485399999999998</c:v>
                </c:pt>
                <c:pt idx="2">
                  <c:v>75.482900000000001</c:v>
                </c:pt>
                <c:pt idx="3">
                  <c:v>148.72739999999999</c:v>
                </c:pt>
                <c:pt idx="4">
                  <c:v>227.8664</c:v>
                </c:pt>
                <c:pt idx="5">
                  <c:v>302.7894</c:v>
                </c:pt>
                <c:pt idx="6">
                  <c:v>360.87789999999995</c:v>
                </c:pt>
                <c:pt idx="7">
                  <c:v>409.26839999999993</c:v>
                </c:pt>
                <c:pt idx="8">
                  <c:v>460.25239999999991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0-49D3-9C00-1506F6298D06}"/>
            </c:ext>
          </c:extLst>
        </c:ser>
        <c:ser>
          <c:idx val="4"/>
          <c:order val="4"/>
          <c:tx>
            <c:v>RCP6.0</c:v>
          </c:tx>
          <c:spPr>
            <a:solidFill>
              <a:srgbClr val="C00000"/>
            </a:solidFill>
            <a:ln w="25400">
              <a:noFill/>
            </a:ln>
            <a:effectLst/>
          </c:spPr>
          <c:val>
            <c:numRef>
              <c:f>'Static Parameters'!$I$40:$I$48</c:f>
              <c:numCache>
                <c:formatCode>0.0</c:formatCode>
                <c:ptCount val="9"/>
                <c:pt idx="0">
                  <c:v>0</c:v>
                </c:pt>
                <c:pt idx="1">
                  <c:v>-10.317099999999996</c:v>
                </c:pt>
                <c:pt idx="2">
                  <c:v>-14.025599999999997</c:v>
                </c:pt>
                <c:pt idx="3">
                  <c:v>-2.8811000000000035</c:v>
                </c:pt>
                <c:pt idx="4">
                  <c:v>34.297399999999982</c:v>
                </c:pt>
                <c:pt idx="5">
                  <c:v>108.35239999999999</c:v>
                </c:pt>
                <c:pt idx="6">
                  <c:v>220.78340000000003</c:v>
                </c:pt>
                <c:pt idx="7">
                  <c:v>336.87789999999995</c:v>
                </c:pt>
                <c:pt idx="8">
                  <c:v>435.23190000000011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0-49D3-9C00-1506F62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78696"/>
        <c:axId val="970181216"/>
      </c:areaChart>
      <c:lineChart>
        <c:grouping val="standard"/>
        <c:varyColors val="0"/>
        <c:ser>
          <c:idx val="5"/>
          <c:order val="0"/>
          <c:tx>
            <c:v>model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'Static Parameters'!$E$40:$E$48</c:f>
              <c:numCache>
                <c:formatCode>General</c:formatCode>
                <c:ptCount val="9"/>
                <c:pt idx="0">
                  <c:v>2023</c:v>
                </c:pt>
                <c:pt idx="1">
                  <c:v>2033</c:v>
                </c:pt>
                <c:pt idx="2">
                  <c:v>2043</c:v>
                </c:pt>
                <c:pt idx="3">
                  <c:v>2053</c:v>
                </c:pt>
                <c:pt idx="4">
                  <c:v>2063</c:v>
                </c:pt>
                <c:pt idx="5">
                  <c:v>2073</c:v>
                </c:pt>
                <c:pt idx="6">
                  <c:v>2083</c:v>
                </c:pt>
                <c:pt idx="7">
                  <c:v>2093</c:v>
                </c:pt>
                <c:pt idx="8">
                  <c:v>2103</c:v>
                </c:pt>
              </c:numCache>
            </c:numRef>
          </c:cat>
          <c:val>
            <c:numRef>
              <c:f>'Static Parameters'!$J$40:$J$48</c:f>
              <c:numCache>
                <c:formatCode>0.0</c:formatCode>
                <c:ptCount val="9"/>
                <c:pt idx="0">
                  <c:v>9.8860909090909086</c:v>
                </c:pt>
                <c:pt idx="1">
                  <c:v>118.21132919999799</c:v>
                </c:pt>
                <c:pt idx="2">
                  <c:v>232.81477438411031</c:v>
                </c:pt>
                <c:pt idx="3">
                  <c:v>306.98375042154333</c:v>
                </c:pt>
                <c:pt idx="4">
                  <c:v>326.81177208925743</c:v>
                </c:pt>
                <c:pt idx="5">
                  <c:v>328.00751219898871</c:v>
                </c:pt>
                <c:pt idx="6">
                  <c:v>328.04774656220081</c:v>
                </c:pt>
                <c:pt idx="7">
                  <c:v>328.04890042936529</c:v>
                </c:pt>
                <c:pt idx="8">
                  <c:v>328.04892976467249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0-49D3-9C00-1506F62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78696"/>
        <c:axId val="970181216"/>
      </c:lineChart>
      <c:catAx>
        <c:axId val="9701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0181216"/>
        <c:crosses val="autoZero"/>
        <c:auto val="1"/>
        <c:lblAlgn val="ctr"/>
        <c:lblOffset val="100"/>
        <c:noMultiLvlLbl val="1"/>
      </c:catAx>
      <c:valAx>
        <c:axId val="97018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Cumulative Emissions (GtC)</a:t>
                </a:r>
              </a:p>
            </c:rich>
          </c:tx>
          <c:layout>
            <c:manualLayout>
              <c:xMode val="edge"/>
              <c:yMode val="edge"/>
              <c:x val="1.528034417007839E-2"/>
              <c:y val="0.14507521892590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01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Energy Demand by Source (EJ/yr)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7284799289535"/>
          <c:y val="0.16731889247588255"/>
          <c:w val="0.84130065071417659"/>
          <c:h val="0.48818788965948273"/>
        </c:manualLayout>
      </c:layout>
      <c:areaChart>
        <c:grouping val="stacked"/>
        <c:varyColors val="0"/>
        <c:ser>
          <c:idx val="3"/>
          <c:order val="0"/>
          <c:tx>
            <c:v>Coal</c:v>
          </c:tx>
          <c:spPr>
            <a:solidFill>
              <a:srgbClr val="C0000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Supply'!$AJ$5:$AJ$82</c:f>
              <c:numCache>
                <c:formatCode>0.00</c:formatCode>
                <c:ptCount val="78"/>
                <c:pt idx="0">
                  <c:v>64.50500000000001</c:v>
                </c:pt>
                <c:pt idx="1">
                  <c:v>75.883625173159828</c:v>
                </c:pt>
                <c:pt idx="2">
                  <c:v>57.337568363572331</c:v>
                </c:pt>
                <c:pt idx="3">
                  <c:v>61.072613993067918</c:v>
                </c:pt>
                <c:pt idx="4">
                  <c:v>53.842505514517057</c:v>
                </c:pt>
                <c:pt idx="5">
                  <c:v>54.791506788063494</c:v>
                </c:pt>
                <c:pt idx="6">
                  <c:v>50.136748151906886</c:v>
                </c:pt>
                <c:pt idx="7">
                  <c:v>51.976607765070405</c:v>
                </c:pt>
                <c:pt idx="8">
                  <c:v>54.26647607555141</c:v>
                </c:pt>
                <c:pt idx="9">
                  <c:v>56.30555799351292</c:v>
                </c:pt>
                <c:pt idx="10">
                  <c:v>58.110070278703908</c:v>
                </c:pt>
                <c:pt idx="11">
                  <c:v>59.71479742129619</c:v>
                </c:pt>
                <c:pt idx="12">
                  <c:v>61.154120688590936</c:v>
                </c:pt>
                <c:pt idx="13">
                  <c:v>62.406383858032171</c:v>
                </c:pt>
                <c:pt idx="14">
                  <c:v>63.646877519270227</c:v>
                </c:pt>
                <c:pt idx="15">
                  <c:v>64.858161563368355</c:v>
                </c:pt>
                <c:pt idx="16">
                  <c:v>65.812500788068149</c:v>
                </c:pt>
                <c:pt idx="17">
                  <c:v>66.377676145398411</c:v>
                </c:pt>
                <c:pt idx="18">
                  <c:v>66.509565927563401</c:v>
                </c:pt>
                <c:pt idx="19">
                  <c:v>66.193535445496906</c:v>
                </c:pt>
                <c:pt idx="20">
                  <c:v>65.424970496081102</c:v>
                </c:pt>
                <c:pt idx="21">
                  <c:v>64.211722957348471</c:v>
                </c:pt>
                <c:pt idx="22">
                  <c:v>62.574035814353344</c:v>
                </c:pt>
                <c:pt idx="23">
                  <c:v>60.537736427582843</c:v>
                </c:pt>
                <c:pt idx="24">
                  <c:v>58.125212211933153</c:v>
                </c:pt>
                <c:pt idx="25">
                  <c:v>55.347848777128974</c:v>
                </c:pt>
                <c:pt idx="26">
                  <c:v>52.2013921296221</c:v>
                </c:pt>
                <c:pt idx="27">
                  <c:v>48.668167170195012</c:v>
                </c:pt>
                <c:pt idx="28">
                  <c:v>44.309746292340591</c:v>
                </c:pt>
                <c:pt idx="29">
                  <c:v>39.452512122649935</c:v>
                </c:pt>
                <c:pt idx="30">
                  <c:v>34.427034108440139</c:v>
                </c:pt>
                <c:pt idx="31">
                  <c:v>29.433649861125026</c:v>
                </c:pt>
                <c:pt idx="32">
                  <c:v>24.614118694896316</c:v>
                </c:pt>
                <c:pt idx="33">
                  <c:v>20.101707797087876</c:v>
                </c:pt>
                <c:pt idx="34">
                  <c:v>16.02547200409251</c:v>
                </c:pt>
                <c:pt idx="35">
                  <c:v>12.487607249037692</c:v>
                </c:pt>
                <c:pt idx="36">
                  <c:v>9.5397195243478077</c:v>
                </c:pt>
                <c:pt idx="37">
                  <c:v>7.1743439922665821</c:v>
                </c:pt>
                <c:pt idx="38">
                  <c:v>5.3348143787475664</c:v>
                </c:pt>
                <c:pt idx="39">
                  <c:v>3.9364180020247272</c:v>
                </c:pt>
                <c:pt idx="40">
                  <c:v>2.8883162478189224</c:v>
                </c:pt>
                <c:pt idx="41">
                  <c:v>2.1087670724036589</c:v>
                </c:pt>
                <c:pt idx="42">
                  <c:v>1.5316444509096465</c:v>
                </c:pt>
                <c:pt idx="43">
                  <c:v>1.1064503677847457</c:v>
                </c:pt>
                <c:pt idx="44">
                  <c:v>0.79525436830136409</c:v>
                </c:pt>
                <c:pt idx="45">
                  <c:v>0.56928307319591409</c:v>
                </c:pt>
                <c:pt idx="46">
                  <c:v>0.40640649070996782</c:v>
                </c:pt>
                <c:pt idx="47">
                  <c:v>0.28962049366532638</c:v>
                </c:pt>
                <c:pt idx="48">
                  <c:v>0.2060943486076211</c:v>
                </c:pt>
                <c:pt idx="49">
                  <c:v>0.14639867857939867</c:v>
                </c:pt>
                <c:pt idx="50">
                  <c:v>0.10375796069384143</c:v>
                </c:pt>
                <c:pt idx="51">
                  <c:v>7.3351837293954572E-2</c:v>
                </c:pt>
                <c:pt idx="52">
                  <c:v>5.1738719444070685E-2</c:v>
                </c:pt>
                <c:pt idx="53">
                  <c:v>3.6434430542694712E-2</c:v>
                </c:pt>
                <c:pt idx="54">
                  <c:v>2.5632404028678859E-2</c:v>
                </c:pt>
                <c:pt idx="55">
                  <c:v>1.8021916126085464E-2</c:v>
                </c:pt>
                <c:pt idx="56">
                  <c:v>1.266230934207605E-2</c:v>
                </c:pt>
                <c:pt idx="57">
                  <c:v>8.8873656209391642E-3</c:v>
                </c:pt>
                <c:pt idx="58">
                  <c:v>6.2294166365097735E-3</c:v>
                </c:pt>
                <c:pt idx="59">
                  <c:v>4.3604091853450665E-3</c:v>
                </c:pt>
                <c:pt idx="60">
                  <c:v>3.0488933483392836E-3</c:v>
                </c:pt>
                <c:pt idx="61">
                  <c:v>2.1305206392080661E-3</c:v>
                </c:pt>
                <c:pt idx="62">
                  <c:v>1.4883343532155428E-3</c:v>
                </c:pt>
                <c:pt idx="63">
                  <c:v>1.0394700266558002E-3</c:v>
                </c:pt>
                <c:pt idx="64">
                  <c:v>7.2566944931753931E-4</c:v>
                </c:pt>
                <c:pt idx="65">
                  <c:v>5.062559284079698E-4</c:v>
                </c:pt>
                <c:pt idx="66">
                  <c:v>3.528972170379014E-4</c:v>
                </c:pt>
                <c:pt idx="67">
                  <c:v>2.4581492377892929E-4</c:v>
                </c:pt>
                <c:pt idx="68">
                  <c:v>1.711395617563434E-4</c:v>
                </c:pt>
                <c:pt idx="69">
                  <c:v>1.1911725166665746E-4</c:v>
                </c:pt>
                <c:pt idx="70">
                  <c:v>8.2893790771076652E-5</c:v>
                </c:pt>
                <c:pt idx="71">
                  <c:v>5.7671104384692049E-5</c:v>
                </c:pt>
                <c:pt idx="72">
                  <c:v>4.0105646580202888E-5</c:v>
                </c:pt>
                <c:pt idx="73">
                  <c:v>2.7873902601553952E-5</c:v>
                </c:pt>
                <c:pt idx="74">
                  <c:v>1.9360600550130398E-5</c:v>
                </c:pt>
                <c:pt idx="75">
                  <c:v>1.3440252175371505E-5</c:v>
                </c:pt>
                <c:pt idx="76">
                  <c:v>9.3266102901677723E-6</c:v>
                </c:pt>
                <c:pt idx="77">
                  <c:v>4.9200569380052236E-6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8-4B73-9C9A-65EC8F9B866F}"/>
            </c:ext>
          </c:extLst>
        </c:ser>
        <c:ser>
          <c:idx val="2"/>
          <c:order val="1"/>
          <c:tx>
            <c:v>Oil</c:v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Supply'!$AK$5:$AK$82</c:f>
              <c:numCache>
                <c:formatCode>0.00</c:formatCode>
                <c:ptCount val="78"/>
                <c:pt idx="0">
                  <c:v>150.42989999999998</c:v>
                </c:pt>
                <c:pt idx="1">
                  <c:v>158.77743608846899</c:v>
                </c:pt>
                <c:pt idx="2">
                  <c:v>141.76180272359196</c:v>
                </c:pt>
                <c:pt idx="3">
                  <c:v>152.59092999071518</c:v>
                </c:pt>
                <c:pt idx="4">
                  <c:v>150.62175067215477</c:v>
                </c:pt>
                <c:pt idx="5">
                  <c:v>154.56022043927081</c:v>
                </c:pt>
                <c:pt idx="6">
                  <c:v>150.09454401041151</c:v>
                </c:pt>
                <c:pt idx="7">
                  <c:v>151.7938196570766</c:v>
                </c:pt>
                <c:pt idx="8">
                  <c:v>145.9694748749894</c:v>
                </c:pt>
                <c:pt idx="9">
                  <c:v>142.16134668260543</c:v>
                </c:pt>
                <c:pt idx="10">
                  <c:v>137.36896703132342</c:v>
                </c:pt>
                <c:pt idx="11">
                  <c:v>132.28479168039371</c:v>
                </c:pt>
                <c:pt idx="12">
                  <c:v>126.66752784818095</c:v>
                </c:pt>
                <c:pt idx="13">
                  <c:v>120.61757530551338</c:v>
                </c:pt>
                <c:pt idx="14">
                  <c:v>112.32153198861302</c:v>
                </c:pt>
                <c:pt idx="15">
                  <c:v>102.11489898561111</c:v>
                </c:pt>
                <c:pt idx="16">
                  <c:v>91.608598357396502</c:v>
                </c:pt>
                <c:pt idx="17">
                  <c:v>81.219156305219357</c:v>
                </c:pt>
                <c:pt idx="18">
                  <c:v>71.080849953098451</c:v>
                </c:pt>
                <c:pt idx="19">
                  <c:v>61.268306903595942</c:v>
                </c:pt>
                <c:pt idx="20">
                  <c:v>51.844720090846174</c:v>
                </c:pt>
                <c:pt idx="21">
                  <c:v>42.876341960621495</c:v>
                </c:pt>
                <c:pt idx="22">
                  <c:v>34.43650983812271</c:v>
                </c:pt>
                <c:pt idx="23">
                  <c:v>26.607193220075402</c:v>
                </c:pt>
                <c:pt idx="24">
                  <c:v>19.477377719717399</c:v>
                </c:pt>
                <c:pt idx="25">
                  <c:v>13.128824529634606</c:v>
                </c:pt>
                <c:pt idx="26">
                  <c:v>7.5768655312419444</c:v>
                </c:pt>
                <c:pt idx="27">
                  <c:v>2.9329026304687766</c:v>
                </c:pt>
                <c:pt idx="28">
                  <c:v>2.5784105569596676</c:v>
                </c:pt>
                <c:pt idx="29">
                  <c:v>2.224942566498032</c:v>
                </c:pt>
                <c:pt idx="30">
                  <c:v>1.8880561108048479</c:v>
                </c:pt>
                <c:pt idx="31">
                  <c:v>1.5746020897210629</c:v>
                </c:pt>
                <c:pt idx="32">
                  <c:v>1.2879674126744358</c:v>
                </c:pt>
                <c:pt idx="33">
                  <c:v>1.0312465665786377</c:v>
                </c:pt>
                <c:pt idx="34">
                  <c:v>0.8076001942725517</c:v>
                </c:pt>
                <c:pt idx="35">
                  <c:v>0.61916730297953437</c:v>
                </c:pt>
                <c:pt idx="36">
                  <c:v>0.46596209266716265</c:v>
                </c:pt>
                <c:pt idx="37">
                  <c:v>0.34554356732202446</c:v>
                </c:pt>
                <c:pt idx="38">
                  <c:v>0.25355009521126304</c:v>
                </c:pt>
                <c:pt idx="39">
                  <c:v>0.18471739471035303</c:v>
                </c:pt>
                <c:pt idx="40">
                  <c:v>0.13387215192183</c:v>
                </c:pt>
                <c:pt idx="41">
                  <c:v>9.6570246279996705E-2</c:v>
                </c:pt>
                <c:pt idx="42">
                  <c:v>6.9316625518089411E-2</c:v>
                </c:pt>
                <c:pt idx="43">
                  <c:v>4.9493218004574492E-2</c:v>
                </c:pt>
                <c:pt idx="44">
                  <c:v>3.5164506350253553E-2</c:v>
                </c:pt>
                <c:pt idx="45">
                  <c:v>2.4885579227682829E-2</c:v>
                </c:pt>
                <c:pt idx="46">
                  <c:v>1.7564152181981249E-2</c:v>
                </c:pt>
                <c:pt idx="47">
                  <c:v>1.2375465788218971E-2</c:v>
                </c:pt>
                <c:pt idx="48">
                  <c:v>8.7071767618578846E-3</c:v>
                </c:pt>
                <c:pt idx="49">
                  <c:v>6.1155698791499616E-3</c:v>
                </c:pt>
                <c:pt idx="50">
                  <c:v>4.2856475356354388E-3</c:v>
                </c:pt>
                <c:pt idx="51">
                  <c:v>2.9957533752425509E-3</c:v>
                </c:pt>
                <c:pt idx="52">
                  <c:v>2.0893642834433129E-3</c:v>
                </c:pt>
                <c:pt idx="53">
                  <c:v>1.4548435844503119E-3</c:v>
                </c:pt>
                <c:pt idx="54">
                  <c:v>1.0120481459374394E-3</c:v>
                </c:pt>
                <c:pt idx="55">
                  <c:v>7.0359299167233849E-4</c:v>
                </c:pt>
                <c:pt idx="56">
                  <c:v>4.8881329042951762E-4</c:v>
                </c:pt>
                <c:pt idx="57">
                  <c:v>3.3924485428780846E-4</c:v>
                </c:pt>
                <c:pt idx="58">
                  <c:v>2.3512464360975893E-4</c:v>
                </c:pt>
                <c:pt idx="59">
                  <c:v>1.6273795672790481E-4</c:v>
                </c:pt>
                <c:pt idx="60">
                  <c:v>1.1251615715653592E-4</c:v>
                </c:pt>
                <c:pt idx="61">
                  <c:v>7.7744485149968396E-5</c:v>
                </c:pt>
                <c:pt idx="62">
                  <c:v>5.3702640513136462E-5</c:v>
                </c:pt>
                <c:pt idx="63">
                  <c:v>3.7086723180487916E-5</c:v>
                </c:pt>
                <c:pt idx="64">
                  <c:v>2.5600988714045486E-5</c:v>
                </c:pt>
                <c:pt idx="65">
                  <c:v>1.7660356301193543E-5</c:v>
                </c:pt>
                <c:pt idx="66">
                  <c:v>1.2172759385689393E-5</c:v>
                </c:pt>
                <c:pt idx="67">
                  <c:v>8.3841787997079493E-6</c:v>
                </c:pt>
                <c:pt idx="68">
                  <c:v>5.7718388089423569E-6</c:v>
                </c:pt>
                <c:pt idx="69">
                  <c:v>3.9723722937252267E-6</c:v>
                </c:pt>
                <c:pt idx="70">
                  <c:v>2.7334352256869151E-6</c:v>
                </c:pt>
                <c:pt idx="71">
                  <c:v>1.8804273754220584E-6</c:v>
                </c:pt>
                <c:pt idx="72">
                  <c:v>1.2930500421179233E-6</c:v>
                </c:pt>
                <c:pt idx="73">
                  <c:v>8.8862617985950333E-7</c:v>
                </c:pt>
                <c:pt idx="74">
                  <c:v>6.1031165965302243E-7</c:v>
                </c:pt>
                <c:pt idx="75">
                  <c:v>4.1893995067321082E-7</c:v>
                </c:pt>
                <c:pt idx="76">
                  <c:v>2.8746151386760282E-7</c:v>
                </c:pt>
                <c:pt idx="77">
                  <c:v>1.9432540564527563E-7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8-4B73-9C9A-65EC8F9B866F}"/>
            </c:ext>
          </c:extLst>
        </c:ser>
        <c:ser>
          <c:idx val="4"/>
          <c:order val="2"/>
          <c:tx>
            <c:v>Gas</c:v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Supply'!$AL$5:$AL$82</c:f>
              <c:numCache>
                <c:formatCode>0.00</c:formatCode>
                <c:ptCount val="78"/>
                <c:pt idx="0">
                  <c:v>74.023200000000003</c:v>
                </c:pt>
                <c:pt idx="1">
                  <c:v>80.773633882773481</c:v>
                </c:pt>
                <c:pt idx="2">
                  <c:v>68.820482038232257</c:v>
                </c:pt>
                <c:pt idx="3">
                  <c:v>73.730345520976826</c:v>
                </c:pt>
                <c:pt idx="4">
                  <c:v>70.323678598030057</c:v>
                </c:pt>
                <c:pt idx="5">
                  <c:v>71.672036470228619</c:v>
                </c:pt>
                <c:pt idx="6">
                  <c:v>66.403203675917226</c:v>
                </c:pt>
                <c:pt idx="7">
                  <c:v>66.050287952531932</c:v>
                </c:pt>
                <c:pt idx="8">
                  <c:v>59.469031372088295</c:v>
                </c:pt>
                <c:pt idx="9">
                  <c:v>54.450479969163133</c:v>
                </c:pt>
                <c:pt idx="10">
                  <c:v>48.821544025785634</c:v>
                </c:pt>
                <c:pt idx="11">
                  <c:v>43.211550512106925</c:v>
                </c:pt>
                <c:pt idx="12">
                  <c:v>37.466439341867861</c:v>
                </c:pt>
                <c:pt idx="13">
                  <c:v>33.944004764205232</c:v>
                </c:pt>
                <c:pt idx="14">
                  <c:v>31.939309234462165</c:v>
                </c:pt>
                <c:pt idx="15">
                  <c:v>29.719868452383977</c:v>
                </c:pt>
                <c:pt idx="16">
                  <c:v>27.263977436612031</c:v>
                </c:pt>
                <c:pt idx="17">
                  <c:v>24.628289760575822</c:v>
                </c:pt>
                <c:pt idx="18">
                  <c:v>21.915086963309335</c:v>
                </c:pt>
                <c:pt idx="19">
                  <c:v>19.226983303545108</c:v>
                </c:pt>
                <c:pt idx="20">
                  <c:v>16.649476128399062</c:v>
                </c:pt>
                <c:pt idx="21">
                  <c:v>14.246966785879472</c:v>
                </c:pt>
                <c:pt idx="22">
                  <c:v>12.061645431464441</c:v>
                </c:pt>
                <c:pt idx="23">
                  <c:v>10.114239858687501</c:v>
                </c:pt>
                <c:pt idx="24">
                  <c:v>8.4071308208220952</c:v>
                </c:pt>
                <c:pt idx="25">
                  <c:v>6.9290498065851587</c:v>
                </c:pt>
                <c:pt idx="26">
                  <c:v>5.6600899507848466</c:v>
                </c:pt>
                <c:pt idx="27">
                  <c:v>4.5764384357150618</c:v>
                </c:pt>
                <c:pt idx="28">
                  <c:v>3.6200852087883386</c:v>
                </c:pt>
                <c:pt idx="29">
                  <c:v>2.8065199425645551</c:v>
                </c:pt>
                <c:pt idx="30">
                  <c:v>2.1373181403189747</c:v>
                </c:pt>
                <c:pt idx="31">
                  <c:v>1.5984272156167008</c:v>
                </c:pt>
                <c:pt idx="32">
                  <c:v>1.1718327156895183</c:v>
                </c:pt>
                <c:pt idx="33">
                  <c:v>0.84064657389552877</c:v>
                </c:pt>
                <c:pt idx="34">
                  <c:v>0.58972130540833989</c:v>
                </c:pt>
                <c:pt idx="35">
                  <c:v>0.40495501415651808</c:v>
                </c:pt>
                <c:pt idx="36">
                  <c:v>0.27294320731791222</c:v>
                </c:pt>
                <c:pt idx="37">
                  <c:v>0.18127487660054123</c:v>
                </c:pt>
                <c:pt idx="38">
                  <c:v>0.11912710273554518</c:v>
                </c:pt>
                <c:pt idx="39">
                  <c:v>7.7726631931588797E-2</c:v>
                </c:pt>
                <c:pt idx="40">
                  <c:v>5.0451325436590297E-2</c:v>
                </c:pt>
                <c:pt idx="41">
                  <c:v>3.2595025387190328E-2</c:v>
                </c:pt>
                <c:pt idx="42">
                  <c:v>2.0954438640867639E-2</c:v>
                </c:pt>
                <c:pt idx="43">
                  <c:v>1.3400445550209472E-2</c:v>
                </c:pt>
                <c:pt idx="44">
                  <c:v>8.527397779030577E-3</c:v>
                </c:pt>
                <c:pt idx="45">
                  <c:v>5.4050659280374721E-3</c:v>
                </c:pt>
                <c:pt idx="46">
                  <c:v>3.4168336847690663E-3</c:v>
                </c:pt>
                <c:pt idx="47">
                  <c:v>2.1562705502193875E-3</c:v>
                </c:pt>
                <c:pt idx="48">
                  <c:v>1.3588306621810174E-3</c:v>
                </c:pt>
                <c:pt idx="49">
                  <c:v>8.5481493619511749E-4</c:v>
                </c:pt>
                <c:pt idx="50">
                  <c:v>5.3653675858883921E-4</c:v>
                </c:pt>
                <c:pt idx="51">
                  <c:v>3.3592121881189822E-4</c:v>
                </c:pt>
                <c:pt idx="52">
                  <c:v>2.0984288487328076E-4</c:v>
                </c:pt>
                <c:pt idx="53">
                  <c:v>1.3087157820579771E-4</c:v>
                </c:pt>
                <c:pt idx="54">
                  <c:v>8.154162184496827E-5</c:v>
                </c:pt>
                <c:pt idx="55">
                  <c:v>5.077488402593994E-5</c:v>
                </c:pt>
                <c:pt idx="56">
                  <c:v>3.1595104438791279E-5</c:v>
                </c:pt>
                <c:pt idx="57">
                  <c:v>1.9639909288661411E-5</c:v>
                </c:pt>
                <c:pt idx="58">
                  <c:v>1.219196825050362E-5</c:v>
                </c:pt>
                <c:pt idx="59">
                  <c:v>7.5581242577108935E-6</c:v>
                </c:pt>
                <c:pt idx="60">
                  <c:v>4.6804712065686203E-6</c:v>
                </c:pt>
                <c:pt idx="61">
                  <c:v>2.896635257292252E-6</c:v>
                </c:pt>
                <c:pt idx="62">
                  <c:v>1.7921295686422874E-6</c:v>
                </c:pt>
                <c:pt idx="63">
                  <c:v>1.1085155255926257E-6</c:v>
                </c:pt>
                <c:pt idx="64">
                  <c:v>6.8537713698319E-7</c:v>
                </c:pt>
                <c:pt idx="65">
                  <c:v>4.2346926705211196E-7</c:v>
                </c:pt>
                <c:pt idx="66">
                  <c:v>2.6143337956618272E-7</c:v>
                </c:pt>
                <c:pt idx="67">
                  <c:v>1.6128058732731326E-7</c:v>
                </c:pt>
                <c:pt idx="68">
                  <c:v>9.9445543448973002E-8</c:v>
                </c:pt>
                <c:pt idx="69">
                  <c:v>6.1301435281867647E-8</c:v>
                </c:pt>
                <c:pt idx="70">
                  <c:v>3.7781487597163812E-8</c:v>
                </c:pt>
                <c:pt idx="71">
                  <c:v>2.3279647518572738E-8</c:v>
                </c:pt>
                <c:pt idx="72">
                  <c:v>1.4337873245370991E-8</c:v>
                </c:pt>
                <c:pt idx="73">
                  <c:v>8.82547474732994E-9</c:v>
                </c:pt>
                <c:pt idx="74">
                  <c:v>5.4290045886320411E-9</c:v>
                </c:pt>
                <c:pt idx="75">
                  <c:v>3.3378736111293037E-9</c:v>
                </c:pt>
                <c:pt idx="76">
                  <c:v>2.0513860050213489E-9</c:v>
                </c:pt>
                <c:pt idx="77">
                  <c:v>1.3833187393790962E-9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8-4B73-9C9A-65EC8F9B866F}"/>
            </c:ext>
          </c:extLst>
        </c:ser>
        <c:ser>
          <c:idx val="1"/>
          <c:order val="3"/>
          <c:tx>
            <c:v>Renewable Fuel</c:v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Supply'!$AO$5:$AO$82</c:f>
              <c:numCache>
                <c:formatCode>0.00</c:formatCode>
                <c:ptCount val="78"/>
                <c:pt idx="0">
                  <c:v>39.299999999999997</c:v>
                </c:pt>
                <c:pt idx="1">
                  <c:v>39.986022992891485</c:v>
                </c:pt>
                <c:pt idx="2">
                  <c:v>38.730437968636451</c:v>
                </c:pt>
                <c:pt idx="3">
                  <c:v>39.804345342535051</c:v>
                </c:pt>
                <c:pt idx="4">
                  <c:v>39.86952615319845</c:v>
                </c:pt>
                <c:pt idx="5">
                  <c:v>40.520295529004741</c:v>
                </c:pt>
                <c:pt idx="6">
                  <c:v>40.589726498413299</c:v>
                </c:pt>
                <c:pt idx="7">
                  <c:v>41.295981250621161</c:v>
                </c:pt>
                <c:pt idx="8">
                  <c:v>41.493106963403584</c:v>
                </c:pt>
                <c:pt idx="9">
                  <c:v>41.98952353712879</c:v>
                </c:pt>
                <c:pt idx="10">
                  <c:v>42.531721865578049</c:v>
                </c:pt>
                <c:pt idx="11">
                  <c:v>43.182684551478673</c:v>
                </c:pt>
                <c:pt idx="12">
                  <c:v>43.918310943717501</c:v>
                </c:pt>
                <c:pt idx="13">
                  <c:v>44.744532312378077</c:v>
                </c:pt>
                <c:pt idx="14">
                  <c:v>45.439800664839424</c:v>
                </c:pt>
                <c:pt idx="15">
                  <c:v>45.98060693378595</c:v>
                </c:pt>
                <c:pt idx="16">
                  <c:v>46.505631461994646</c:v>
                </c:pt>
                <c:pt idx="17">
                  <c:v>47.030654876876021</c:v>
                </c:pt>
                <c:pt idx="18">
                  <c:v>47.534979133617526</c:v>
                </c:pt>
                <c:pt idx="19">
                  <c:v>47.982528190695682</c:v>
                </c:pt>
                <c:pt idx="20">
                  <c:v>48.324510140402808</c:v>
                </c:pt>
                <c:pt idx="21">
                  <c:v>48.4974664415437</c:v>
                </c:pt>
                <c:pt idx="22">
                  <c:v>48.418077571534141</c:v>
                </c:pt>
                <c:pt idx="23">
                  <c:v>47.974619135103168</c:v>
                </c:pt>
                <c:pt idx="24">
                  <c:v>47.013765463796354</c:v>
                </c:pt>
                <c:pt idx="25">
                  <c:v>45.320547797619007</c:v>
                </c:pt>
                <c:pt idx="26">
                  <c:v>42.591058583916293</c:v>
                </c:pt>
                <c:pt idx="27">
                  <c:v>38.416192113610691</c:v>
                </c:pt>
                <c:pt idx="28">
                  <c:v>37.351346370107777</c:v>
                </c:pt>
                <c:pt idx="29">
                  <c:v>36.573779146505778</c:v>
                </c:pt>
                <c:pt idx="30">
                  <c:v>35.977720900103705</c:v>
                </c:pt>
                <c:pt idx="31">
                  <c:v>35.495428808503384</c:v>
                </c:pt>
                <c:pt idx="32">
                  <c:v>35.08308667877251</c:v>
                </c:pt>
                <c:pt idx="33">
                  <c:v>34.712141220953356</c:v>
                </c:pt>
                <c:pt idx="34">
                  <c:v>34.364182931298934</c:v>
                </c:pt>
                <c:pt idx="35">
                  <c:v>34.027412963331777</c:v>
                </c:pt>
                <c:pt idx="36">
                  <c:v>33.6944009457468</c:v>
                </c:pt>
                <c:pt idx="37">
                  <c:v>33.360680615139707</c:v>
                </c:pt>
                <c:pt idx="38">
                  <c:v>33.023787085996396</c:v>
                </c:pt>
                <c:pt idx="39">
                  <c:v>32.682596497043498</c:v>
                </c:pt>
                <c:pt idx="40">
                  <c:v>32.336863963050199</c:v>
                </c:pt>
                <c:pt idx="41">
                  <c:v>31.98697630718204</c:v>
                </c:pt>
                <c:pt idx="42">
                  <c:v>31.633663221614867</c:v>
                </c:pt>
                <c:pt idx="43">
                  <c:v>31.277877026026882</c:v>
                </c:pt>
                <c:pt idx="44">
                  <c:v>30.920678174352954</c:v>
                </c:pt>
                <c:pt idx="45">
                  <c:v>30.563215913656371</c:v>
                </c:pt>
                <c:pt idx="46">
                  <c:v>30.206597159803334</c:v>
                </c:pt>
                <c:pt idx="47">
                  <c:v>29.851912889302646</c:v>
                </c:pt>
                <c:pt idx="48">
                  <c:v>29.500205237241712</c:v>
                </c:pt>
                <c:pt idx="49">
                  <c:v>29.152496352865523</c:v>
                </c:pt>
                <c:pt idx="50">
                  <c:v>28.809748245000193</c:v>
                </c:pt>
                <c:pt idx="51">
                  <c:v>28.472780421574274</c:v>
                </c:pt>
                <c:pt idx="52">
                  <c:v>28.142392424016585</c:v>
                </c:pt>
                <c:pt idx="53">
                  <c:v>27.819284240307763</c:v>
                </c:pt>
                <c:pt idx="54">
                  <c:v>27.504084414733793</c:v>
                </c:pt>
                <c:pt idx="55">
                  <c:v>27.197362479827234</c:v>
                </c:pt>
                <c:pt idx="56">
                  <c:v>26.899611008066397</c:v>
                </c:pt>
                <c:pt idx="57">
                  <c:v>26.611217713981823</c:v>
                </c:pt>
                <c:pt idx="58">
                  <c:v>26.332543135594076</c:v>
                </c:pt>
                <c:pt idx="59">
                  <c:v>26.063902245931338</c:v>
                </c:pt>
                <c:pt idx="60">
                  <c:v>25.805535089816317</c:v>
                </c:pt>
                <c:pt idx="61">
                  <c:v>25.557683412877072</c:v>
                </c:pt>
                <c:pt idx="62">
                  <c:v>25.320431520825835</c:v>
                </c:pt>
                <c:pt idx="63">
                  <c:v>25.093846425181702</c:v>
                </c:pt>
                <c:pt idx="64">
                  <c:v>24.877896132383253</c:v>
                </c:pt>
                <c:pt idx="65">
                  <c:v>24.672510064768684</c:v>
                </c:pt>
                <c:pt idx="66">
                  <c:v>24.477538910620108</c:v>
                </c:pt>
                <c:pt idx="67">
                  <c:v>24.292800692310113</c:v>
                </c:pt>
                <c:pt idx="68">
                  <c:v>24.118031495286367</c:v>
                </c:pt>
                <c:pt idx="69">
                  <c:v>23.952920981644485</c:v>
                </c:pt>
                <c:pt idx="70">
                  <c:v>23.797113934232613</c:v>
                </c:pt>
                <c:pt idx="71">
                  <c:v>23.650198000663352</c:v>
                </c:pt>
                <c:pt idx="72">
                  <c:v>23.511707278893365</c:v>
                </c:pt>
                <c:pt idx="73">
                  <c:v>23.381181787751029</c:v>
                </c:pt>
                <c:pt idx="74">
                  <c:v>23.258117124485356</c:v>
                </c:pt>
                <c:pt idx="75">
                  <c:v>23.142065476958368</c:v>
                </c:pt>
                <c:pt idx="76">
                  <c:v>23.032547083734354</c:v>
                </c:pt>
                <c:pt idx="77">
                  <c:v>22.929078833980682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8-4B73-9C9A-65EC8F9B866F}"/>
            </c:ext>
          </c:extLst>
        </c:ser>
        <c:ser>
          <c:idx val="0"/>
          <c:order val="4"/>
          <c:tx>
            <c:v>Renewable Electricity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Supply'!$AN$5:$AN$82</c:f>
              <c:numCache>
                <c:formatCode>0.00</c:formatCode>
                <c:ptCount val="78"/>
                <c:pt idx="0">
                  <c:v>28.400000000000002</c:v>
                </c:pt>
                <c:pt idx="1">
                  <c:v>27.693333333333335</c:v>
                </c:pt>
                <c:pt idx="2">
                  <c:v>25.985317118894574</c:v>
                </c:pt>
                <c:pt idx="3">
                  <c:v>29.515917200569472</c:v>
                </c:pt>
                <c:pt idx="4">
                  <c:v>31.492465048014434</c:v>
                </c:pt>
                <c:pt idx="5">
                  <c:v>33.499978587007945</c:v>
                </c:pt>
                <c:pt idx="6">
                  <c:v>34.788676413431922</c:v>
                </c:pt>
                <c:pt idx="7">
                  <c:v>36.844945524973163</c:v>
                </c:pt>
                <c:pt idx="8">
                  <c:v>38.527186850047315</c:v>
                </c:pt>
                <c:pt idx="9">
                  <c:v>40.798915258584088</c:v>
                </c:pt>
                <c:pt idx="10">
                  <c:v>43.140174410381249</c:v>
                </c:pt>
                <c:pt idx="11">
                  <c:v>45.633102924433565</c:v>
                </c:pt>
                <c:pt idx="12">
                  <c:v>48.319586897828053</c:v>
                </c:pt>
                <c:pt idx="13">
                  <c:v>51.257743055807765</c:v>
                </c:pt>
                <c:pt idx="14">
                  <c:v>54.433821451160796</c:v>
                </c:pt>
                <c:pt idx="15">
                  <c:v>58.024444380937766</c:v>
                </c:pt>
                <c:pt idx="16">
                  <c:v>62.099024376114528</c:v>
                </c:pt>
                <c:pt idx="17">
                  <c:v>66.562356470503687</c:v>
                </c:pt>
                <c:pt idx="18">
                  <c:v>71.389131695668112</c:v>
                </c:pt>
                <c:pt idx="19">
                  <c:v>76.607754127433594</c:v>
                </c:pt>
                <c:pt idx="20">
                  <c:v>82.263573629632262</c:v>
                </c:pt>
                <c:pt idx="21">
                  <c:v>88.407156486145226</c:v>
                </c:pt>
                <c:pt idx="22">
                  <c:v>95.098519948785878</c:v>
                </c:pt>
                <c:pt idx="23">
                  <c:v>102.41017620258847</c:v>
                </c:pt>
                <c:pt idx="24">
                  <c:v>110.42406830850615</c:v>
                </c:pt>
                <c:pt idx="25">
                  <c:v>119.22303058189405</c:v>
                </c:pt>
                <c:pt idx="26">
                  <c:v>128.87672417380176</c:v>
                </c:pt>
                <c:pt idx="27">
                  <c:v>139.41878082348461</c:v>
                </c:pt>
                <c:pt idx="28">
                  <c:v>151.14657518947513</c:v>
                </c:pt>
                <c:pt idx="29">
                  <c:v>162.5222440531962</c:v>
                </c:pt>
                <c:pt idx="30">
                  <c:v>173.62312752596227</c:v>
                </c:pt>
                <c:pt idx="31">
                  <c:v>184.48998789706934</c:v>
                </c:pt>
                <c:pt idx="32">
                  <c:v>194.90476543472158</c:v>
                </c:pt>
                <c:pt idx="33">
                  <c:v>204.4306161851008</c:v>
                </c:pt>
                <c:pt idx="34">
                  <c:v>212.55381413096936</c:v>
                </c:pt>
                <c:pt idx="35">
                  <c:v>218.84763136196551</c:v>
                </c:pt>
                <c:pt idx="36">
                  <c:v>223.10778891350918</c:v>
                </c:pt>
                <c:pt idx="37">
                  <c:v>225.42404524800602</c:v>
                </c:pt>
                <c:pt idx="38">
                  <c:v>226.15808259960338</c:v>
                </c:pt>
                <c:pt idx="39">
                  <c:v>225.822380919523</c:v>
                </c:pt>
                <c:pt idx="40">
                  <c:v>224.90389094394908</c:v>
                </c:pt>
                <c:pt idx="41">
                  <c:v>223.71549240715515</c:v>
                </c:pt>
                <c:pt idx="42">
                  <c:v>222.35072963109099</c:v>
                </c:pt>
                <c:pt idx="43">
                  <c:v>220.75024909623181</c:v>
                </c:pt>
                <c:pt idx="44">
                  <c:v>218.82756086373277</c:v>
                </c:pt>
                <c:pt idx="45">
                  <c:v>216.57522982423234</c:v>
                </c:pt>
                <c:pt idx="46">
                  <c:v>214.09857761240875</c:v>
                </c:pt>
                <c:pt idx="47">
                  <c:v>211.56689059062751</c:v>
                </c:pt>
                <c:pt idx="48">
                  <c:v>209.12516731671087</c:v>
                </c:pt>
                <c:pt idx="49">
                  <c:v>206.82591937818265</c:v>
                </c:pt>
                <c:pt idx="50">
                  <c:v>204.62377586108931</c:v>
                </c:pt>
                <c:pt idx="51">
                  <c:v>202.42827927895445</c:v>
                </c:pt>
                <c:pt idx="52">
                  <c:v>200.1731875266359</c:v>
                </c:pt>
                <c:pt idx="53">
                  <c:v>197.86183875904794</c:v>
                </c:pt>
                <c:pt idx="54">
                  <c:v>195.56142585680971</c:v>
                </c:pt>
                <c:pt idx="55">
                  <c:v>193.35736231563766</c:v>
                </c:pt>
                <c:pt idx="56">
                  <c:v>191.30109437711781</c:v>
                </c:pt>
                <c:pt idx="57">
                  <c:v>189.38500629743149</c:v>
                </c:pt>
                <c:pt idx="58">
                  <c:v>187.55636405514383</c:v>
                </c:pt>
                <c:pt idx="59">
                  <c:v>185.75820595964365</c:v>
                </c:pt>
                <c:pt idx="60">
                  <c:v>183.96707332080499</c:v>
                </c:pt>
                <c:pt idx="61">
                  <c:v>182.20393448207057</c:v>
                </c:pt>
                <c:pt idx="62">
                  <c:v>180.51738204082514</c:v>
                </c:pt>
                <c:pt idx="63">
                  <c:v>178.94866645190012</c:v>
                </c:pt>
                <c:pt idx="64">
                  <c:v>177.50748446579576</c:v>
                </c:pt>
                <c:pt idx="65">
                  <c:v>176.16931461971831</c:v>
                </c:pt>
                <c:pt idx="66">
                  <c:v>174.89514562300934</c:v>
                </c:pt>
                <c:pt idx="67">
                  <c:v>173.65656552221608</c:v>
                </c:pt>
                <c:pt idx="68">
                  <c:v>172.45130519716551</c:v>
                </c:pt>
                <c:pt idx="69">
                  <c:v>171.29939425078672</c:v>
                </c:pt>
                <c:pt idx="70">
                  <c:v>170.2260671866118</c:v>
                </c:pt>
                <c:pt idx="71">
                  <c:v>169.24363278070507</c:v>
                </c:pt>
                <c:pt idx="72">
                  <c:v>168.34356105935581</c:v>
                </c:pt>
                <c:pt idx="73">
                  <c:v>167.50220839962745</c:v>
                </c:pt>
                <c:pt idx="74">
                  <c:v>166.69588872720422</c:v>
                </c:pt>
                <c:pt idx="75">
                  <c:v>165.91265132642548</c:v>
                </c:pt>
                <c:pt idx="76">
                  <c:v>165.15669482656889</c:v>
                </c:pt>
                <c:pt idx="77">
                  <c:v>164.44106170395577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8-4B73-9C9A-65EC8F9B866F}"/>
            </c:ext>
          </c:extLst>
        </c:ser>
        <c:ser>
          <c:idx val="6"/>
          <c:order val="6"/>
          <c:tx>
            <c:v>Nuclear</c:v>
          </c:tx>
          <c:spPr>
            <a:solidFill>
              <a:srgbClr val="7030A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Supply'!$AM$5:$AM$82</c:f>
              <c:numCache>
                <c:formatCode>0.00</c:formatCode>
                <c:ptCount val="78"/>
                <c:pt idx="0">
                  <c:v>9.6999999999999993</c:v>
                </c:pt>
                <c:pt idx="1">
                  <c:v>8.7687170714648648</c:v>
                </c:pt>
                <c:pt idx="2">
                  <c:v>10.062141860907014</c:v>
                </c:pt>
                <c:pt idx="3">
                  <c:v>11.068695963593438</c:v>
                </c:pt>
                <c:pt idx="4">
                  <c:v>12.00691941167627</c:v>
                </c:pt>
                <c:pt idx="5">
                  <c:v>12.730862163021071</c:v>
                </c:pt>
                <c:pt idx="6">
                  <c:v>13.737483960539999</c:v>
                </c:pt>
                <c:pt idx="7">
                  <c:v>14.67642798076975</c:v>
                </c:pt>
                <c:pt idx="8">
                  <c:v>15.873982470155605</c:v>
                </c:pt>
                <c:pt idx="9">
                  <c:v>17.148575318758429</c:v>
                </c:pt>
                <c:pt idx="10">
                  <c:v>18.513450275976499</c:v>
                </c:pt>
                <c:pt idx="11">
                  <c:v>19.986222999145436</c:v>
                </c:pt>
                <c:pt idx="12">
                  <c:v>21.582811098388085</c:v>
                </c:pt>
                <c:pt idx="13">
                  <c:v>23.295502184269342</c:v>
                </c:pt>
                <c:pt idx="14">
                  <c:v>25.185004594053261</c:v>
                </c:pt>
                <c:pt idx="15">
                  <c:v>27.236687663971725</c:v>
                </c:pt>
                <c:pt idx="16">
                  <c:v>29.326220947495163</c:v>
                </c:pt>
                <c:pt idx="17">
                  <c:v>31.330822554725462</c:v>
                </c:pt>
                <c:pt idx="18">
                  <c:v>33.133690057075178</c:v>
                </c:pt>
                <c:pt idx="19">
                  <c:v>34.605790835942059</c:v>
                </c:pt>
                <c:pt idx="20">
                  <c:v>35.606191475324223</c:v>
                </c:pt>
                <c:pt idx="21">
                  <c:v>35.999231560371193</c:v>
                </c:pt>
                <c:pt idx="22">
                  <c:v>35.677106586372069</c:v>
                </c:pt>
                <c:pt idx="23">
                  <c:v>34.581237143494747</c:v>
                </c:pt>
                <c:pt idx="24">
                  <c:v>32.718283769026065</c:v>
                </c:pt>
                <c:pt idx="25">
                  <c:v>30.166200723441676</c:v>
                </c:pt>
                <c:pt idx="26">
                  <c:v>27.066685910095178</c:v>
                </c:pt>
                <c:pt idx="27">
                  <c:v>23.605146720664052</c:v>
                </c:pt>
                <c:pt idx="28">
                  <c:v>19.798932615457783</c:v>
                </c:pt>
                <c:pt idx="29">
                  <c:v>16.033718743144476</c:v>
                </c:pt>
                <c:pt idx="30">
                  <c:v>12.599981122064012</c:v>
                </c:pt>
                <c:pt idx="31">
                  <c:v>9.633667751595798</c:v>
                </c:pt>
                <c:pt idx="32">
                  <c:v>7.1736702811948776</c:v>
                </c:pt>
                <c:pt idx="33">
                  <c:v>5.2061879168586209</c:v>
                </c:pt>
                <c:pt idx="34">
                  <c:v>3.6874683605636212</c:v>
                </c:pt>
                <c:pt idx="35">
                  <c:v>2.5556609886172885</c:v>
                </c:pt>
                <c:pt idx="36">
                  <c:v>1.7399422380883689</c:v>
                </c:pt>
                <c:pt idx="37">
                  <c:v>1.169150182669066</c:v>
                </c:pt>
                <c:pt idx="38">
                  <c:v>0.77901287857764345</c:v>
                </c:pt>
                <c:pt idx="39">
                  <c:v>0.51661876591095812</c:v>
                </c:pt>
                <c:pt idx="40">
                  <c:v>0.34172137118009632</c:v>
                </c:pt>
                <c:pt idx="41">
                  <c:v>0.22558346926268719</c:v>
                </c:pt>
                <c:pt idx="42">
                  <c:v>0.14857355697788888</c:v>
                </c:pt>
                <c:pt idx="43">
                  <c:v>9.7594633457771765E-2</c:v>
                </c:pt>
                <c:pt idx="44">
                  <c:v>6.3953484467239516E-2</c:v>
                </c:pt>
                <c:pt idx="45">
                  <c:v>4.1845793356229288E-2</c:v>
                </c:pt>
                <c:pt idx="46">
                  <c:v>2.7371556328513499E-2</c:v>
                </c:pt>
                <c:pt idx="47">
                  <c:v>1.791365649661324E-2</c:v>
                </c:pt>
                <c:pt idx="48">
                  <c:v>1.1732521441124771E-2</c:v>
                </c:pt>
                <c:pt idx="49">
                  <c:v>7.6867576143480739E-3</c:v>
                </c:pt>
                <c:pt idx="50">
                  <c:v>5.0347463730893256E-3</c:v>
                </c:pt>
                <c:pt idx="51">
                  <c:v>3.2957044686391852E-3</c:v>
                </c:pt>
                <c:pt idx="52">
                  <c:v>2.1563984974418116E-3</c:v>
                </c:pt>
                <c:pt idx="53">
                  <c:v>1.4111160135996546E-3</c:v>
                </c:pt>
                <c:pt idx="54">
                  <c:v>9.2407497656571413E-4</c:v>
                </c:pt>
                <c:pt idx="55">
                  <c:v>6.0573978883883572E-4</c:v>
                </c:pt>
                <c:pt idx="56">
                  <c:v>3.9740894117987349E-4</c:v>
                </c:pt>
                <c:pt idx="57">
                  <c:v>2.6084557503358797E-4</c:v>
                </c:pt>
                <c:pt idx="58">
                  <c:v>1.7122414047846251E-4</c:v>
                </c:pt>
                <c:pt idx="59">
                  <c:v>1.1239584917066591E-4</c:v>
                </c:pt>
                <c:pt idx="60">
                  <c:v>7.3798396830608359E-5</c:v>
                </c:pt>
                <c:pt idx="61">
                  <c:v>4.8487255025727937E-5</c:v>
                </c:pt>
                <c:pt idx="62">
                  <c:v>3.1887123978715194E-5</c:v>
                </c:pt>
                <c:pt idx="63">
                  <c:v>2.0990221142279473E-5</c:v>
                </c:pt>
                <c:pt idx="64">
                  <c:v>1.3827180176487013E-5</c:v>
                </c:pt>
                <c:pt idx="65">
                  <c:v>9.1124972286999983E-6</c:v>
                </c:pt>
                <c:pt idx="66">
                  <c:v>6.0069615300719083E-6</c:v>
                </c:pt>
                <c:pt idx="67">
                  <c:v>3.961009239066498E-6</c:v>
                </c:pt>
                <c:pt idx="68">
                  <c:v>2.6132216368753776E-6</c:v>
                </c:pt>
                <c:pt idx="69">
                  <c:v>1.7252506149203695E-6</c:v>
                </c:pt>
                <c:pt idx="70">
                  <c:v>1.1398864379707535E-6</c:v>
                </c:pt>
                <c:pt idx="71">
                  <c:v>7.5362928262027471E-7</c:v>
                </c:pt>
                <c:pt idx="72">
                  <c:v>4.9848355172093676E-7</c:v>
                </c:pt>
                <c:pt idx="73">
                  <c:v>3.2980967162864566E-7</c:v>
                </c:pt>
                <c:pt idx="74">
                  <c:v>2.18257059379716E-7</c:v>
                </c:pt>
                <c:pt idx="75">
                  <c:v>1.4447539095295117E-7</c:v>
                </c:pt>
                <c:pt idx="76">
                  <c:v>9.5673220781033308E-8</c:v>
                </c:pt>
                <c:pt idx="77">
                  <c:v>9.2312069053004329E-8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8-4B73-9C9A-65EC8F9B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4943"/>
        <c:axId val="376693503"/>
      </c:areaChart>
      <c:lineChart>
        <c:grouping val="standard"/>
        <c:varyColors val="0"/>
        <c:ser>
          <c:idx val="5"/>
          <c:order val="5"/>
          <c:tx>
            <c:v>Demand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multiLvlStrRef>
              <c:f>#REF!$G$1:$GX$1</c:f>
            </c:multiLvlStrRef>
          </c:cat>
          <c:val>
            <c:numRef>
              <c:f>'Model - Demand'!$R$5:$R$82</c:f>
              <c:numCache>
                <c:formatCode>0.00</c:formatCode>
                <c:ptCount val="78"/>
                <c:pt idx="0">
                  <c:v>374.76851130961677</c:v>
                </c:pt>
                <c:pt idx="1">
                  <c:v>376.53743677745337</c:v>
                </c:pt>
                <c:pt idx="2">
                  <c:v>377.96526426932525</c:v>
                </c:pt>
                <c:pt idx="3">
                  <c:v>379.02827975752416</c:v>
                </c:pt>
                <c:pt idx="4">
                  <c:v>379.7337044204495</c:v>
                </c:pt>
                <c:pt idx="5">
                  <c:v>380.05003863819991</c:v>
                </c:pt>
                <c:pt idx="6">
                  <c:v>379.97034115365204</c:v>
                </c:pt>
                <c:pt idx="7">
                  <c:v>379.48964339608017</c:v>
                </c:pt>
                <c:pt idx="8">
                  <c:v>378.60212610875942</c:v>
                </c:pt>
                <c:pt idx="9">
                  <c:v>377.29993348470833</c:v>
                </c:pt>
                <c:pt idx="10">
                  <c:v>375.57724469979104</c:v>
                </c:pt>
                <c:pt idx="11">
                  <c:v>373.43094991305566</c:v>
                </c:pt>
                <c:pt idx="12">
                  <c:v>370.85861569488281</c:v>
                </c:pt>
                <c:pt idx="13">
                  <c:v>367.85644784837973</c:v>
                </c:pt>
                <c:pt idx="14">
                  <c:v>364.42359084955319</c:v>
                </c:pt>
                <c:pt idx="15">
                  <c:v>360.55714998497297</c:v>
                </c:pt>
                <c:pt idx="16">
                  <c:v>356.26128742207891</c:v>
                </c:pt>
                <c:pt idx="17">
                  <c:v>351.53744041979382</c:v>
                </c:pt>
                <c:pt idx="18">
                  <c:v>346.39196298150614</c:v>
                </c:pt>
                <c:pt idx="19">
                  <c:v>340.82593884405901</c:v>
                </c:pt>
                <c:pt idx="20">
                  <c:v>334.84795379527617</c:v>
                </c:pt>
                <c:pt idx="21">
                  <c:v>328.46822411167864</c:v>
                </c:pt>
                <c:pt idx="22">
                  <c:v>321.69530601878864</c:v>
                </c:pt>
                <c:pt idx="23">
                  <c:v>314.53953608155541</c:v>
                </c:pt>
                <c:pt idx="24">
                  <c:v>307.01554066528882</c:v>
                </c:pt>
                <c:pt idx="25">
                  <c:v>299.13644073798451</c:v>
                </c:pt>
                <c:pt idx="26">
                  <c:v>290.92017033091531</c:v>
                </c:pt>
                <c:pt idx="27">
                  <c:v>289.26777929776273</c:v>
                </c:pt>
                <c:pt idx="28">
                  <c:v>287.46322276477957</c:v>
                </c:pt>
                <c:pt idx="29">
                  <c:v>285.5129947041986</c:v>
                </c:pt>
                <c:pt idx="30">
                  <c:v>283.42434898054807</c:v>
                </c:pt>
                <c:pt idx="31">
                  <c:v>281.20620379455875</c:v>
                </c:pt>
                <c:pt idx="32">
                  <c:v>278.86636990816754</c:v>
                </c:pt>
                <c:pt idx="33">
                  <c:v>276.41776601343827</c:v>
                </c:pt>
                <c:pt idx="34">
                  <c:v>273.87160801618097</c:v>
                </c:pt>
                <c:pt idx="35">
                  <c:v>271.23854321310966</c:v>
                </c:pt>
                <c:pt idx="36">
                  <c:v>268.53028220222558</c:v>
                </c:pt>
                <c:pt idx="37">
                  <c:v>265.75887974155916</c:v>
                </c:pt>
                <c:pt idx="38">
                  <c:v>262.9363451237806</c:v>
                </c:pt>
                <c:pt idx="39">
                  <c:v>260.07421415675651</c:v>
                </c:pt>
                <c:pt idx="40">
                  <c:v>257.18500105628789</c:v>
                </c:pt>
                <c:pt idx="41">
                  <c:v>254.27942916330025</c:v>
                </c:pt>
                <c:pt idx="42">
                  <c:v>251.36809929929896</c:v>
                </c:pt>
                <c:pt idx="43">
                  <c:v>248.46073859897325</c:v>
                </c:pt>
                <c:pt idx="44">
                  <c:v>245.5674771489094</c:v>
                </c:pt>
                <c:pt idx="45">
                  <c:v>242.69623917257326</c:v>
                </c:pt>
                <c:pt idx="46">
                  <c:v>239.85523479894132</c:v>
                </c:pt>
                <c:pt idx="47">
                  <c:v>237.05186142310777</c:v>
                </c:pt>
                <c:pt idx="48">
                  <c:v>234.29380319331369</c:v>
                </c:pt>
                <c:pt idx="49">
                  <c:v>231.58775230053493</c:v>
                </c:pt>
                <c:pt idx="50">
                  <c:v>228.93819096490739</c:v>
                </c:pt>
                <c:pt idx="51">
                  <c:v>226.35116824198141</c:v>
                </c:pt>
                <c:pt idx="52">
                  <c:v>223.83089998205503</c:v>
                </c:pt>
                <c:pt idx="53">
                  <c:v>221.38145479526361</c:v>
                </c:pt>
                <c:pt idx="54">
                  <c:v>219.00663200984252</c:v>
                </c:pt>
                <c:pt idx="55">
                  <c:v>216.70940853764472</c:v>
                </c:pt>
                <c:pt idx="56">
                  <c:v>214.4915834790219</c:v>
                </c:pt>
                <c:pt idx="57">
                  <c:v>212.35578572791107</c:v>
                </c:pt>
                <c:pt idx="58">
                  <c:v>210.30405334667608</c:v>
                </c:pt>
                <c:pt idx="59">
                  <c:v>208.33745497765329</c:v>
                </c:pt>
                <c:pt idx="60">
                  <c:v>206.45808143311092</c:v>
                </c:pt>
                <c:pt idx="61">
                  <c:v>204.66470330280472</c:v>
                </c:pt>
                <c:pt idx="62">
                  <c:v>202.9577712243879</c:v>
                </c:pt>
                <c:pt idx="63">
                  <c:v>201.33588567850279</c:v>
                </c:pt>
                <c:pt idx="64">
                  <c:v>199.79811187881947</c:v>
                </c:pt>
                <c:pt idx="65">
                  <c:v>198.34235968644873</c:v>
                </c:pt>
                <c:pt idx="66">
                  <c:v>196.96685842385082</c:v>
                </c:pt>
                <c:pt idx="67">
                  <c:v>195.66853602879488</c:v>
                </c:pt>
                <c:pt idx="68">
                  <c:v>194.44438776421498</c:v>
                </c:pt>
                <c:pt idx="69">
                  <c:v>193.29105353838631</c:v>
                </c:pt>
                <c:pt idx="70">
                  <c:v>192.20454167766599</c:v>
                </c:pt>
                <c:pt idx="71">
                  <c:v>191.18045891322467</c:v>
                </c:pt>
                <c:pt idx="72">
                  <c:v>190.21520440109941</c:v>
                </c:pt>
                <c:pt idx="73">
                  <c:v>189.30416530073248</c:v>
                </c:pt>
                <c:pt idx="74">
                  <c:v>188.44446206990449</c:v>
                </c:pt>
                <c:pt idx="75">
                  <c:v>187.63182273112051</c:v>
                </c:pt>
                <c:pt idx="76">
                  <c:v>186.8623026825411</c:v>
                </c:pt>
                <c:pt idx="77">
                  <c:v>186.13269839360865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08-4B73-9C9A-65EC8F9B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94943"/>
        <c:axId val="376693503"/>
      </c:lineChart>
      <c:catAx>
        <c:axId val="37669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76693503"/>
        <c:crosses val="autoZero"/>
        <c:auto val="1"/>
        <c:lblAlgn val="ctr"/>
        <c:lblOffset val="20"/>
        <c:tickLblSkip val="20"/>
        <c:tickMarkSkip val="10"/>
        <c:noMultiLvlLbl val="0"/>
      </c:catAx>
      <c:valAx>
        <c:axId val="3766935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766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294804064343099E-2"/>
          <c:y val="0.77417799497676143"/>
          <c:w val="0.9204545194684618"/>
          <c:h val="0.216641590313903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'Scenario Picker'!$B$36" horiz="1" max="80" min="1" page="10" val="26"/>
</file>

<file path=xl/ctrlProps/ctrlProp2.xml><?xml version="1.0" encoding="utf-8"?>
<formControlPr xmlns="http://schemas.microsoft.com/office/spreadsheetml/2009/9/main" objectType="Scroll" dx="22" fmlaLink="'Scenario Picker'!$B$35" max="100" page="10" val="100"/>
</file>

<file path=xl/ctrlProps/ctrlProp3.xml><?xml version="1.0" encoding="utf-8"?>
<formControlPr xmlns="http://schemas.microsoft.com/office/spreadsheetml/2009/9/main" objectType="Drop" dropLines="11" dropStyle="combo" dx="26" fmlaLink="'Scenario Picker'!$A$24" fmlaRange="'Scenario Picker'!$B$23:$B$33" noThreeD="1" sel="2" val="0"/>
</file>

<file path=xl/ctrlProps/ctrlProp4.xml><?xml version="1.0" encoding="utf-8"?>
<formControlPr xmlns="http://schemas.microsoft.com/office/spreadsheetml/2009/9/main" objectType="Drop" dropStyle="combo" dx="26" fmlaLink="'Scenario Picker'!$A$19" fmlaRange="'Scenario Picker'!$B$18:$B$21" noThreeD="1" sel="1" val="0"/>
</file>

<file path=xl/ctrlProps/ctrlProp5.xml><?xml version="1.0" encoding="utf-8"?>
<formControlPr xmlns="http://schemas.microsoft.com/office/spreadsheetml/2009/9/main" objectType="Drop" dropStyle="combo" dx="26" fmlaLink="'Scenario Picker'!$A$15" fmlaRange="'Scenario Picker'!$B$14:$B$1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167531</xdr:rowOff>
    </xdr:from>
    <xdr:to>
      <xdr:col>19</xdr:col>
      <xdr:colOff>487508</xdr:colOff>
      <xdr:row>34</xdr:row>
      <xdr:rowOff>19042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FFA5A1-C678-D085-2724-FBC7C1D7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681" y="686340"/>
          <a:ext cx="11479763" cy="5212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504825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FC4F3-3E59-4AF2-ACB5-8CFFD6F0A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403860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C99AD-6DD8-43B6-9EB1-451F2EB1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</xdr:rowOff>
    </xdr:from>
    <xdr:to>
      <xdr:col>10</xdr:col>
      <xdr:colOff>409574</xdr:colOff>
      <xdr:row>36</xdr:row>
      <xdr:rowOff>123826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B16A286-E929-48D9-B64B-B99BAB815124}"/>
            </a:ext>
          </a:extLst>
        </xdr:cNvPr>
        <xdr:cNvGrpSpPr/>
      </xdr:nvGrpSpPr>
      <xdr:grpSpPr>
        <a:xfrm>
          <a:off x="208547" y="2646948"/>
          <a:ext cx="5895974" cy="3829552"/>
          <a:chOff x="7867651" y="2524125"/>
          <a:chExt cx="5895974" cy="3355086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D5667E0-4757-5FBA-9273-8FAEEDBF8FF3}"/>
              </a:ext>
            </a:extLst>
          </xdr:cNvPr>
          <xdr:cNvGraphicFramePr>
            <a:graphicFrameLocks/>
          </xdr:cNvGraphicFramePr>
        </xdr:nvGraphicFramePr>
        <xdr:xfrm>
          <a:off x="7867651" y="2524125"/>
          <a:ext cx="5895974" cy="3355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9635" name="Scroll Bar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0000-000003100100}"/>
                  </a:ext>
                </a:extLst>
              </xdr:cNvPr>
              <xdr:cNvSpPr/>
            </xdr:nvSpPr>
            <xdr:spPr bwMode="auto">
              <a:xfrm>
                <a:off x="9715501" y="4962697"/>
                <a:ext cx="3705224" cy="17136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9636" name="Scroll Bar 4" hidden="1">
                <a:extLst>
                  <a:ext uri="{63B3BB69-23CF-44E3-9099-C40C66FF867C}">
                    <a14:compatExt spid="_x0000_s69636"/>
                  </a:ext>
                  <a:ext uri="{FF2B5EF4-FFF2-40B4-BE49-F238E27FC236}">
                    <a16:creationId xmlns:a16="http://schemas.microsoft.com/office/drawing/2014/main" id="{00000000-0008-0000-0000-000004100100}"/>
                  </a:ext>
                </a:extLst>
              </xdr:cNvPr>
              <xdr:cNvSpPr/>
            </xdr:nvSpPr>
            <xdr:spPr bwMode="auto">
              <a:xfrm>
                <a:off x="9127332" y="3155156"/>
                <a:ext cx="180000" cy="1654053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</xdr:grpSp>
    <xdr:clientData/>
  </xdr:twoCellAnchor>
  <xdr:twoCellAnchor>
    <xdr:from>
      <xdr:col>10</xdr:col>
      <xdr:colOff>485775</xdr:colOff>
      <xdr:row>0</xdr:row>
      <xdr:rowOff>161924</xdr:rowOff>
    </xdr:from>
    <xdr:to>
      <xdr:col>18</xdr:col>
      <xdr:colOff>446545</xdr:colOff>
      <xdr:row>19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B2E93-7D57-4EDE-94FC-3CF80B620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7</xdr:row>
          <xdr:rowOff>83820</xdr:rowOff>
        </xdr:from>
        <xdr:to>
          <xdr:col>18</xdr:col>
          <xdr:colOff>304800</xdr:colOff>
          <xdr:row>9</xdr:row>
          <xdr:rowOff>30480</xdr:rowOff>
        </xdr:to>
        <xdr:sp macro="" textlink="">
          <xdr:nvSpPr>
            <xdr:cNvPr id="69638" name="Drop Down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00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388620</xdr:colOff>
          <xdr:row>3</xdr:row>
          <xdr:rowOff>15240</xdr:rowOff>
        </xdr:from>
        <xdr:to>
          <xdr:col>10</xdr:col>
          <xdr:colOff>38100</xdr:colOff>
          <xdr:row>4</xdr:row>
          <xdr:rowOff>152400</xdr:rowOff>
        </xdr:to>
        <xdr:sp macro="" textlink="">
          <xdr:nvSpPr>
            <xdr:cNvPr id="69639" name="Drop Down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00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30480</xdr:rowOff>
        </xdr:from>
        <xdr:to>
          <xdr:col>4</xdr:col>
          <xdr:colOff>541020</xdr:colOff>
          <xdr:row>4</xdr:row>
          <xdr:rowOff>167640</xdr:rowOff>
        </xdr:to>
        <xdr:sp macro="" textlink="">
          <xdr:nvSpPr>
            <xdr:cNvPr id="69640" name="Drop Down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00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489284</xdr:colOff>
      <xdr:row>19</xdr:row>
      <xdr:rowOff>88232</xdr:rowOff>
    </xdr:from>
    <xdr:to>
      <xdr:col>18</xdr:col>
      <xdr:colOff>447633</xdr:colOff>
      <xdr:row>36</xdr:row>
      <xdr:rowOff>132340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2F8A8F-ECA4-4043-B763-F6FA4F9E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0.29836</cdr:x>
      <cdr:y>0.78782</cdr:y>
    </cdr:from>
    <cdr:to>
      <cdr:x>0.43926</cdr:x>
      <cdr:y>0.86637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646E26-1728-AA41-F778-1EED56657C29}"/>
            </a:ext>
          </a:extLst>
        </cdr:cNvPr>
        <cdr:cNvSpPr txBox="1"/>
      </cdr:nvSpPr>
      <cdr:spPr>
        <a:xfrm xmlns:a="http://schemas.openxmlformats.org/drawingml/2006/main">
          <a:off x="1751888" y="2998211"/>
          <a:ext cx="827323" cy="29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1"/>
            <a:t>FASTER</a:t>
          </a:r>
        </a:p>
      </cdr:txBody>
    </cdr:sp>
  </cdr:relSizeAnchor>
  <cdr:relSizeAnchor xmlns:cdr="http://schemas.openxmlformats.org/drawingml/2006/chartDrawing">
    <cdr:from>
      <cdr:x>0.8364</cdr:x>
      <cdr:y>0.78136</cdr:y>
    </cdr:from>
    <cdr:to>
      <cdr:x>0.98709</cdr:x>
      <cdr:y>0.85991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195D6EE-496E-F939-44AB-8637DDEE9912}"/>
            </a:ext>
          </a:extLst>
        </cdr:cNvPr>
        <cdr:cNvSpPr txBox="1"/>
      </cdr:nvSpPr>
      <cdr:spPr>
        <a:xfrm xmlns:a="http://schemas.openxmlformats.org/drawingml/2006/main">
          <a:off x="4911097" y="2973626"/>
          <a:ext cx="884806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 b="1"/>
            <a:t>SLOWER</a:t>
          </a:r>
        </a:p>
      </cdr:txBody>
    </cdr:sp>
  </cdr:relSizeAnchor>
  <cdr:relSizeAnchor xmlns:cdr="http://schemas.openxmlformats.org/drawingml/2006/chartDrawing">
    <cdr:from>
      <cdr:x>0.00485</cdr:x>
      <cdr:y>0.1942</cdr:y>
    </cdr:from>
    <cdr:to>
      <cdr:x>0.22456</cdr:x>
      <cdr:y>0.32914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195D6EE-496E-F939-44AB-8637DDEE9912}"/>
            </a:ext>
          </a:extLst>
        </cdr:cNvPr>
        <cdr:cNvSpPr txBox="1"/>
      </cdr:nvSpPr>
      <cdr:spPr>
        <a:xfrm xmlns:a="http://schemas.openxmlformats.org/drawingml/2006/main">
          <a:off x="28595" y="684399"/>
          <a:ext cx="1295405" cy="475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100" b="1"/>
            <a:t>NO ELECTRIFICATION</a:t>
          </a:r>
        </a:p>
      </cdr:txBody>
    </cdr:sp>
  </cdr:relSizeAnchor>
  <cdr:relSizeAnchor xmlns:cdr="http://schemas.openxmlformats.org/drawingml/2006/chartDrawing">
    <cdr:from>
      <cdr:x>0.00539</cdr:x>
      <cdr:y>0.55038</cdr:y>
    </cdr:from>
    <cdr:to>
      <cdr:x>0.22509</cdr:x>
      <cdr:y>0.68533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F1D70BE-EF28-CCE0-DED6-52154C89D907}"/>
            </a:ext>
          </a:extLst>
        </cdr:cNvPr>
        <cdr:cNvSpPr txBox="1"/>
      </cdr:nvSpPr>
      <cdr:spPr>
        <a:xfrm xmlns:a="http://schemas.openxmlformats.org/drawingml/2006/main">
          <a:off x="31779" y="1939671"/>
          <a:ext cx="1295346" cy="475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100" b="1"/>
            <a:t>FULL ELECTRIFICATION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0.78988</cdr:x>
      <cdr:y>0.19162</cdr:y>
    </cdr:from>
    <cdr:to>
      <cdr:x>0.959</cdr:x>
      <cdr:y>0.35262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4067D5-70CA-9CE6-7450-8407D84D414E}"/>
            </a:ext>
          </a:extLst>
        </cdr:cNvPr>
        <cdr:cNvSpPr txBox="1"/>
      </cdr:nvSpPr>
      <cdr:spPr>
        <a:xfrm xmlns:a="http://schemas.openxmlformats.org/drawingml/2006/main">
          <a:off x="3833782" y="593182"/>
          <a:ext cx="820843" cy="49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1100" b="1">
              <a:latin typeface="Century Gothic" panose="020B0502020202020204" pitchFamily="34" charset="0"/>
            </a:rPr>
            <a:t>CLIMATE POLICY</a:t>
          </a:r>
        </a:p>
      </cdr:txBody>
    </cdr:sp>
  </cdr:relSizeAnchor>
  <cdr:relSizeAnchor xmlns:cdr="http://schemas.openxmlformats.org/drawingml/2006/chartDrawing">
    <cdr:from>
      <cdr:x>0.76753</cdr:x>
      <cdr:y>0.48562</cdr:y>
    </cdr:from>
    <cdr:to>
      <cdr:x>1</cdr:x>
      <cdr:y>0.57279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329AFDD-69E2-E6F5-61A5-18D72098CB21}"/>
            </a:ext>
          </a:extLst>
        </cdr:cNvPr>
        <cdr:cNvSpPr txBox="1"/>
      </cdr:nvSpPr>
      <cdr:spPr>
        <a:xfrm xmlns:a="http://schemas.openxmlformats.org/drawingml/2006/main">
          <a:off x="3725279" y="1503295"/>
          <a:ext cx="1128333" cy="269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AU" sz="1050" b="1">
              <a:latin typeface="Century Gothic" panose="020B0502020202020204" pitchFamily="34" charset="0"/>
            </a:rPr>
            <a:t>0 = WEAK</a:t>
          </a:r>
        </a:p>
        <a:p xmlns:a="http://schemas.openxmlformats.org/drawingml/2006/main">
          <a:pPr algn="l"/>
          <a:r>
            <a:rPr lang="en-AU" sz="1050" b="1">
              <a:latin typeface="Century Gothic" panose="020B0502020202020204" pitchFamily="34" charset="0"/>
            </a:rPr>
            <a:t>1 = STRONG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umu.io/JamesWard/gr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DCE3-5B82-4CCF-B3DF-8B794D18A784}">
  <dimension ref="A1:T35"/>
  <sheetViews>
    <sheetView tabSelected="1" zoomScale="134" workbookViewId="0">
      <selection activeCell="B3" sqref="B3"/>
    </sheetView>
  </sheetViews>
  <sheetFormatPr defaultRowHeight="13.8" x14ac:dyDescent="0.3"/>
  <sheetData>
    <row r="1" spans="1:20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" x14ac:dyDescent="0.35">
      <c r="A2" s="92"/>
      <c r="B2" s="93" t="s">
        <v>121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5" x14ac:dyDescent="0.35">
      <c r="A3" s="92"/>
      <c r="B3" s="94" t="s">
        <v>120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1:20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</row>
    <row r="6" spans="1:20" x14ac:dyDescent="0.3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</row>
    <row r="7" spans="1:20" x14ac:dyDescent="0.3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</row>
    <row r="8" spans="1:20" x14ac:dyDescent="0.3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spans="1:20" x14ac:dyDescent="0.3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spans="1:20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spans="1:20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</row>
    <row r="12" spans="1:20" x14ac:dyDescent="0.3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</row>
    <row r="13" spans="1:20" x14ac:dyDescent="0.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</row>
    <row r="14" spans="1:20" x14ac:dyDescent="0.3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</row>
    <row r="15" spans="1:20" x14ac:dyDescent="0.3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</row>
    <row r="16" spans="1:20" x14ac:dyDescent="0.3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</row>
    <row r="17" spans="1:20" x14ac:dyDescent="0.3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</row>
    <row r="18" spans="1:20" x14ac:dyDescent="0.3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</row>
    <row r="19" spans="1:20" x14ac:dyDescent="0.3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</row>
    <row r="20" spans="1:20" x14ac:dyDescent="0.3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</row>
    <row r="21" spans="1:20" x14ac:dyDescent="0.3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</row>
    <row r="22" spans="1:20" x14ac:dyDescent="0.3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</row>
    <row r="23" spans="1:20" x14ac:dyDescent="0.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</row>
    <row r="24" spans="1:20" x14ac:dyDescent="0.3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</row>
    <row r="25" spans="1:20" x14ac:dyDescent="0.3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</row>
    <row r="26" spans="1:20" x14ac:dyDescent="0.3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</row>
    <row r="27" spans="1:20" x14ac:dyDescent="0.3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</row>
    <row r="28" spans="1:20" x14ac:dyDescent="0.3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</row>
    <row r="29" spans="1:20" x14ac:dyDescent="0.3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</row>
    <row r="30" spans="1:20" x14ac:dyDescent="0.3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</row>
    <row r="31" spans="1:20" x14ac:dyDescent="0.3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</row>
    <row r="32" spans="1:20" x14ac:dyDescent="0.3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</row>
    <row r="33" spans="1:20" x14ac:dyDescent="0.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</row>
    <row r="34" spans="1:20" x14ac:dyDescent="0.3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1:20" x14ac:dyDescent="0.3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</sheetData>
  <hyperlinks>
    <hyperlink ref="B3" r:id="rId1" xr:uid="{2C45EB37-DD36-4A82-8694-8C65B8CB553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D8A4-438F-488E-ABF1-E0DC5D3458EB}">
  <dimension ref="A1:T38"/>
  <sheetViews>
    <sheetView topLeftCell="A2" zoomScale="95" zoomScaleNormal="95" workbookViewId="0">
      <selection activeCell="V19" sqref="V19"/>
    </sheetView>
  </sheetViews>
  <sheetFormatPr defaultRowHeight="13.8" x14ac:dyDescent="0.3"/>
  <cols>
    <col min="1" max="1" width="3" customWidth="1"/>
    <col min="19" max="19" width="7.33203125" customWidth="1"/>
    <col min="20" max="20" width="2.4414062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5" r:id="rId3" name="Scroll Bar 3">
              <controlPr defaultSize="0" autoPict="0">
                <anchor moveWithCells="1">
                  <from>
                    <xdr:col>4</xdr:col>
                    <xdr:colOff>22860</xdr:colOff>
                    <xdr:row>30</xdr:row>
                    <xdr:rowOff>137160</xdr:rowOff>
                  </from>
                  <to>
                    <xdr:col>10</xdr:col>
                    <xdr:colOff>68580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4" name="Scroll Bar 4">
              <controlPr defaultSize="0" autoPict="0">
                <anchor moveWithCells="1">
                  <from>
                    <xdr:col>3</xdr:col>
                    <xdr:colOff>38100</xdr:colOff>
                    <xdr:row>19</xdr:row>
                    <xdr:rowOff>15240</xdr:rowOff>
                  </from>
                  <to>
                    <xdr:col>3</xdr:col>
                    <xdr:colOff>220980</xdr:colOff>
                    <xdr:row>29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5" name="Drop Down 6">
              <controlPr defaultSize="0" autoLine="0" autoPict="0">
                <anchor moveWithCells="1">
                  <from>
                    <xdr:col>17</xdr:col>
                    <xdr:colOff>38100</xdr:colOff>
                    <xdr:row>7</xdr:row>
                    <xdr:rowOff>83820</xdr:rowOff>
                  </from>
                  <to>
                    <xdr:col>18</xdr:col>
                    <xdr:colOff>304800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6" name="Drop Down 7">
              <controlPr defaultSize="0" autoLine="0" autoPict="0">
                <anchor moveWithCells="1">
                  <from>
                    <xdr:col>6</xdr:col>
                    <xdr:colOff>388620</xdr:colOff>
                    <xdr:row>3</xdr:row>
                    <xdr:rowOff>15240</xdr:rowOff>
                  </from>
                  <to>
                    <xdr:col>10</xdr:col>
                    <xdr:colOff>38100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7" name="Drop Down 8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30480</xdr:rowOff>
                  </from>
                  <to>
                    <xdr:col>4</xdr:col>
                    <xdr:colOff>541020</xdr:colOff>
                    <xdr:row>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1BD4-F543-451B-B370-BCD1C8493FD4}">
  <dimension ref="A1:J117"/>
  <sheetViews>
    <sheetView zoomScale="99" workbookViewId="0">
      <selection activeCell="D17" sqref="D17"/>
    </sheetView>
  </sheetViews>
  <sheetFormatPr defaultRowHeight="13.8" x14ac:dyDescent="0.3"/>
  <cols>
    <col min="1" max="1" width="55.77734375" customWidth="1"/>
    <col min="2" max="5" width="21.77734375" customWidth="1"/>
    <col min="6" max="10" width="11.44140625" customWidth="1"/>
  </cols>
  <sheetData>
    <row r="1" spans="1:6" ht="15" x14ac:dyDescent="0.35">
      <c r="A1" s="8" t="s">
        <v>27</v>
      </c>
    </row>
    <row r="2" spans="1:6" ht="31.2" x14ac:dyDescent="0.3">
      <c r="A2" s="3" t="s">
        <v>22</v>
      </c>
      <c r="B2" s="3" t="s">
        <v>25</v>
      </c>
      <c r="C2" s="3" t="s">
        <v>23</v>
      </c>
      <c r="D2" s="3" t="s">
        <v>24</v>
      </c>
    </row>
    <row r="3" spans="1:6" ht="15" x14ac:dyDescent="0.3">
      <c r="A3" s="4" t="s">
        <v>18</v>
      </c>
      <c r="B3" s="5">
        <v>2.4E-2</v>
      </c>
      <c r="C3" s="6">
        <v>0.31</v>
      </c>
      <c r="D3" s="6">
        <v>0.2</v>
      </c>
    </row>
    <row r="4" spans="1:6" ht="15" x14ac:dyDescent="0.3">
      <c r="A4" s="4" t="s">
        <v>17</v>
      </c>
      <c r="B4" s="5">
        <v>8.7999999999999995E-2</v>
      </c>
      <c r="C4" s="6">
        <v>0.53</v>
      </c>
      <c r="D4" s="6">
        <v>0.2</v>
      </c>
    </row>
    <row r="5" spans="1:6" ht="15" x14ac:dyDescent="0.3">
      <c r="A5" s="4" t="s">
        <v>19</v>
      </c>
      <c r="B5" s="5">
        <v>1E-3</v>
      </c>
      <c r="C5" s="6">
        <v>0.11</v>
      </c>
      <c r="D5" s="6">
        <v>0.2</v>
      </c>
    </row>
    <row r="6" spans="1:6" ht="15" x14ac:dyDescent="0.3">
      <c r="A6" s="4" t="s">
        <v>14</v>
      </c>
      <c r="B6" s="5">
        <v>0.33700000000000002</v>
      </c>
      <c r="C6" s="6">
        <v>0.28999999999999998</v>
      </c>
      <c r="D6" s="6">
        <v>0.2</v>
      </c>
    </row>
    <row r="7" spans="1:6" ht="15" x14ac:dyDescent="0.3">
      <c r="A7" s="4" t="s">
        <v>20</v>
      </c>
      <c r="B7" s="5">
        <v>1.7000000000000001E-2</v>
      </c>
      <c r="C7" s="6">
        <v>0.62</v>
      </c>
      <c r="D7" s="6">
        <v>0.2</v>
      </c>
    </row>
    <row r="8" spans="1:6" ht="15" x14ac:dyDescent="0.3">
      <c r="A8" s="4" t="s">
        <v>16</v>
      </c>
      <c r="B8" s="5">
        <v>0.22500000000000001</v>
      </c>
      <c r="C8" s="6">
        <v>0.28000000000000003</v>
      </c>
      <c r="D8" s="6">
        <v>0.2</v>
      </c>
    </row>
    <row r="9" spans="1:6" ht="15" x14ac:dyDescent="0.3">
      <c r="A9" s="4" t="s">
        <v>15</v>
      </c>
      <c r="B9" s="5">
        <v>0.308</v>
      </c>
      <c r="C9" s="6">
        <v>0.01</v>
      </c>
      <c r="D9" s="6">
        <v>0.5</v>
      </c>
    </row>
    <row r="12" spans="1:6" ht="15" x14ac:dyDescent="0.35">
      <c r="A12" s="2" t="s">
        <v>26</v>
      </c>
    </row>
    <row r="13" spans="1:6" ht="15" x14ac:dyDescent="0.3">
      <c r="A13" s="3" t="s">
        <v>28</v>
      </c>
      <c r="B13" s="3" t="s">
        <v>29</v>
      </c>
      <c r="C13" s="3" t="s">
        <v>2</v>
      </c>
      <c r="D13" s="3" t="s">
        <v>0</v>
      </c>
      <c r="E13" s="3" t="s">
        <v>1</v>
      </c>
      <c r="F13" s="3" t="s">
        <v>13</v>
      </c>
    </row>
    <row r="14" spans="1:6" ht="16.8" x14ac:dyDescent="0.3">
      <c r="A14" s="4" t="s">
        <v>37</v>
      </c>
      <c r="B14" s="4" t="s">
        <v>30</v>
      </c>
      <c r="C14" s="6">
        <v>0.82</v>
      </c>
      <c r="D14" s="6">
        <v>7.0000000000000007E-2</v>
      </c>
      <c r="E14" s="6">
        <v>0.61</v>
      </c>
      <c r="F14" s="6">
        <v>1</v>
      </c>
    </row>
    <row r="15" spans="1:6" ht="16.8" x14ac:dyDescent="0.3">
      <c r="A15" s="4" t="s">
        <v>38</v>
      </c>
      <c r="B15" s="4" t="s">
        <v>30</v>
      </c>
      <c r="C15" s="6">
        <v>0.23</v>
      </c>
      <c r="D15" s="6">
        <v>0.23</v>
      </c>
      <c r="E15" s="6">
        <v>0.24</v>
      </c>
      <c r="F15" s="6">
        <v>1</v>
      </c>
    </row>
    <row r="16" spans="1:6" ht="16.8" x14ac:dyDescent="0.3">
      <c r="A16" s="4" t="s">
        <v>31</v>
      </c>
      <c r="B16" s="4" t="s">
        <v>5</v>
      </c>
      <c r="C16" s="4">
        <v>175</v>
      </c>
      <c r="D16" s="4">
        <v>159</v>
      </c>
      <c r="E16" s="4">
        <v>138</v>
      </c>
      <c r="F16" s="4">
        <v>9.6999999999999993</v>
      </c>
    </row>
    <row r="17" spans="1:6" ht="16.8" x14ac:dyDescent="0.3">
      <c r="A17" s="4" t="s">
        <v>32</v>
      </c>
      <c r="B17" s="4" t="s">
        <v>21</v>
      </c>
      <c r="C17" s="9">
        <v>25208</v>
      </c>
      <c r="D17" s="9">
        <v>9320</v>
      </c>
      <c r="E17" s="9">
        <v>6974</v>
      </c>
      <c r="F17" s="9">
        <v>1260</v>
      </c>
    </row>
    <row r="18" spans="1:6" ht="16.8" x14ac:dyDescent="0.3">
      <c r="A18" s="4" t="s">
        <v>39</v>
      </c>
      <c r="B18" s="4" t="s">
        <v>33</v>
      </c>
      <c r="C18" s="6">
        <v>0.03</v>
      </c>
      <c r="D18" s="6">
        <v>0.03</v>
      </c>
      <c r="E18" s="6">
        <v>0.03</v>
      </c>
      <c r="F18" s="6">
        <v>0</v>
      </c>
    </row>
    <row r="19" spans="1:6" ht="16.8" x14ac:dyDescent="0.3">
      <c r="A19" s="4" t="s">
        <v>34</v>
      </c>
      <c r="B19" s="4" t="s">
        <v>35</v>
      </c>
      <c r="C19" s="4">
        <v>96.3</v>
      </c>
      <c r="D19" s="4">
        <v>73.3</v>
      </c>
      <c r="E19" s="4">
        <v>56.1</v>
      </c>
      <c r="F19" s="4" t="s">
        <v>36</v>
      </c>
    </row>
    <row r="22" spans="1:6" ht="15" x14ac:dyDescent="0.35">
      <c r="A22" s="2" t="s">
        <v>40</v>
      </c>
    </row>
    <row r="23" spans="1:6" ht="15" x14ac:dyDescent="0.3">
      <c r="A23" s="3" t="s">
        <v>28</v>
      </c>
      <c r="B23" s="3" t="s">
        <v>29</v>
      </c>
      <c r="C23" s="3" t="s">
        <v>7</v>
      </c>
      <c r="D23" s="3" t="s">
        <v>6</v>
      </c>
      <c r="E23" s="3" t="s">
        <v>8</v>
      </c>
    </row>
    <row r="24" spans="1:6" ht="16.8" x14ac:dyDescent="0.3">
      <c r="A24" s="4" t="s">
        <v>41</v>
      </c>
      <c r="B24" s="4" t="s">
        <v>5</v>
      </c>
      <c r="C24" s="4">
        <v>4.7</v>
      </c>
      <c r="D24" s="4">
        <v>7.6</v>
      </c>
      <c r="E24" s="4">
        <v>16.100000000000001</v>
      </c>
    </row>
    <row r="25" spans="1:6" ht="16.8" x14ac:dyDescent="0.3">
      <c r="A25" s="4" t="s">
        <v>42</v>
      </c>
      <c r="B25" s="4" t="s">
        <v>5</v>
      </c>
      <c r="C25" s="4">
        <v>200</v>
      </c>
      <c r="D25" s="4">
        <v>700</v>
      </c>
      <c r="E25" s="4">
        <v>50</v>
      </c>
    </row>
    <row r="26" spans="1:6" ht="16.8" x14ac:dyDescent="0.3">
      <c r="A26" s="4" t="s">
        <v>43</v>
      </c>
      <c r="B26" s="4" t="s">
        <v>36</v>
      </c>
      <c r="C26" s="4">
        <v>15</v>
      </c>
      <c r="D26" s="4">
        <v>20</v>
      </c>
      <c r="E26" s="4">
        <v>70</v>
      </c>
    </row>
    <row r="27" spans="1:6" ht="16.8" x14ac:dyDescent="0.3">
      <c r="A27" s="4" t="s">
        <v>44</v>
      </c>
      <c r="B27" s="4" t="s">
        <v>45</v>
      </c>
      <c r="C27" s="4">
        <v>25</v>
      </c>
      <c r="D27" s="4">
        <v>25</v>
      </c>
      <c r="E27" s="4">
        <v>75</v>
      </c>
    </row>
    <row r="30" spans="1:6" ht="15" x14ac:dyDescent="0.35">
      <c r="A30" s="2" t="s">
        <v>46</v>
      </c>
    </row>
    <row r="31" spans="1:6" ht="15" x14ac:dyDescent="0.3">
      <c r="A31" s="3" t="s">
        <v>28</v>
      </c>
      <c r="B31" s="3" t="s">
        <v>29</v>
      </c>
      <c r="C31" s="3" t="s">
        <v>10</v>
      </c>
    </row>
    <row r="32" spans="1:6" ht="16.8" x14ac:dyDescent="0.3">
      <c r="A32" s="4" t="s">
        <v>47</v>
      </c>
      <c r="B32" s="4" t="s">
        <v>5</v>
      </c>
      <c r="C32" s="4">
        <v>39.299999999999997</v>
      </c>
    </row>
    <row r="33" spans="1:10" ht="16.8" x14ac:dyDescent="0.3">
      <c r="A33" s="4" t="s">
        <v>48</v>
      </c>
      <c r="B33" s="4" t="s">
        <v>5</v>
      </c>
      <c r="C33" s="4">
        <v>200</v>
      </c>
    </row>
    <row r="34" spans="1:10" ht="16.8" x14ac:dyDescent="0.3">
      <c r="A34" s="4" t="s">
        <v>49</v>
      </c>
      <c r="B34" s="4" t="s">
        <v>36</v>
      </c>
      <c r="C34" s="4">
        <v>2</v>
      </c>
    </row>
    <row r="37" spans="1:10" ht="15" x14ac:dyDescent="0.35">
      <c r="A37" s="2" t="s">
        <v>101</v>
      </c>
    </row>
    <row r="38" spans="1:10" ht="30" customHeight="1" x14ac:dyDescent="0.3">
      <c r="A38" s="4"/>
      <c r="B38" s="68" t="s">
        <v>50</v>
      </c>
      <c r="C38" s="68"/>
      <c r="E38" s="69" t="s">
        <v>110</v>
      </c>
      <c r="F38" s="69"/>
      <c r="G38" s="69"/>
      <c r="H38" s="69"/>
      <c r="I38" s="69"/>
      <c r="J38" s="69"/>
    </row>
    <row r="39" spans="1:10" ht="45" x14ac:dyDescent="0.3">
      <c r="A39" s="34" t="s">
        <v>3</v>
      </c>
      <c r="B39" s="34" t="s">
        <v>99</v>
      </c>
      <c r="C39" s="34" t="s">
        <v>100</v>
      </c>
      <c r="E39" s="39" t="s">
        <v>3</v>
      </c>
      <c r="F39" s="39" t="s">
        <v>109</v>
      </c>
      <c r="G39" s="39" t="s">
        <v>111</v>
      </c>
      <c r="H39" s="39" t="s">
        <v>112</v>
      </c>
      <c r="I39" s="39" t="s">
        <v>113</v>
      </c>
      <c r="J39" s="39" t="s">
        <v>114</v>
      </c>
    </row>
    <row r="40" spans="1:10" ht="15" x14ac:dyDescent="0.35">
      <c r="A40" s="36">
        <v>2023</v>
      </c>
      <c r="B40" s="35">
        <v>9.8742444545454546</v>
      </c>
      <c r="C40" s="35">
        <v>9.8742444545454546</v>
      </c>
      <c r="E40" s="18">
        <v>2023</v>
      </c>
      <c r="F40" s="40">
        <v>11.549976299999999</v>
      </c>
      <c r="G40" s="40">
        <v>0</v>
      </c>
      <c r="H40" s="40">
        <v>0</v>
      </c>
      <c r="I40" s="40">
        <v>0</v>
      </c>
      <c r="J40" s="40">
        <f>VLOOKUP(E40,'Model - Scarcity &amp; Growth Rates'!$A$5:$G$82,7)</f>
        <v>9.8860909090909086</v>
      </c>
    </row>
    <row r="41" spans="1:10" ht="15" x14ac:dyDescent="0.35">
      <c r="A41" s="36">
        <v>2024</v>
      </c>
      <c r="B41" s="35">
        <v>8.2285370454545461</v>
      </c>
      <c r="C41" s="35">
        <v>18.102781499999999</v>
      </c>
      <c r="E41" s="18">
        <f>E40+10</f>
        <v>2033</v>
      </c>
      <c r="F41" s="40">
        <v>67.227147661363645</v>
      </c>
      <c r="G41" s="40">
        <v>24.282952338636349</v>
      </c>
      <c r="H41" s="40">
        <v>22.485399999999998</v>
      </c>
      <c r="I41" s="40">
        <v>-10.317099999999996</v>
      </c>
      <c r="J41" s="40">
        <f ca="1">VLOOKUP(E41,'Model - Scarcity &amp; Growth Rates'!$A$5:$G$82,7)</f>
        <v>118.21132919999799</v>
      </c>
    </row>
    <row r="42" spans="1:10" ht="15" x14ac:dyDescent="0.35">
      <c r="A42" s="36">
        <v>2025</v>
      </c>
      <c r="B42" s="35">
        <v>7.405683340909091</v>
      </c>
      <c r="C42" s="35">
        <v>25.508464840909092</v>
      </c>
      <c r="E42" s="18">
        <f t="shared" ref="E42:E48" si="0">E41+10</f>
        <v>2043</v>
      </c>
      <c r="F42" s="40">
        <v>88.209917127272746</v>
      </c>
      <c r="G42" s="40">
        <v>61.759182872727251</v>
      </c>
      <c r="H42" s="40">
        <v>75.482900000000001</v>
      </c>
      <c r="I42" s="40">
        <v>-14.025599999999997</v>
      </c>
      <c r="J42" s="40">
        <f ca="1">VLOOKUP(E42,'Model - Scarcity &amp; Growth Rates'!$A$5:$G$82,7)</f>
        <v>232.81477438411031</v>
      </c>
    </row>
    <row r="43" spans="1:10" ht="15" x14ac:dyDescent="0.35">
      <c r="A43" s="36">
        <v>2026</v>
      </c>
      <c r="B43" s="35">
        <v>6.5828296363636367</v>
      </c>
      <c r="C43" s="35">
        <v>32.091294477272726</v>
      </c>
      <c r="E43" s="18">
        <f t="shared" si="0"/>
        <v>2053</v>
      </c>
      <c r="F43" s="40">
        <v>89.691053795454565</v>
      </c>
      <c r="G43" s="40">
        <v>98.880046204545437</v>
      </c>
      <c r="H43" s="40">
        <v>148.72739999999999</v>
      </c>
      <c r="I43" s="40">
        <v>-2.8811000000000035</v>
      </c>
      <c r="J43" s="40">
        <f ca="1">VLOOKUP(E43,'Model - Scarcity &amp; Growth Rates'!$A$5:$G$82,7)</f>
        <v>306.98375042154333</v>
      </c>
    </row>
    <row r="44" spans="1:10" ht="15" x14ac:dyDescent="0.35">
      <c r="A44" s="36">
        <v>2027</v>
      </c>
      <c r="B44" s="35">
        <v>5.7599759318181816</v>
      </c>
      <c r="C44" s="35">
        <v>37.851270409090908</v>
      </c>
      <c r="E44" s="18">
        <f t="shared" si="0"/>
        <v>2063</v>
      </c>
      <c r="F44" s="40">
        <v>89.691053795454565</v>
      </c>
      <c r="G44" s="40">
        <v>121.90354620454545</v>
      </c>
      <c r="H44" s="40">
        <v>227.8664</v>
      </c>
      <c r="I44" s="40">
        <v>34.297399999999982</v>
      </c>
      <c r="J44" s="40">
        <f ca="1">VLOOKUP(E44,'Model - Scarcity &amp; Growth Rates'!$A$5:$G$82,7)</f>
        <v>326.81177208925743</v>
      </c>
    </row>
    <row r="45" spans="1:10" ht="15" x14ac:dyDescent="0.35">
      <c r="A45" s="36">
        <v>2028</v>
      </c>
      <c r="B45" s="35">
        <v>4.9371222272727273</v>
      </c>
      <c r="C45" s="35">
        <v>42.788392636363639</v>
      </c>
      <c r="E45" s="18">
        <f t="shared" si="0"/>
        <v>2073</v>
      </c>
      <c r="F45" s="40">
        <v>89.691053795454565</v>
      </c>
      <c r="G45" s="40">
        <v>129.57754620454546</v>
      </c>
      <c r="H45" s="40">
        <v>302.7894</v>
      </c>
      <c r="I45" s="40">
        <v>108.35239999999999</v>
      </c>
      <c r="J45" s="40">
        <f ca="1">VLOOKUP(E45,'Model - Scarcity &amp; Growth Rates'!$A$5:$G$82,7)</f>
        <v>328.00751219898871</v>
      </c>
    </row>
    <row r="46" spans="1:10" ht="15" x14ac:dyDescent="0.35">
      <c r="A46" s="36">
        <v>2029</v>
      </c>
      <c r="B46" s="35">
        <v>4.6902661159090906</v>
      </c>
      <c r="C46" s="35">
        <v>47.478658752272729</v>
      </c>
      <c r="E46" s="18">
        <f t="shared" si="0"/>
        <v>2083</v>
      </c>
      <c r="F46" s="40">
        <v>89.691053795454565</v>
      </c>
      <c r="G46" s="40">
        <v>127.99104620454546</v>
      </c>
      <c r="H46" s="40">
        <v>360.87789999999995</v>
      </c>
      <c r="I46" s="40">
        <v>220.78340000000003</v>
      </c>
      <c r="J46" s="40">
        <f ca="1">VLOOKUP(E46,'Model - Scarcity &amp; Growth Rates'!$A$5:$G$82,7)</f>
        <v>328.04774656220081</v>
      </c>
    </row>
    <row r="47" spans="1:10" ht="15" x14ac:dyDescent="0.35">
      <c r="A47" s="36">
        <v>2030</v>
      </c>
      <c r="B47" s="37">
        <v>4.4434100045454548</v>
      </c>
      <c r="C47" s="37">
        <v>51.922068756818184</v>
      </c>
      <c r="E47" s="18">
        <f t="shared" si="0"/>
        <v>2093</v>
      </c>
      <c r="F47" s="40">
        <v>89.691053795454565</v>
      </c>
      <c r="G47" s="40">
        <v>121.47454620454545</v>
      </c>
      <c r="H47" s="40">
        <v>409.26839999999993</v>
      </c>
      <c r="I47" s="40">
        <v>336.87789999999995</v>
      </c>
      <c r="J47" s="40">
        <f ca="1">VLOOKUP(E47,'Model - Scarcity &amp; Growth Rates'!$A$5:$G$82,7)</f>
        <v>328.04890042936529</v>
      </c>
    </row>
    <row r="48" spans="1:10" ht="15" x14ac:dyDescent="0.35">
      <c r="A48" s="36">
        <v>2031</v>
      </c>
      <c r="B48" s="37">
        <v>4.196553893181818</v>
      </c>
      <c r="C48" s="37">
        <v>56.118622650000006</v>
      </c>
      <c r="E48" s="18">
        <f t="shared" si="0"/>
        <v>2103</v>
      </c>
      <c r="F48" s="40">
        <v>89.691053795454565</v>
      </c>
      <c r="G48" s="40">
        <v>112.46854620454545</v>
      </c>
      <c r="H48" s="40">
        <v>460.25239999999991</v>
      </c>
      <c r="I48" s="40">
        <v>435.23190000000011</v>
      </c>
      <c r="J48" s="40">
        <f ca="1">VLOOKUP(E48,'Model - Scarcity &amp; Growth Rates'!$A$5:$G$82,7)</f>
        <v>328.04892976467249</v>
      </c>
    </row>
    <row r="49" spans="1:3" ht="15" x14ac:dyDescent="0.35">
      <c r="A49" s="36">
        <v>2032</v>
      </c>
      <c r="B49" s="37">
        <v>3.9496977818181822</v>
      </c>
      <c r="C49" s="37">
        <v>60.068320431818186</v>
      </c>
    </row>
    <row r="50" spans="1:3" ht="15" x14ac:dyDescent="0.35">
      <c r="A50" s="36">
        <v>2033</v>
      </c>
      <c r="B50" s="37">
        <v>3.7028416704545455</v>
      </c>
      <c r="C50" s="37">
        <v>63.771162102272733</v>
      </c>
    </row>
    <row r="51" spans="1:3" ht="15" x14ac:dyDescent="0.35">
      <c r="A51" s="36">
        <v>2034</v>
      </c>
      <c r="B51" s="37">
        <v>3.4559855590909088</v>
      </c>
      <c r="C51" s="37">
        <v>67.227147661363645</v>
      </c>
    </row>
    <row r="52" spans="1:3" ht="15" x14ac:dyDescent="0.35">
      <c r="A52" s="36">
        <v>2035</v>
      </c>
      <c r="B52" s="37">
        <v>3.2091294477272729</v>
      </c>
      <c r="C52" s="37">
        <v>70.436277109090923</v>
      </c>
    </row>
    <row r="53" spans="1:3" ht="15" x14ac:dyDescent="0.35">
      <c r="A53" s="36">
        <v>2036</v>
      </c>
      <c r="B53" s="37">
        <v>2.9622733363636362</v>
      </c>
      <c r="C53" s="37">
        <v>73.398550445454561</v>
      </c>
    </row>
    <row r="54" spans="1:3" ht="15" x14ac:dyDescent="0.35">
      <c r="A54" s="36">
        <v>2037</v>
      </c>
      <c r="B54" s="37">
        <v>2.7154172250000004</v>
      </c>
      <c r="C54" s="37">
        <v>76.113967670454556</v>
      </c>
    </row>
    <row r="55" spans="1:3" ht="15" x14ac:dyDescent="0.35">
      <c r="A55" s="36">
        <v>2038</v>
      </c>
      <c r="B55" s="37">
        <v>2.4685611136363637</v>
      </c>
      <c r="C55" s="37">
        <v>78.582528784090925</v>
      </c>
    </row>
    <row r="56" spans="1:3" ht="15" x14ac:dyDescent="0.35">
      <c r="A56" s="36">
        <v>2039</v>
      </c>
      <c r="B56" s="37">
        <v>2.2217050022727269</v>
      </c>
      <c r="C56" s="37">
        <v>80.804233786363653</v>
      </c>
    </row>
    <row r="57" spans="1:3" ht="15" x14ac:dyDescent="0.35">
      <c r="A57" s="36">
        <v>2040</v>
      </c>
      <c r="B57" s="37">
        <v>1.9748488909090911</v>
      </c>
      <c r="C57" s="37">
        <v>82.77908267727274</v>
      </c>
    </row>
    <row r="58" spans="1:3" ht="15" x14ac:dyDescent="0.35">
      <c r="A58" s="36">
        <v>2041</v>
      </c>
      <c r="B58" s="37">
        <v>1.7279927795454544</v>
      </c>
      <c r="C58" s="37">
        <v>84.5070754568182</v>
      </c>
    </row>
    <row r="59" spans="1:3" ht="15" x14ac:dyDescent="0.35">
      <c r="A59" s="36">
        <v>2042</v>
      </c>
      <c r="B59" s="37">
        <v>1.4811366681818183</v>
      </c>
      <c r="C59" s="37">
        <v>85.988212125000018</v>
      </c>
    </row>
    <row r="60" spans="1:3" ht="15" x14ac:dyDescent="0.35">
      <c r="A60" s="36">
        <v>2043</v>
      </c>
      <c r="B60" s="37">
        <v>1.2342805568181818</v>
      </c>
      <c r="C60" s="37">
        <v>87.222492681818196</v>
      </c>
    </row>
    <row r="61" spans="1:3" ht="15" x14ac:dyDescent="0.35">
      <c r="A61" s="36">
        <v>2044</v>
      </c>
      <c r="B61" s="37">
        <v>0.98742444545454522</v>
      </c>
      <c r="C61" s="37">
        <v>88.209917127272746</v>
      </c>
    </row>
    <row r="62" spans="1:3" ht="15" x14ac:dyDescent="0.35">
      <c r="A62" s="36">
        <v>2045</v>
      </c>
      <c r="B62" s="37">
        <v>0.74056833409090916</v>
      </c>
      <c r="C62" s="37">
        <v>88.950485461363655</v>
      </c>
    </row>
    <row r="63" spans="1:3" ht="15" x14ac:dyDescent="0.35">
      <c r="A63" s="36">
        <v>2046</v>
      </c>
      <c r="B63" s="37">
        <v>0.49371222272727261</v>
      </c>
      <c r="C63" s="37">
        <v>89.444197684090923</v>
      </c>
    </row>
    <row r="64" spans="1:3" ht="15" x14ac:dyDescent="0.35">
      <c r="A64" s="36">
        <v>2047</v>
      </c>
      <c r="B64" s="37">
        <v>0.24685611136363658</v>
      </c>
      <c r="C64" s="37">
        <v>89.691053795454565</v>
      </c>
    </row>
    <row r="65" spans="1:3" ht="15" x14ac:dyDescent="0.35">
      <c r="A65" s="36">
        <v>2048</v>
      </c>
      <c r="B65" s="37">
        <v>0</v>
      </c>
      <c r="C65" s="37">
        <v>89.691053795454565</v>
      </c>
    </row>
    <row r="66" spans="1:3" ht="15" x14ac:dyDescent="0.35">
      <c r="A66" s="36">
        <v>2049</v>
      </c>
      <c r="B66" s="37">
        <v>0</v>
      </c>
      <c r="C66" s="37">
        <v>89.691053795454565</v>
      </c>
    </row>
    <row r="67" spans="1:3" ht="15" x14ac:dyDescent="0.35">
      <c r="A67" s="36">
        <v>2050</v>
      </c>
      <c r="B67" s="37">
        <v>0</v>
      </c>
      <c r="C67" s="37">
        <v>89.691053795454565</v>
      </c>
    </row>
    <row r="68" spans="1:3" ht="15" x14ac:dyDescent="0.35">
      <c r="A68" s="36">
        <v>2051</v>
      </c>
      <c r="B68" s="37">
        <v>0</v>
      </c>
      <c r="C68" s="37">
        <v>89.691053795454565</v>
      </c>
    </row>
    <row r="69" spans="1:3" ht="15" x14ac:dyDescent="0.35">
      <c r="A69" s="36">
        <v>2052</v>
      </c>
      <c r="B69" s="37">
        <v>0</v>
      </c>
      <c r="C69" s="37">
        <v>89.691053795454565</v>
      </c>
    </row>
    <row r="70" spans="1:3" ht="15" x14ac:dyDescent="0.35">
      <c r="A70" s="36">
        <v>2053</v>
      </c>
      <c r="B70" s="37">
        <v>0</v>
      </c>
      <c r="C70" s="37">
        <v>89.691053795454565</v>
      </c>
    </row>
    <row r="71" spans="1:3" ht="15" x14ac:dyDescent="0.35">
      <c r="A71" s="36">
        <v>2054</v>
      </c>
      <c r="B71" s="37">
        <v>0</v>
      </c>
      <c r="C71" s="37">
        <v>89.691053795454565</v>
      </c>
    </row>
    <row r="72" spans="1:3" ht="15" x14ac:dyDescent="0.35">
      <c r="A72" s="36">
        <v>2055</v>
      </c>
      <c r="B72" s="37">
        <v>0</v>
      </c>
      <c r="C72" s="37">
        <v>89.691053795454565</v>
      </c>
    </row>
    <row r="73" spans="1:3" ht="15" x14ac:dyDescent="0.35">
      <c r="A73" s="36">
        <v>2056</v>
      </c>
      <c r="B73" s="37">
        <v>0</v>
      </c>
      <c r="C73" s="37">
        <v>89.691053795454565</v>
      </c>
    </row>
    <row r="74" spans="1:3" ht="15" x14ac:dyDescent="0.35">
      <c r="A74" s="36">
        <v>2057</v>
      </c>
      <c r="B74" s="37">
        <v>0</v>
      </c>
      <c r="C74" s="37">
        <v>89.691053795454565</v>
      </c>
    </row>
    <row r="75" spans="1:3" ht="15" x14ac:dyDescent="0.35">
      <c r="A75" s="36">
        <v>2058</v>
      </c>
      <c r="B75" s="37">
        <v>0</v>
      </c>
      <c r="C75" s="37">
        <v>89.691053795454565</v>
      </c>
    </row>
    <row r="76" spans="1:3" ht="15" x14ac:dyDescent="0.35">
      <c r="A76" s="36">
        <v>2059</v>
      </c>
      <c r="B76" s="37">
        <v>0</v>
      </c>
      <c r="C76" s="37">
        <v>89.691053795454565</v>
      </c>
    </row>
    <row r="77" spans="1:3" ht="15" x14ac:dyDescent="0.35">
      <c r="A77" s="36">
        <v>2060</v>
      </c>
      <c r="B77" s="37">
        <v>0</v>
      </c>
      <c r="C77" s="37">
        <v>89.691053795454565</v>
      </c>
    </row>
    <row r="78" spans="1:3" ht="15" x14ac:dyDescent="0.35">
      <c r="A78" s="36">
        <v>2061</v>
      </c>
      <c r="B78" s="37">
        <v>0</v>
      </c>
      <c r="C78" s="37">
        <v>89.691053795454565</v>
      </c>
    </row>
    <row r="79" spans="1:3" ht="15" x14ac:dyDescent="0.35">
      <c r="A79" s="36">
        <v>2062</v>
      </c>
      <c r="B79" s="37">
        <v>0</v>
      </c>
      <c r="C79" s="37">
        <v>89.691053795454565</v>
      </c>
    </row>
    <row r="80" spans="1:3" ht="15" x14ac:dyDescent="0.35">
      <c r="A80" s="36">
        <v>2063</v>
      </c>
      <c r="B80" s="37">
        <v>0</v>
      </c>
      <c r="C80" s="37">
        <v>89.691053795454565</v>
      </c>
    </row>
    <row r="81" spans="1:3" ht="15" x14ac:dyDescent="0.35">
      <c r="A81" s="36">
        <v>2064</v>
      </c>
      <c r="B81" s="37">
        <v>0</v>
      </c>
      <c r="C81" s="37">
        <v>89.691053795454565</v>
      </c>
    </row>
    <row r="82" spans="1:3" ht="15" x14ac:dyDescent="0.35">
      <c r="A82" s="36">
        <v>2065</v>
      </c>
      <c r="B82" s="37">
        <v>0</v>
      </c>
      <c r="C82" s="37">
        <v>89.691053795454565</v>
      </c>
    </row>
    <row r="83" spans="1:3" ht="15" x14ac:dyDescent="0.35">
      <c r="A83" s="36">
        <v>2066</v>
      </c>
      <c r="B83" s="37">
        <v>0</v>
      </c>
      <c r="C83" s="37">
        <v>89.691053795454565</v>
      </c>
    </row>
    <row r="84" spans="1:3" ht="15" x14ac:dyDescent="0.35">
      <c r="A84" s="36">
        <v>2067</v>
      </c>
      <c r="B84" s="37">
        <v>0</v>
      </c>
      <c r="C84" s="37">
        <v>89.691053795454565</v>
      </c>
    </row>
    <row r="85" spans="1:3" ht="15" x14ac:dyDescent="0.35">
      <c r="A85" s="36">
        <v>2068</v>
      </c>
      <c r="B85" s="37">
        <v>0</v>
      </c>
      <c r="C85" s="37">
        <v>89.691053795454565</v>
      </c>
    </row>
    <row r="86" spans="1:3" ht="15" x14ac:dyDescent="0.35">
      <c r="A86" s="36">
        <v>2069</v>
      </c>
      <c r="B86" s="37">
        <v>0</v>
      </c>
      <c r="C86" s="37">
        <v>89.691053795454565</v>
      </c>
    </row>
    <row r="87" spans="1:3" ht="15" x14ac:dyDescent="0.35">
      <c r="A87" s="36">
        <v>2070</v>
      </c>
      <c r="B87" s="37">
        <v>0</v>
      </c>
      <c r="C87" s="37">
        <v>89.691053795454565</v>
      </c>
    </row>
    <row r="88" spans="1:3" ht="15" x14ac:dyDescent="0.35">
      <c r="A88" s="36">
        <v>2071</v>
      </c>
      <c r="B88" s="37">
        <v>0</v>
      </c>
      <c r="C88" s="37">
        <v>89.691053795454565</v>
      </c>
    </row>
    <row r="89" spans="1:3" ht="15" x14ac:dyDescent="0.35">
      <c r="A89" s="36">
        <v>2072</v>
      </c>
      <c r="B89" s="37">
        <v>0</v>
      </c>
      <c r="C89" s="37">
        <v>89.691053795454565</v>
      </c>
    </row>
    <row r="90" spans="1:3" ht="15" x14ac:dyDescent="0.35">
      <c r="A90" s="36">
        <v>2073</v>
      </c>
      <c r="B90" s="37">
        <v>0</v>
      </c>
      <c r="C90" s="37">
        <v>89.691053795454565</v>
      </c>
    </row>
    <row r="91" spans="1:3" ht="15" x14ac:dyDescent="0.35">
      <c r="A91" s="36">
        <v>2074</v>
      </c>
      <c r="B91" s="37">
        <v>0</v>
      </c>
      <c r="C91" s="37">
        <v>89.691053795454565</v>
      </c>
    </row>
    <row r="92" spans="1:3" ht="15" x14ac:dyDescent="0.35">
      <c r="A92" s="36">
        <v>2075</v>
      </c>
      <c r="B92" s="37">
        <v>0</v>
      </c>
      <c r="C92" s="37">
        <v>89.691053795454565</v>
      </c>
    </row>
    <row r="93" spans="1:3" ht="15" x14ac:dyDescent="0.35">
      <c r="A93" s="36">
        <v>2076</v>
      </c>
      <c r="B93" s="37">
        <v>0</v>
      </c>
      <c r="C93" s="37">
        <v>89.691053795454565</v>
      </c>
    </row>
    <row r="94" spans="1:3" ht="15" x14ac:dyDescent="0.35">
      <c r="A94" s="36">
        <v>2077</v>
      </c>
      <c r="B94" s="37">
        <v>0</v>
      </c>
      <c r="C94" s="37">
        <v>89.691053795454565</v>
      </c>
    </row>
    <row r="95" spans="1:3" ht="15" x14ac:dyDescent="0.35">
      <c r="A95" s="36">
        <v>2078</v>
      </c>
      <c r="B95" s="37">
        <v>0</v>
      </c>
      <c r="C95" s="37">
        <v>89.691053795454565</v>
      </c>
    </row>
    <row r="96" spans="1:3" ht="15" x14ac:dyDescent="0.35">
      <c r="A96" s="36">
        <v>2079</v>
      </c>
      <c r="B96" s="37">
        <v>0</v>
      </c>
      <c r="C96" s="37">
        <v>89.691053795454565</v>
      </c>
    </row>
    <row r="97" spans="1:3" ht="15" x14ac:dyDescent="0.35">
      <c r="A97" s="36">
        <v>2080</v>
      </c>
      <c r="B97" s="37">
        <v>0</v>
      </c>
      <c r="C97" s="37">
        <v>89.691053795454565</v>
      </c>
    </row>
    <row r="98" spans="1:3" ht="15" x14ac:dyDescent="0.35">
      <c r="A98" s="36">
        <v>2081</v>
      </c>
      <c r="B98" s="37">
        <v>0</v>
      </c>
      <c r="C98" s="37">
        <v>89.691053795454565</v>
      </c>
    </row>
    <row r="99" spans="1:3" ht="15" x14ac:dyDescent="0.35">
      <c r="A99" s="36">
        <v>2082</v>
      </c>
      <c r="B99" s="37">
        <v>0</v>
      </c>
      <c r="C99" s="37">
        <v>89.691053795454565</v>
      </c>
    </row>
    <row r="100" spans="1:3" ht="15" x14ac:dyDescent="0.35">
      <c r="A100" s="36">
        <v>2083</v>
      </c>
      <c r="B100" s="37">
        <v>0</v>
      </c>
      <c r="C100" s="37">
        <v>89.691053795454565</v>
      </c>
    </row>
    <row r="101" spans="1:3" ht="15" x14ac:dyDescent="0.35">
      <c r="A101" s="36">
        <v>2084</v>
      </c>
      <c r="B101" s="37">
        <v>0</v>
      </c>
      <c r="C101" s="37">
        <v>89.691053795454565</v>
      </c>
    </row>
    <row r="102" spans="1:3" ht="15" x14ac:dyDescent="0.35">
      <c r="A102" s="36">
        <v>2085</v>
      </c>
      <c r="B102" s="37">
        <v>0</v>
      </c>
      <c r="C102" s="37">
        <v>89.691053795454565</v>
      </c>
    </row>
    <row r="103" spans="1:3" ht="15" x14ac:dyDescent="0.35">
      <c r="A103" s="36">
        <v>2086</v>
      </c>
      <c r="B103" s="37">
        <v>0</v>
      </c>
      <c r="C103" s="37">
        <v>89.691053795454565</v>
      </c>
    </row>
    <row r="104" spans="1:3" ht="15" x14ac:dyDescent="0.35">
      <c r="A104" s="36">
        <v>2087</v>
      </c>
      <c r="B104" s="37">
        <v>0</v>
      </c>
      <c r="C104" s="37">
        <v>89.691053795454565</v>
      </c>
    </row>
    <row r="105" spans="1:3" ht="15" x14ac:dyDescent="0.35">
      <c r="A105" s="36">
        <v>2088</v>
      </c>
      <c r="B105" s="37">
        <v>0</v>
      </c>
      <c r="C105" s="37">
        <v>89.691053795454565</v>
      </c>
    </row>
    <row r="106" spans="1:3" ht="15" x14ac:dyDescent="0.35">
      <c r="A106" s="36">
        <v>2089</v>
      </c>
      <c r="B106" s="37">
        <v>0</v>
      </c>
      <c r="C106" s="37">
        <v>89.691053795454565</v>
      </c>
    </row>
    <row r="107" spans="1:3" ht="15" x14ac:dyDescent="0.35">
      <c r="A107" s="36">
        <v>2090</v>
      </c>
      <c r="B107" s="37">
        <v>0</v>
      </c>
      <c r="C107" s="37">
        <v>89.691053795454565</v>
      </c>
    </row>
    <row r="108" spans="1:3" ht="15" x14ac:dyDescent="0.35">
      <c r="A108" s="36">
        <v>2091</v>
      </c>
      <c r="B108" s="37">
        <v>0</v>
      </c>
      <c r="C108" s="37">
        <v>89.691053795454565</v>
      </c>
    </row>
    <row r="109" spans="1:3" ht="15" x14ac:dyDescent="0.35">
      <c r="A109" s="36">
        <v>2092</v>
      </c>
      <c r="B109" s="37">
        <v>0</v>
      </c>
      <c r="C109" s="37">
        <v>89.691053795454565</v>
      </c>
    </row>
    <row r="110" spans="1:3" ht="15" x14ac:dyDescent="0.35">
      <c r="A110" s="36">
        <v>2093</v>
      </c>
      <c r="B110" s="37">
        <v>0</v>
      </c>
      <c r="C110" s="37">
        <v>89.691053795454565</v>
      </c>
    </row>
    <row r="111" spans="1:3" ht="15" x14ac:dyDescent="0.35">
      <c r="A111" s="36">
        <v>2094</v>
      </c>
      <c r="B111" s="37">
        <v>0</v>
      </c>
      <c r="C111" s="37">
        <v>89.691053795454565</v>
      </c>
    </row>
    <row r="112" spans="1:3" ht="15" x14ac:dyDescent="0.35">
      <c r="A112" s="36">
        <v>2095</v>
      </c>
      <c r="B112" s="37">
        <v>0</v>
      </c>
      <c r="C112" s="37">
        <v>89.691053795454565</v>
      </c>
    </row>
    <row r="113" spans="1:3" ht="15" x14ac:dyDescent="0.35">
      <c r="A113" s="36">
        <v>2096</v>
      </c>
      <c r="B113" s="37">
        <v>0</v>
      </c>
      <c r="C113" s="37">
        <v>89.691053795454565</v>
      </c>
    </row>
    <row r="114" spans="1:3" ht="15" x14ac:dyDescent="0.35">
      <c r="A114" s="36">
        <v>2097</v>
      </c>
      <c r="B114" s="37">
        <v>0</v>
      </c>
      <c r="C114" s="37">
        <v>89.691053795454565</v>
      </c>
    </row>
    <row r="115" spans="1:3" ht="15" x14ac:dyDescent="0.35">
      <c r="A115" s="36">
        <v>2098</v>
      </c>
      <c r="B115" s="37">
        <v>0</v>
      </c>
      <c r="C115" s="37">
        <v>89.691053795454565</v>
      </c>
    </row>
    <row r="116" spans="1:3" ht="15" x14ac:dyDescent="0.35">
      <c r="A116" s="36">
        <v>2099</v>
      </c>
      <c r="B116" s="37">
        <v>0</v>
      </c>
      <c r="C116" s="37">
        <v>89.691053795454565</v>
      </c>
    </row>
    <row r="117" spans="1:3" ht="15" x14ac:dyDescent="0.35">
      <c r="A117" s="36">
        <v>2100</v>
      </c>
      <c r="B117" s="37">
        <v>0</v>
      </c>
      <c r="C117" s="37">
        <v>89.691053795454565</v>
      </c>
    </row>
  </sheetData>
  <sortState xmlns:xlrd2="http://schemas.microsoft.com/office/spreadsheetml/2017/richdata2" ref="A3:D9">
    <sortCondition ref="A3:A9"/>
  </sortState>
  <mergeCells count="2">
    <mergeCell ref="B38:C38"/>
    <mergeCell ref="E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3A0D-2975-48E2-A1E2-9F53DD76E27B}">
  <dimension ref="A2:B36"/>
  <sheetViews>
    <sheetView workbookViewId="0">
      <selection activeCell="D2" sqref="D2"/>
    </sheetView>
  </sheetViews>
  <sheetFormatPr defaultRowHeight="13.8" x14ac:dyDescent="0.3"/>
  <cols>
    <col min="1" max="1" width="30.77734375" customWidth="1"/>
    <col min="2" max="2" width="28.88671875" customWidth="1"/>
  </cols>
  <sheetData>
    <row r="2" spans="1:2" ht="15" x14ac:dyDescent="0.35">
      <c r="A2" s="17" t="s">
        <v>4</v>
      </c>
      <c r="B2" s="18" t="str">
        <f ca="1">OFFSET($B$14,A15-1,0)</f>
        <v>2 - Medium</v>
      </c>
    </row>
    <row r="3" spans="1:2" ht="15" x14ac:dyDescent="0.35">
      <c r="A3" s="17" t="s">
        <v>58</v>
      </c>
      <c r="B3" s="18" t="str">
        <f ca="1">OFFSET($B$18,A19-1,0)</f>
        <v>1 - Degrowth (0.5x current)</v>
      </c>
    </row>
    <row r="4" spans="1:2" ht="15" x14ac:dyDescent="0.35">
      <c r="A4" s="8"/>
      <c r="B4" s="7"/>
    </row>
    <row r="5" spans="1:2" ht="15" x14ac:dyDescent="0.35">
      <c r="A5" s="70" t="s">
        <v>59</v>
      </c>
      <c r="B5" s="70"/>
    </row>
    <row r="6" spans="1:2" ht="15" x14ac:dyDescent="0.35">
      <c r="A6" s="17" t="s">
        <v>60</v>
      </c>
      <c r="B6" s="20">
        <f>B35/100</f>
        <v>1</v>
      </c>
    </row>
    <row r="7" spans="1:2" ht="15" x14ac:dyDescent="0.35">
      <c r="A7" s="17" t="s">
        <v>53</v>
      </c>
      <c r="B7" s="18">
        <f>B36</f>
        <v>26</v>
      </c>
    </row>
    <row r="10" spans="1:2" ht="15" x14ac:dyDescent="0.35">
      <c r="A10" s="17" t="s">
        <v>84</v>
      </c>
      <c r="B10" s="18">
        <f ca="1">OFFSET($B$23,A24-1,0)</f>
        <v>0.1</v>
      </c>
    </row>
    <row r="13" spans="1:2" ht="15" x14ac:dyDescent="0.35">
      <c r="A13" s="71" t="s">
        <v>117</v>
      </c>
      <c r="B13" s="71"/>
    </row>
    <row r="14" spans="1:2" ht="15" x14ac:dyDescent="0.35">
      <c r="A14" s="45" t="s">
        <v>4</v>
      </c>
      <c r="B14" s="13" t="s">
        <v>61</v>
      </c>
    </row>
    <row r="15" spans="1:2" ht="15" x14ac:dyDescent="0.35">
      <c r="A15" s="45">
        <v>2</v>
      </c>
      <c r="B15" s="13" t="s">
        <v>62</v>
      </c>
    </row>
    <row r="16" spans="1:2" ht="15" x14ac:dyDescent="0.35">
      <c r="A16" s="41"/>
      <c r="B16" s="13" t="s">
        <v>63</v>
      </c>
    </row>
    <row r="17" spans="1:2" ht="15" x14ac:dyDescent="0.35">
      <c r="A17" s="41"/>
    </row>
    <row r="18" spans="1:2" ht="15" x14ac:dyDescent="0.35">
      <c r="A18" s="45" t="s">
        <v>58</v>
      </c>
      <c r="B18" s="13" t="s">
        <v>64</v>
      </c>
    </row>
    <row r="19" spans="1:2" ht="15" x14ac:dyDescent="0.35">
      <c r="A19" s="45">
        <v>1</v>
      </c>
      <c r="B19" s="13" t="s">
        <v>65</v>
      </c>
    </row>
    <row r="20" spans="1:2" ht="15" x14ac:dyDescent="0.35">
      <c r="A20" s="41"/>
      <c r="B20" s="13" t="s">
        <v>66</v>
      </c>
    </row>
    <row r="21" spans="1:2" ht="15" x14ac:dyDescent="0.35">
      <c r="A21" s="41"/>
      <c r="B21" s="43" t="s">
        <v>67</v>
      </c>
    </row>
    <row r="22" spans="1:2" ht="15" x14ac:dyDescent="0.35">
      <c r="B22" s="42"/>
    </row>
    <row r="23" spans="1:2" ht="15" x14ac:dyDescent="0.35">
      <c r="A23" s="17" t="s">
        <v>116</v>
      </c>
      <c r="B23" s="43">
        <v>0</v>
      </c>
    </row>
    <row r="24" spans="1:2" ht="15" x14ac:dyDescent="0.35">
      <c r="A24" s="17">
        <v>2</v>
      </c>
      <c r="B24" s="44">
        <v>0.1</v>
      </c>
    </row>
    <row r="25" spans="1:2" ht="15" x14ac:dyDescent="0.35">
      <c r="B25" s="44">
        <v>0.2</v>
      </c>
    </row>
    <row r="26" spans="1:2" ht="15" x14ac:dyDescent="0.35">
      <c r="B26" s="44">
        <v>0.3</v>
      </c>
    </row>
    <row r="27" spans="1:2" ht="15" x14ac:dyDescent="0.35">
      <c r="B27" s="44">
        <v>0.4</v>
      </c>
    </row>
    <row r="28" spans="1:2" ht="15" x14ac:dyDescent="0.35">
      <c r="B28" s="44">
        <v>0.5</v>
      </c>
    </row>
    <row r="29" spans="1:2" ht="15" x14ac:dyDescent="0.35">
      <c r="B29" s="44">
        <v>0.6</v>
      </c>
    </row>
    <row r="30" spans="1:2" ht="15" x14ac:dyDescent="0.35">
      <c r="B30" s="44">
        <v>0.7</v>
      </c>
    </row>
    <row r="31" spans="1:2" ht="15" x14ac:dyDescent="0.35">
      <c r="B31" s="44">
        <v>0.8</v>
      </c>
    </row>
    <row r="32" spans="1:2" ht="15" x14ac:dyDescent="0.35">
      <c r="B32" s="44">
        <v>0.9</v>
      </c>
    </row>
    <row r="33" spans="1:2" ht="15" x14ac:dyDescent="0.35">
      <c r="B33" s="44">
        <v>1</v>
      </c>
    </row>
    <row r="35" spans="1:2" ht="15" x14ac:dyDescent="0.35">
      <c r="A35" s="17" t="s">
        <v>59</v>
      </c>
      <c r="B35" s="46">
        <v>100</v>
      </c>
    </row>
    <row r="36" spans="1:2" ht="15" x14ac:dyDescent="0.35">
      <c r="B36" s="46">
        <v>26</v>
      </c>
    </row>
  </sheetData>
  <mergeCells count="2">
    <mergeCell ref="A5:B5"/>
    <mergeCell ref="A13:B13"/>
  </mergeCells>
  <dataValidations count="1">
    <dataValidation type="decimal" allowBlank="1" showInputMessage="1" showErrorMessage="1" sqref="B10" xr:uid="{E6137E73-A1E9-4B32-A5BB-40CB666F7C95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1250-D69B-4887-8C4C-EE9D439B5BF6}">
  <dimension ref="A1:L80"/>
  <sheetViews>
    <sheetView topLeftCell="D3" workbookViewId="0">
      <selection activeCell="E3" sqref="E3"/>
    </sheetView>
  </sheetViews>
  <sheetFormatPr defaultRowHeight="13.8" x14ac:dyDescent="0.3"/>
  <cols>
    <col min="2" max="4" width="15.109375" customWidth="1"/>
    <col min="6" max="9" width="24.33203125" customWidth="1"/>
    <col min="10" max="11" width="17.33203125" customWidth="1"/>
  </cols>
  <sheetData>
    <row r="1" spans="1:12" ht="15" x14ac:dyDescent="0.35">
      <c r="A1" s="74" t="s">
        <v>51</v>
      </c>
      <c r="B1" s="75"/>
      <c r="C1" s="75"/>
      <c r="D1" s="76"/>
      <c r="E1" s="74" t="s">
        <v>118</v>
      </c>
      <c r="F1" s="75"/>
      <c r="G1" s="75"/>
      <c r="H1" s="75"/>
      <c r="I1" s="76"/>
      <c r="J1" s="72" t="s">
        <v>115</v>
      </c>
      <c r="K1" s="73"/>
    </row>
    <row r="2" spans="1:12" ht="15" x14ac:dyDescent="0.35">
      <c r="A2" s="47" t="s">
        <v>3</v>
      </c>
      <c r="B2" s="14" t="s">
        <v>61</v>
      </c>
      <c r="C2" s="14" t="s">
        <v>62</v>
      </c>
      <c r="D2" s="48" t="s">
        <v>63</v>
      </c>
      <c r="E2" s="47" t="s">
        <v>3</v>
      </c>
      <c r="F2" s="14" t="s">
        <v>64</v>
      </c>
      <c r="G2" s="14" t="s">
        <v>65</v>
      </c>
      <c r="H2" s="14" t="s">
        <v>66</v>
      </c>
      <c r="I2" s="54" t="s">
        <v>67</v>
      </c>
      <c r="J2" s="58" t="s">
        <v>4</v>
      </c>
      <c r="K2" s="54" t="s">
        <v>12</v>
      </c>
    </row>
    <row r="3" spans="1:12" ht="15" x14ac:dyDescent="0.35">
      <c r="A3" s="49">
        <v>2023</v>
      </c>
      <c r="B3" s="16">
        <v>8056505564</v>
      </c>
      <c r="C3" s="16">
        <v>8056505564</v>
      </c>
      <c r="D3" s="50">
        <v>8056505564</v>
      </c>
      <c r="E3" s="49">
        <v>2023</v>
      </c>
      <c r="F3" s="15">
        <v>46.517501704988177</v>
      </c>
      <c r="G3" s="15">
        <v>47.284914768486992</v>
      </c>
      <c r="H3" s="15">
        <v>48.052327831985814</v>
      </c>
      <c r="I3" s="55">
        <v>48.819740895484628</v>
      </c>
      <c r="J3" s="61">
        <f ca="1">VLOOKUP($A3,'Growth Scenarios'!$A$3:$D$80,MATCH('Scenario Picker'!$B$2,'Growth Scenarios'!$B$2:$D$2,0)+1)</f>
        <v>8056505564</v>
      </c>
      <c r="K3" s="59">
        <f ca="1">VLOOKUP($A3,'Growth Scenarios'!$E$3:$I$80,MATCH('Scenario Picker'!$B$3,'Growth Scenarios'!$F$2:$I$2,0)+1)</f>
        <v>46.517501704988177</v>
      </c>
      <c r="L3" s="11"/>
    </row>
    <row r="4" spans="1:12" ht="15" x14ac:dyDescent="0.35">
      <c r="A4" s="49">
        <v>2024</v>
      </c>
      <c r="B4" s="16">
        <v>8126964296</v>
      </c>
      <c r="C4" s="16">
        <v>8126964296</v>
      </c>
      <c r="D4" s="50">
        <v>8126964296</v>
      </c>
      <c r="E4" s="49">
        <v>2024</v>
      </c>
      <c r="F4" s="15">
        <v>46.429180374932741</v>
      </c>
      <c r="G4" s="15">
        <v>47.284914768486992</v>
      </c>
      <c r="H4" s="15">
        <v>48.14411580848882</v>
      </c>
      <c r="I4" s="55">
        <v>49.001583525266859</v>
      </c>
      <c r="J4" s="61">
        <f ca="1">VLOOKUP($A4,'Growth Scenarios'!$A$3:$D$80,MATCH('Scenario Picker'!$B$2,'Growth Scenarios'!$B$2:$D$2,0)+1)</f>
        <v>8126964296</v>
      </c>
      <c r="K4" s="59">
        <f ca="1">VLOOKUP($A4,'Growth Scenarios'!$E$3:$I$80,MATCH('Scenario Picker'!$B$3,'Growth Scenarios'!$F$2:$I$2,0)+1)</f>
        <v>46.429180374932741</v>
      </c>
      <c r="L4" s="11"/>
    </row>
    <row r="5" spans="1:12" ht="15" x14ac:dyDescent="0.35">
      <c r="A5" s="49">
        <v>2025</v>
      </c>
      <c r="B5" s="16">
        <v>8182430618</v>
      </c>
      <c r="C5" s="16">
        <v>8196980849</v>
      </c>
      <c r="D5" s="50">
        <v>8211530616</v>
      </c>
      <c r="E5" s="49">
        <v>2025</v>
      </c>
      <c r="F5" s="15">
        <v>46.332543258450819</v>
      </c>
      <c r="G5" s="15">
        <v>47.284914768486992</v>
      </c>
      <c r="H5" s="15">
        <v>48.244545969259669</v>
      </c>
      <c r="I5" s="55">
        <v>49.200547324664093</v>
      </c>
      <c r="J5" s="61">
        <f ca="1">VLOOKUP($A5,'Growth Scenarios'!$A$3:$D$80,MATCH('Scenario Picker'!$B$2,'Growth Scenarios'!$B$2:$D$2,0)+1)</f>
        <v>8196980849</v>
      </c>
      <c r="K5" s="59">
        <f ca="1">VLOOKUP($A5,'Growth Scenarios'!$E$3:$I$80,MATCH('Scenario Picker'!$B$3,'Growth Scenarios'!$F$2:$I$2,0)+1)</f>
        <v>46.332543258450819</v>
      </c>
      <c r="L5" s="11"/>
    </row>
    <row r="6" spans="1:12" ht="15" x14ac:dyDescent="0.35">
      <c r="A6" s="49">
        <v>2026</v>
      </c>
      <c r="B6" s="16">
        <v>8237153894</v>
      </c>
      <c r="C6" s="16">
        <v>8266245291</v>
      </c>
      <c r="D6" s="50">
        <v>8295335053</v>
      </c>
      <c r="E6" s="49">
        <v>2026</v>
      </c>
      <c r="F6" s="15">
        <v>46.227071347485605</v>
      </c>
      <c r="G6" s="15">
        <v>47.284914768486992</v>
      </c>
      <c r="H6" s="15">
        <v>48.354157693622589</v>
      </c>
      <c r="I6" s="55">
        <v>49.417700866691085</v>
      </c>
      <c r="J6" s="61">
        <f ca="1">VLOOKUP($A6,'Growth Scenarios'!$A$3:$D$80,MATCH('Scenario Picker'!$B$2,'Growth Scenarios'!$B$2:$D$2,0)+1)</f>
        <v>8266245291</v>
      </c>
      <c r="K6" s="59">
        <f ca="1">VLOOKUP($A6,'Growth Scenarios'!$E$3:$I$80,MATCH('Scenario Picker'!$B$3,'Growth Scenarios'!$F$2:$I$2,0)+1)</f>
        <v>46.227071347485605</v>
      </c>
      <c r="L6" s="11"/>
    </row>
    <row r="7" spans="1:12" ht="15" x14ac:dyDescent="0.35">
      <c r="A7" s="49">
        <v>2027</v>
      </c>
      <c r="B7" s="16">
        <v>8291448036</v>
      </c>
      <c r="C7" s="16">
        <v>8335111500</v>
      </c>
      <c r="D7" s="50">
        <v>8378772233</v>
      </c>
      <c r="E7" s="49">
        <v>2027</v>
      </c>
      <c r="F7" s="15">
        <v>46.112244310959667</v>
      </c>
      <c r="G7" s="15">
        <v>47.284914768486992</v>
      </c>
      <c r="H7" s="15">
        <v>48.473491735851553</v>
      </c>
      <c r="I7" s="55">
        <v>49.654115448297503</v>
      </c>
      <c r="J7" s="61">
        <f ca="1">VLOOKUP($A7,'Growth Scenarios'!$A$3:$D$80,MATCH('Scenario Picker'!$B$2,'Growth Scenarios'!$B$2:$D$2,0)+1)</f>
        <v>8335111500</v>
      </c>
      <c r="K7" s="59">
        <f ca="1">VLOOKUP($A7,'Growth Scenarios'!$E$3:$I$80,MATCH('Scenario Picker'!$B$3,'Growth Scenarios'!$F$2:$I$2,0)+1)</f>
        <v>46.112244310959667</v>
      </c>
      <c r="L7" s="11"/>
    </row>
    <row r="8" spans="1:12" ht="15" x14ac:dyDescent="0.35">
      <c r="A8" s="49">
        <v>2028</v>
      </c>
      <c r="B8" s="16">
        <v>8344798580</v>
      </c>
      <c r="C8" s="16">
        <v>8403077188.999999</v>
      </c>
      <c r="D8" s="50">
        <v>8461353709.000001</v>
      </c>
      <c r="E8" s="49">
        <v>2028</v>
      </c>
      <c r="F8" s="15">
        <v>45.987544444493231</v>
      </c>
      <c r="G8" s="15">
        <v>47.284914768486992</v>
      </c>
      <c r="H8" s="15">
        <v>48.603086120423953</v>
      </c>
      <c r="I8" s="55">
        <v>49.910856958389317</v>
      </c>
      <c r="J8" s="61">
        <f ca="1">VLOOKUP($A8,'Growth Scenarios'!$A$3:$D$80,MATCH('Scenario Picker'!$B$2,'Growth Scenarios'!$B$2:$D$2,0)+1)</f>
        <v>8403077188.999999</v>
      </c>
      <c r="K8" s="59">
        <f ca="1">VLOOKUP($A8,'Growth Scenarios'!$E$3:$I$80,MATCH('Scenario Picker'!$B$3,'Growth Scenarios'!$F$2:$I$2,0)+1)</f>
        <v>45.987544444493231</v>
      </c>
      <c r="L8" s="11"/>
    </row>
    <row r="9" spans="1:12" ht="15" x14ac:dyDescent="0.35">
      <c r="A9" s="49">
        <v>2029</v>
      </c>
      <c r="B9" s="16">
        <v>8397214481.000001</v>
      </c>
      <c r="C9" s="16">
        <v>8470160584.000001</v>
      </c>
      <c r="D9" s="50">
        <v>8543109300.000001</v>
      </c>
      <c r="E9" s="49">
        <v>2029</v>
      </c>
      <c r="F9" s="15">
        <v>45.852460942792078</v>
      </c>
      <c r="G9" s="15">
        <v>47.284914768486992</v>
      </c>
      <c r="H9" s="15">
        <v>48.743471701939853</v>
      </c>
      <c r="I9" s="55">
        <v>50.188977081513741</v>
      </c>
      <c r="J9" s="61">
        <f ca="1">VLOOKUP($A9,'Growth Scenarios'!$A$3:$D$80,MATCH('Scenario Picker'!$B$2,'Growth Scenarios'!$B$2:$D$2,0)+1)</f>
        <v>8470160584.000001</v>
      </c>
      <c r="K9" s="59">
        <f ca="1">VLOOKUP($A9,'Growth Scenarios'!$E$3:$I$80,MATCH('Scenario Picker'!$B$3,'Growth Scenarios'!$F$2:$I$2,0)+1)</f>
        <v>45.852460942792078</v>
      </c>
      <c r="L9" s="11"/>
    </row>
    <row r="10" spans="1:12" ht="15" x14ac:dyDescent="0.35">
      <c r="A10" s="49">
        <v>2030</v>
      </c>
      <c r="B10" s="16">
        <v>8439824647</v>
      </c>
      <c r="C10" s="16">
        <v>8536410062.000001</v>
      </c>
      <c r="D10" s="50">
        <v>8632969105</v>
      </c>
      <c r="E10" s="49">
        <v>2030</v>
      </c>
      <c r="F10" s="15">
        <v>45.70649446729265</v>
      </c>
      <c r="G10" s="15">
        <v>47.284914768486992</v>
      </c>
      <c r="H10" s="15">
        <v>48.895167418195037</v>
      </c>
      <c r="I10" s="55">
        <v>50.489503893646223</v>
      </c>
      <c r="J10" s="61">
        <f ca="1">VLOOKUP($A10,'Growth Scenarios'!$A$3:$D$80,MATCH('Scenario Picker'!$B$2,'Growth Scenarios'!$B$2:$D$2,0)+1)</f>
        <v>8536410062.000001</v>
      </c>
      <c r="K10" s="59">
        <f ca="1">VLOOKUP($A10,'Growth Scenarios'!$E$3:$I$80,MATCH('Scenario Picker'!$B$3,'Growth Scenarios'!$F$2:$I$2,0)+1)</f>
        <v>45.70649446729265</v>
      </c>
      <c r="L10" s="11"/>
    </row>
    <row r="11" spans="1:12" ht="15" x14ac:dyDescent="0.35">
      <c r="A11" s="49">
        <v>2031</v>
      </c>
      <c r="B11" s="16">
        <v>8481533688.999999</v>
      </c>
      <c r="C11" s="16">
        <v>8601839760</v>
      </c>
      <c r="D11" s="50">
        <v>8722122907</v>
      </c>
      <c r="E11" s="49">
        <v>2031</v>
      </c>
      <c r="F11" s="15">
        <v>45.549161974695423</v>
      </c>
      <c r="G11" s="15">
        <v>47.284914768486992</v>
      </c>
      <c r="H11" s="15">
        <v>49.058675272125804</v>
      </c>
      <c r="I11" s="55">
        <v>50.813431920840983</v>
      </c>
      <c r="J11" s="61">
        <f ca="1">VLOOKUP($A11,'Growth Scenarios'!$A$3:$D$80,MATCH('Scenario Picker'!$B$2,'Growth Scenarios'!$B$2:$D$2,0)+1)</f>
        <v>8601839760</v>
      </c>
      <c r="K11" s="59">
        <f ca="1">VLOOKUP($A11,'Growth Scenarios'!$E$3:$I$80,MATCH('Scenario Picker'!$B$3,'Growth Scenarios'!$F$2:$I$2,0)+1)</f>
        <v>45.549161974695423</v>
      </c>
      <c r="L11" s="11"/>
    </row>
    <row r="12" spans="1:12" ht="15" x14ac:dyDescent="0.35">
      <c r="A12" s="49">
        <v>2032</v>
      </c>
      <c r="B12" s="16">
        <v>8522260705</v>
      </c>
      <c r="C12" s="16">
        <v>8666398907</v>
      </c>
      <c r="D12" s="50">
        <v>8810537426</v>
      </c>
      <c r="E12" s="49">
        <v>2032</v>
      </c>
      <c r="F12" s="15">
        <v>45.380001765097212</v>
      </c>
      <c r="G12" s="15">
        <v>47.284914768486992</v>
      </c>
      <c r="H12" s="15">
        <v>49.234475085535536</v>
      </c>
      <c r="I12" s="55">
        <v>51.161711745754701</v>
      </c>
      <c r="J12" s="61">
        <f ca="1">VLOOKUP($A12,'Growth Scenarios'!$A$3:$D$80,MATCH('Scenario Picker'!$B$2,'Growth Scenarios'!$B$2:$D$2,0)+1)</f>
        <v>8666398907</v>
      </c>
      <c r="K12" s="59">
        <f ca="1">VLOOKUP($A12,'Growth Scenarios'!$E$3:$I$80,MATCH('Scenario Picker'!$B$3,'Growth Scenarios'!$F$2:$I$2,0)+1)</f>
        <v>45.380001765097212</v>
      </c>
      <c r="L12" s="11"/>
    </row>
    <row r="13" spans="1:12" ht="15" x14ac:dyDescent="0.35">
      <c r="A13" s="49">
        <v>2033</v>
      </c>
      <c r="B13" s="16">
        <v>8561963039.999999</v>
      </c>
      <c r="C13" s="16">
        <v>8730060717</v>
      </c>
      <c r="D13" s="50">
        <v>8898201730</v>
      </c>
      <c r="E13" s="49">
        <v>2033</v>
      </c>
      <c r="F13" s="15">
        <v>45.198578701696213</v>
      </c>
      <c r="G13" s="15">
        <v>47.284914768486992</v>
      </c>
      <c r="H13" s="15">
        <v>49.423019074514229</v>
      </c>
      <c r="I13" s="55">
        <v>51.535239260923241</v>
      </c>
      <c r="J13" s="61">
        <f ca="1">VLOOKUP($A13,'Growth Scenarios'!$A$3:$D$80,MATCH('Scenario Picker'!$B$2,'Growth Scenarios'!$B$2:$D$2,0)+1)</f>
        <v>8730060717</v>
      </c>
      <c r="K13" s="59">
        <f ca="1">VLOOKUP($A13,'Growth Scenarios'!$E$3:$I$80,MATCH('Scenario Picker'!$B$3,'Growth Scenarios'!$F$2:$I$2,0)+1)</f>
        <v>45.198578701696213</v>
      </c>
      <c r="L13" s="11"/>
    </row>
    <row r="14" spans="1:12" ht="15" x14ac:dyDescent="0.35">
      <c r="A14" s="49">
        <v>2034</v>
      </c>
      <c r="B14" s="16">
        <v>8600642612</v>
      </c>
      <c r="C14" s="16">
        <v>8792837445</v>
      </c>
      <c r="D14" s="50">
        <v>8985139303</v>
      </c>
      <c r="E14" s="49">
        <v>2034</v>
      </c>
      <c r="F14" s="15">
        <v>45.004489547644077</v>
      </c>
      <c r="G14" s="15">
        <v>47.284914768486992</v>
      </c>
      <c r="H14" s="15">
        <v>49.624726303112865</v>
      </c>
      <c r="I14" s="55">
        <v>51.934844680847249</v>
      </c>
      <c r="J14" s="61">
        <f ca="1">VLOOKUP($A14,'Growth Scenarios'!$A$3:$D$80,MATCH('Scenario Picker'!$B$2,'Growth Scenarios'!$B$2:$D$2,0)+1)</f>
        <v>8792837445</v>
      </c>
      <c r="K14" s="59">
        <f ca="1">VLOOKUP($A14,'Growth Scenarios'!$E$3:$I$80,MATCH('Scenario Picker'!$B$3,'Growth Scenarios'!$F$2:$I$2,0)+1)</f>
        <v>45.004489547644077</v>
      </c>
      <c r="L14" s="11"/>
    </row>
    <row r="15" spans="1:12" ht="15" x14ac:dyDescent="0.35">
      <c r="A15" s="49">
        <v>2035</v>
      </c>
      <c r="B15" s="16">
        <v>8632177807</v>
      </c>
      <c r="C15" s="16">
        <v>8854732372</v>
      </c>
      <c r="D15" s="50">
        <v>9077465967</v>
      </c>
      <c r="E15" s="49">
        <v>2035</v>
      </c>
      <c r="F15" s="15">
        <v>44.797368359716096</v>
      </c>
      <c r="G15" s="15">
        <v>47.284914768486992</v>
      </c>
      <c r="H15" s="15">
        <v>49.8399770779696</v>
      </c>
      <c r="I15" s="55">
        <v>52.361281437096352</v>
      </c>
      <c r="J15" s="61">
        <f ca="1">VLOOKUP($A15,'Growth Scenarios'!$A$3:$D$80,MATCH('Scenario Picker'!$B$2,'Growth Scenarios'!$B$2:$D$2,0)+1)</f>
        <v>8854732372</v>
      </c>
      <c r="K15" s="59">
        <f ca="1">VLOOKUP($A15,'Growth Scenarios'!$E$3:$I$80,MATCH('Scenario Picker'!$B$3,'Growth Scenarios'!$F$2:$I$2,0)+1)</f>
        <v>44.797368359716096</v>
      </c>
      <c r="L15" s="11"/>
    </row>
    <row r="16" spans="1:12" ht="15" x14ac:dyDescent="0.35">
      <c r="A16" s="49">
        <v>2036</v>
      </c>
      <c r="B16" s="16">
        <v>8662608274</v>
      </c>
      <c r="C16" s="16">
        <v>8915687990</v>
      </c>
      <c r="D16" s="50">
        <v>9169049168</v>
      </c>
      <c r="E16" s="49">
        <v>2036</v>
      </c>
      <c r="F16" s="15">
        <v>44.576891873222401</v>
      </c>
      <c r="G16" s="15">
        <v>47.284914768486992</v>
      </c>
      <c r="H16" s="15">
        <v>50.069107352038714</v>
      </c>
      <c r="I16" s="55">
        <v>52.815215091446859</v>
      </c>
      <c r="J16" s="61">
        <f ca="1">VLOOKUP($A16,'Growth Scenarios'!$A$3:$D$80,MATCH('Scenario Picker'!$B$2,'Growth Scenarios'!$B$2:$D$2,0)+1)</f>
        <v>8915687990</v>
      </c>
      <c r="K16" s="59">
        <f ca="1">VLOOKUP($A16,'Growth Scenarios'!$E$3:$I$80,MATCH('Scenario Picker'!$B$3,'Growth Scenarios'!$F$2:$I$2,0)+1)</f>
        <v>44.576891873222401</v>
      </c>
      <c r="L16" s="11"/>
    </row>
    <row r="17" spans="1:12" ht="15" x14ac:dyDescent="0.35">
      <c r="A17" s="49">
        <v>2037</v>
      </c>
      <c r="B17" s="16">
        <v>8691903476</v>
      </c>
      <c r="C17" s="16">
        <v>8975685239</v>
      </c>
      <c r="D17" s="50">
        <v>9259867274</v>
      </c>
      <c r="E17" s="49">
        <v>2037</v>
      </c>
      <c r="F17" s="15">
        <v>44.342784808146632</v>
      </c>
      <c r="G17" s="15">
        <v>47.284914768486992</v>
      </c>
      <c r="H17" s="15">
        <v>50.31240321018393</v>
      </c>
      <c r="I17" s="55">
        <v>53.29721241120258</v>
      </c>
      <c r="J17" s="61">
        <f ca="1">VLOOKUP($A17,'Growth Scenarios'!$A$3:$D$80,MATCH('Scenario Picker'!$B$2,'Growth Scenarios'!$B$2:$D$2,0)+1)</f>
        <v>8975685239</v>
      </c>
      <c r="K17" s="59">
        <f ca="1">VLOOKUP($A17,'Growth Scenarios'!$E$3:$I$80,MATCH('Scenario Picker'!$B$3,'Growth Scenarios'!$F$2:$I$2,0)+1)</f>
        <v>44.342784808146632</v>
      </c>
      <c r="L17" s="11"/>
    </row>
    <row r="18" spans="1:12" ht="15" x14ac:dyDescent="0.35">
      <c r="A18" s="49">
        <v>2038</v>
      </c>
      <c r="B18" s="16">
        <v>8719960539</v>
      </c>
      <c r="C18" s="16">
        <v>9034620009</v>
      </c>
      <c r="D18" s="50">
        <v>9349801505</v>
      </c>
      <c r="E18" s="49">
        <v>2038</v>
      </c>
      <c r="F18" s="15">
        <v>44.09482502302032</v>
      </c>
      <c r="G18" s="15">
        <v>47.284914768486992</v>
      </c>
      <c r="H18" s="15">
        <v>50.57009551301249</v>
      </c>
      <c r="I18" s="55">
        <v>53.807730758008582</v>
      </c>
      <c r="J18" s="61">
        <f ca="1">VLOOKUP($A18,'Growth Scenarios'!$A$3:$D$80,MATCH('Scenario Picker'!$B$2,'Growth Scenarios'!$B$2:$D$2,0)+1)</f>
        <v>9034620009</v>
      </c>
      <c r="K18" s="59">
        <f ca="1">VLOOKUP($A18,'Growth Scenarios'!$E$3:$I$80,MATCH('Scenario Picker'!$B$3,'Growth Scenarios'!$F$2:$I$2,0)+1)</f>
        <v>44.09482502302032</v>
      </c>
      <c r="L18" s="11"/>
    </row>
    <row r="19" spans="1:12" ht="15" x14ac:dyDescent="0.35">
      <c r="A19" s="49">
        <v>2039</v>
      </c>
      <c r="B19" s="16">
        <v>8746815625</v>
      </c>
      <c r="C19" s="16">
        <v>9092525843</v>
      </c>
      <c r="D19" s="50">
        <v>9438868000</v>
      </c>
      <c r="E19" s="49">
        <v>2039</v>
      </c>
      <c r="F19" s="15">
        <v>43.832848440658843</v>
      </c>
      <c r="G19" s="15">
        <v>47.284914768486992</v>
      </c>
      <c r="H19" s="15">
        <v>50.842354777802129</v>
      </c>
      <c r="I19" s="55">
        <v>54.347107946373761</v>
      </c>
      <c r="J19" s="61">
        <f ca="1">VLOOKUP($A19,'Growth Scenarios'!$A$3:$D$80,MATCH('Scenario Picker'!$B$2,'Growth Scenarios'!$B$2:$D$2,0)+1)</f>
        <v>9092525843</v>
      </c>
      <c r="K19" s="59">
        <f ca="1">VLOOKUP($A19,'Growth Scenarios'!$E$3:$I$80,MATCH('Scenario Picker'!$B$3,'Growth Scenarios'!$F$2:$I$2,0)+1)</f>
        <v>43.832848440658843</v>
      </c>
      <c r="L19" s="11"/>
    </row>
    <row r="20" spans="1:12" ht="15" x14ac:dyDescent="0.35">
      <c r="A20" s="49">
        <v>2040</v>
      </c>
      <c r="B20" s="16">
        <v>8772393790</v>
      </c>
      <c r="C20" s="16">
        <v>9149330917</v>
      </c>
      <c r="D20" s="50">
        <v>9526988610</v>
      </c>
      <c r="E20" s="49">
        <v>2040</v>
      </c>
      <c r="F20" s="15">
        <v>43.556753668716183</v>
      </c>
      <c r="G20" s="15">
        <v>47.284914768486992</v>
      </c>
      <c r="H20" s="15">
        <v>51.129286376587736</v>
      </c>
      <c r="I20" s="55">
        <v>54.915552730523508</v>
      </c>
      <c r="J20" s="61">
        <f ca="1">VLOOKUP($A20,'Growth Scenarios'!$A$3:$D$80,MATCH('Scenario Picker'!$B$2,'Growth Scenarios'!$B$2:$D$2,0)+1)</f>
        <v>9149330917</v>
      </c>
      <c r="K20" s="59">
        <f ca="1">VLOOKUP($A20,'Growth Scenarios'!$E$3:$I$80,MATCH('Scenario Picker'!$B$3,'Growth Scenarios'!$F$2:$I$2,0)+1)</f>
        <v>43.556753668716183</v>
      </c>
      <c r="L20" s="11"/>
    </row>
    <row r="21" spans="1:12" ht="15" x14ac:dyDescent="0.35">
      <c r="A21" s="49">
        <v>2041</v>
      </c>
      <c r="B21" s="16">
        <v>8796697090</v>
      </c>
      <c r="C21" s="16">
        <v>9205049488</v>
      </c>
      <c r="D21" s="50">
        <v>9614188906</v>
      </c>
      <c r="E21" s="49">
        <v>2041</v>
      </c>
      <c r="F21" s="15">
        <v>43.266506238160851</v>
      </c>
      <c r="G21" s="15">
        <v>47.284914768486992</v>
      </c>
      <c r="H21" s="15">
        <v>51.430926131323673</v>
      </c>
      <c r="I21" s="55">
        <v>55.513136077905081</v>
      </c>
      <c r="J21" s="61">
        <f ca="1">VLOOKUP($A21,'Growth Scenarios'!$A$3:$D$80,MATCH('Scenario Picker'!$B$2,'Growth Scenarios'!$B$2:$D$2,0)+1)</f>
        <v>9205049488</v>
      </c>
      <c r="K21" s="59">
        <f ca="1">VLOOKUP($A21,'Growth Scenarios'!$E$3:$I$80,MATCH('Scenario Picker'!$B$3,'Growth Scenarios'!$F$2:$I$2,0)+1)</f>
        <v>43.266506238160851</v>
      </c>
      <c r="L21" s="11"/>
    </row>
    <row r="22" spans="1:12" ht="15" x14ac:dyDescent="0.35">
      <c r="A22" s="49">
        <v>2042</v>
      </c>
      <c r="B22" s="16">
        <v>8819538478</v>
      </c>
      <c r="C22" s="16">
        <v>9259513662</v>
      </c>
      <c r="D22" s="50">
        <v>9700331209</v>
      </c>
      <c r="E22" s="49">
        <v>2042</v>
      </c>
      <c r="F22" s="15">
        <v>42.962142384308358</v>
      </c>
      <c r="G22" s="15">
        <v>47.284914768486992</v>
      </c>
      <c r="H22" s="15">
        <v>51.747236384444221</v>
      </c>
      <c r="I22" s="55">
        <v>56.139783384512157</v>
      </c>
      <c r="J22" s="61">
        <f ca="1">VLOOKUP($A22,'Growth Scenarios'!$A$3:$D$80,MATCH('Scenario Picker'!$B$2,'Growth Scenarios'!$B$2:$D$2,0)+1)</f>
        <v>9259513662</v>
      </c>
      <c r="K22" s="59">
        <f ca="1">VLOOKUP($A22,'Growth Scenarios'!$E$3:$I$80,MATCH('Scenario Picker'!$B$3,'Growth Scenarios'!$F$2:$I$2,0)+1)</f>
        <v>42.962142384308358</v>
      </c>
      <c r="L22" s="11"/>
    </row>
    <row r="23" spans="1:12" ht="15" x14ac:dyDescent="0.35">
      <c r="A23" s="49">
        <v>2043</v>
      </c>
      <c r="B23" s="16">
        <v>8840872354</v>
      </c>
      <c r="C23" s="16">
        <v>9312707079</v>
      </c>
      <c r="D23" s="50">
        <v>9785450764</v>
      </c>
      <c r="E23" s="49">
        <v>2043</v>
      </c>
      <c r="F23" s="15">
        <v>42.643772298013523</v>
      </c>
      <c r="G23" s="15">
        <v>47.284914768486992</v>
      </c>
      <c r="H23" s="15">
        <v>52.078102620060825</v>
      </c>
      <c r="I23" s="55">
        <v>56.795267781084476</v>
      </c>
      <c r="J23" s="61">
        <f ca="1">VLOOKUP($A23,'Growth Scenarios'!$A$3:$D$80,MATCH('Scenario Picker'!$B$2,'Growth Scenarios'!$B$2:$D$2,0)+1)</f>
        <v>9312707079</v>
      </c>
      <c r="K23" s="59">
        <f ca="1">VLOOKUP($A23,'Growth Scenarios'!$E$3:$I$80,MATCH('Scenario Picker'!$B$3,'Growth Scenarios'!$F$2:$I$2,0)+1)</f>
        <v>42.643772298013523</v>
      </c>
      <c r="L23" s="11"/>
    </row>
    <row r="24" spans="1:12" ht="15" x14ac:dyDescent="0.35">
      <c r="A24" s="49">
        <v>2044</v>
      </c>
      <c r="B24" s="16">
        <v>8860651393</v>
      </c>
      <c r="C24" s="16">
        <v>9364615549</v>
      </c>
      <c r="D24" s="50">
        <v>9869598346</v>
      </c>
      <c r="E24" s="49">
        <v>2044</v>
      </c>
      <c r="F24" s="15">
        <v>42.311582779045104</v>
      </c>
      <c r="G24" s="15">
        <v>47.284914768486992</v>
      </c>
      <c r="H24" s="15">
        <v>52.423330706441348</v>
      </c>
      <c r="I24" s="55">
        <v>57.479204670139474</v>
      </c>
      <c r="J24" s="61">
        <f ca="1">VLOOKUP($A24,'Growth Scenarios'!$A$3:$D$80,MATCH('Scenario Picker'!$B$2,'Growth Scenarios'!$B$2:$D$2,0)+1)</f>
        <v>9364615549</v>
      </c>
      <c r="K24" s="59">
        <f ca="1">VLOOKUP($A24,'Growth Scenarios'!$E$3:$I$80,MATCH('Scenario Picker'!$B$3,'Growth Scenarios'!$F$2:$I$2,0)+1)</f>
        <v>42.311582779045104</v>
      </c>
      <c r="L24" s="11"/>
    </row>
    <row r="25" spans="1:12" ht="15" x14ac:dyDescent="0.35">
      <c r="A25" s="49">
        <v>2045</v>
      </c>
      <c r="B25" s="16">
        <v>8878739404</v>
      </c>
      <c r="C25" s="16">
        <v>9415131838</v>
      </c>
      <c r="D25" s="50">
        <v>9952780528</v>
      </c>
      <c r="E25" s="49">
        <v>2045</v>
      </c>
      <c r="F25" s="15">
        <v>41.965839229520249</v>
      </c>
      <c r="G25" s="15">
        <v>47.284914768486992</v>
      </c>
      <c r="H25" s="15">
        <v>52.782644824332657</v>
      </c>
      <c r="I25" s="55">
        <v>58.191047621738853</v>
      </c>
      <c r="J25" s="61">
        <f ca="1">VLOOKUP($A25,'Growth Scenarios'!$A$3:$D$80,MATCH('Scenario Picker'!$B$2,'Growth Scenarios'!$B$2:$D$2,0)+1)</f>
        <v>9415131838</v>
      </c>
      <c r="K25" s="59">
        <f ca="1">VLOOKUP($A25,'Growth Scenarios'!$E$3:$I$80,MATCH('Scenario Picker'!$B$3,'Growth Scenarios'!$F$2:$I$2,0)+1)</f>
        <v>41.965839229520249</v>
      </c>
      <c r="L25" s="11"/>
    </row>
    <row r="26" spans="1:12" ht="15" x14ac:dyDescent="0.35">
      <c r="A26" s="49">
        <v>2046</v>
      </c>
      <c r="B26" s="16">
        <v>8894986499</v>
      </c>
      <c r="C26" s="16">
        <v>9464147498</v>
      </c>
      <c r="D26" s="50">
        <v>10035008564</v>
      </c>
      <c r="E26" s="49">
        <v>2046</v>
      </c>
      <c r="F26" s="15">
        <v>41.606886932516204</v>
      </c>
      <c r="G26" s="15">
        <v>47.284914768486992</v>
      </c>
      <c r="H26" s="15">
        <v>53.155686138162856</v>
      </c>
      <c r="I26" s="55">
        <v>58.930085740986179</v>
      </c>
      <c r="J26" s="61">
        <f ca="1">VLOOKUP($A26,'Growth Scenarios'!$A$3:$D$80,MATCH('Scenario Picker'!$B$2,'Growth Scenarios'!$B$2:$D$2,0)+1)</f>
        <v>9464147498</v>
      </c>
      <c r="K26" s="59">
        <f ca="1">VLOOKUP($A26,'Growth Scenarios'!$E$3:$I$80,MATCH('Scenario Picker'!$B$3,'Growth Scenarios'!$F$2:$I$2,0)+1)</f>
        <v>41.606886932516204</v>
      </c>
      <c r="L26" s="11"/>
    </row>
    <row r="27" spans="1:12" ht="15" x14ac:dyDescent="0.35">
      <c r="A27" s="49">
        <v>2047</v>
      </c>
      <c r="B27" s="16">
        <v>8909319205</v>
      </c>
      <c r="C27" s="16">
        <v>9511631710</v>
      </c>
      <c r="D27" s="50">
        <v>10116378290</v>
      </c>
      <c r="E27" s="49">
        <v>2047</v>
      </c>
      <c r="F27" s="15">
        <v>41.235151569518884</v>
      </c>
      <c r="G27" s="15">
        <v>47.284914768486992</v>
      </c>
      <c r="H27" s="15">
        <v>53.542012258282668</v>
      </c>
      <c r="I27" s="55">
        <v>59.695442602664542</v>
      </c>
      <c r="J27" s="61">
        <f ca="1">VLOOKUP($A27,'Growth Scenarios'!$A$3:$D$80,MATCH('Scenario Picker'!$B$2,'Growth Scenarios'!$B$2:$D$2,0)+1)</f>
        <v>9511631710</v>
      </c>
      <c r="K27" s="59">
        <f ca="1">VLOOKUP($A27,'Growth Scenarios'!$E$3:$I$80,MATCH('Scenario Picker'!$B$3,'Growth Scenarios'!$F$2:$I$2,0)+1)</f>
        <v>41.235151569518884</v>
      </c>
      <c r="L27" s="11"/>
    </row>
    <row r="28" spans="1:12" ht="15" x14ac:dyDescent="0.35">
      <c r="A28" s="49">
        <v>2048</v>
      </c>
      <c r="B28" s="16">
        <v>8921569114</v>
      </c>
      <c r="C28" s="16">
        <v>9557460245</v>
      </c>
      <c r="D28" s="50">
        <v>10196895622</v>
      </c>
      <c r="E28" s="49">
        <v>2048</v>
      </c>
      <c r="F28" s="15">
        <v>40.851138940094287</v>
      </c>
      <c r="G28" s="15">
        <v>47.284914768486992</v>
      </c>
      <c r="H28" s="15">
        <v>53.941097532297015</v>
      </c>
      <c r="I28" s="55">
        <v>60.486076828398367</v>
      </c>
      <c r="J28" s="61">
        <f ca="1">VLOOKUP($A28,'Growth Scenarios'!$A$3:$D$80,MATCH('Scenario Picker'!$B$2,'Growth Scenarios'!$B$2:$D$2,0)+1)</f>
        <v>9557460245</v>
      </c>
      <c r="K28" s="59">
        <f ca="1">VLOOKUP($A28,'Growth Scenarios'!$E$3:$I$80,MATCH('Scenario Picker'!$B$3,'Growth Scenarios'!$F$2:$I$2,0)+1)</f>
        <v>40.851138940094287</v>
      </c>
      <c r="L28" s="11"/>
    </row>
    <row r="29" spans="1:12" ht="15" x14ac:dyDescent="0.35">
      <c r="A29" s="49">
        <v>2049</v>
      </c>
      <c r="B29" s="16">
        <v>8931665704</v>
      </c>
      <c r="C29" s="16">
        <v>9601611841</v>
      </c>
      <c r="D29" s="50">
        <v>10276674272</v>
      </c>
      <c r="E29" s="49">
        <v>2049</v>
      </c>
      <c r="F29" s="15">
        <v>40.455433857929556</v>
      </c>
      <c r="G29" s="15">
        <v>47.284914768486992</v>
      </c>
      <c r="H29" s="15">
        <v>54.352334192354817</v>
      </c>
      <c r="I29" s="55">
        <v>61.300784359567444</v>
      </c>
      <c r="J29" s="61">
        <f ca="1">VLOOKUP($A29,'Growth Scenarios'!$A$3:$D$80,MATCH('Scenario Picker'!$B$2,'Growth Scenarios'!$B$2:$D$2,0)+1)</f>
        <v>9601611841</v>
      </c>
      <c r="K29" s="59">
        <f ca="1">VLOOKUP($A29,'Growth Scenarios'!$E$3:$I$80,MATCH('Scenario Picker'!$B$3,'Growth Scenarios'!$F$2:$I$2,0)+1)</f>
        <v>40.455433857929556</v>
      </c>
      <c r="L29" s="11"/>
    </row>
    <row r="30" spans="1:12" ht="15" x14ac:dyDescent="0.35">
      <c r="A30" s="49">
        <v>2050</v>
      </c>
      <c r="B30" s="16">
        <v>8939503169</v>
      </c>
      <c r="C30" s="16">
        <v>9644036216</v>
      </c>
      <c r="D30" s="50">
        <v>10355799518</v>
      </c>
      <c r="E30" s="49">
        <v>2050</v>
      </c>
      <c r="F30" s="15">
        <v>40.048698209007306</v>
      </c>
      <c r="G30" s="15">
        <v>47.284914768486992</v>
      </c>
      <c r="H30" s="15">
        <v>54.775034373192</v>
      </c>
      <c r="I30" s="55">
        <v>62.13820245528435</v>
      </c>
      <c r="J30" s="61">
        <f ca="1">VLOOKUP($A30,'Growth Scenarios'!$A$3:$D$80,MATCH('Scenario Picker'!$B$2,'Growth Scenarios'!$B$2:$D$2,0)+1)</f>
        <v>9644036216</v>
      </c>
      <c r="K30" s="59">
        <f ca="1">VLOOKUP($A30,'Growth Scenarios'!$E$3:$I$80,MATCH('Scenario Picker'!$B$3,'Growth Scenarios'!$F$2:$I$2,0)+1)</f>
        <v>40.048698209007306</v>
      </c>
      <c r="L30" s="11"/>
    </row>
    <row r="31" spans="1:12" ht="15" x14ac:dyDescent="0.35">
      <c r="A31" s="49">
        <v>2051</v>
      </c>
      <c r="B31" s="16">
        <v>8945005928</v>
      </c>
      <c r="C31" s="16">
        <v>9684720958</v>
      </c>
      <c r="D31" s="50">
        <v>10434395512</v>
      </c>
      <c r="E31" s="49">
        <v>2051</v>
      </c>
      <c r="F31" s="15">
        <v>39.63166816994444</v>
      </c>
      <c r="G31" s="15">
        <v>47.284914768486992</v>
      </c>
      <c r="H31" s="15">
        <v>55.20843300297404</v>
      </c>
      <c r="I31" s="55">
        <v>62.99681541948884</v>
      </c>
      <c r="J31" s="61">
        <f ca="1">VLOOKUP($A31,'Growth Scenarios'!$A$3:$D$80,MATCH('Scenario Picker'!$B$2,'Growth Scenarios'!$B$2:$D$2,0)+1)</f>
        <v>9684720958</v>
      </c>
      <c r="K31" s="59">
        <f ca="1">VLOOKUP($A31,'Growth Scenarios'!$E$3:$I$80,MATCH('Scenario Picker'!$B$3,'Growth Scenarios'!$F$2:$I$2,0)+1)</f>
        <v>39.63166816994444</v>
      </c>
      <c r="L31" s="11"/>
    </row>
    <row r="32" spans="1:12" ht="15" x14ac:dyDescent="0.35">
      <c r="A32" s="49">
        <v>2052</v>
      </c>
      <c r="B32" s="16">
        <v>8948105360</v>
      </c>
      <c r="C32" s="16">
        <v>9723663649</v>
      </c>
      <c r="D32" s="50">
        <v>10512587339</v>
      </c>
      <c r="E32" s="49">
        <v>2052</v>
      </c>
      <c r="F32" s="15">
        <v>39.205150597217397</v>
      </c>
      <c r="G32" s="15">
        <v>47.284914768486992</v>
      </c>
      <c r="H32" s="15">
        <v>55.651691555794983</v>
      </c>
      <c r="I32" s="55">
        <v>63.874962035083776</v>
      </c>
      <c r="J32" s="61">
        <f ca="1">VLOOKUP($A32,'Growth Scenarios'!$A$3:$D$80,MATCH('Scenario Picker'!$B$2,'Growth Scenarios'!$B$2:$D$2,0)+1)</f>
        <v>9723663649</v>
      </c>
      <c r="K32" s="59">
        <f ca="1">VLOOKUP($A32,'Growth Scenarios'!$E$3:$I$80,MATCH('Scenario Picker'!$B$3,'Growth Scenarios'!$F$2:$I$2,0)+1)</f>
        <v>39.205150597217397</v>
      </c>
      <c r="L32" s="11"/>
    </row>
    <row r="33" spans="1:12" ht="15" x14ac:dyDescent="0.35">
      <c r="A33" s="49">
        <v>2053</v>
      </c>
      <c r="B33" s="16">
        <v>8948737100</v>
      </c>
      <c r="C33" s="16">
        <v>9760865381</v>
      </c>
      <c r="D33" s="50">
        <v>10590488317</v>
      </c>
      <c r="E33" s="49">
        <v>2053</v>
      </c>
      <c r="F33" s="15">
        <v>38.770018610866799</v>
      </c>
      <c r="G33" s="15">
        <v>47.284914768486992</v>
      </c>
      <c r="H33" s="15">
        <v>56.103902641314065</v>
      </c>
      <c r="I33" s="55">
        <v>64.77084465653769</v>
      </c>
      <c r="J33" s="61">
        <f ca="1">VLOOKUP($A33,'Growth Scenarios'!$A$3:$D$80,MATCH('Scenario Picker'!$B$2,'Growth Scenarios'!$B$2:$D$2,0)+1)</f>
        <v>9760865381</v>
      </c>
      <c r="K33" s="59">
        <f ca="1">VLOOKUP($A33,'Growth Scenarios'!$E$3:$I$80,MATCH('Scenario Picker'!$B$3,'Growth Scenarios'!$F$2:$I$2,0)+1)</f>
        <v>38.770018610866799</v>
      </c>
      <c r="L33" s="11"/>
    </row>
    <row r="34" spans="1:12" ht="15" x14ac:dyDescent="0.35">
      <c r="A34" s="49">
        <v>2054</v>
      </c>
      <c r="B34" s="16">
        <v>8946874020</v>
      </c>
      <c r="C34" s="16">
        <v>9796363847</v>
      </c>
      <c r="D34" s="50">
        <v>10668231353</v>
      </c>
      <c r="E34" s="49">
        <v>2054</v>
      </c>
      <c r="F34" s="15">
        <v>38.327206409070293</v>
      </c>
      <c r="G34" s="15">
        <v>47.284914768486992</v>
      </c>
      <c r="H34" s="15">
        <v>56.564095393713011</v>
      </c>
      <c r="I34" s="55">
        <v>65.682539886034363</v>
      </c>
      <c r="J34" s="61">
        <f ca="1">VLOOKUP($A34,'Growth Scenarios'!$A$3:$D$80,MATCH('Scenario Picker'!$B$2,'Growth Scenarios'!$B$2:$D$2,0)+1)</f>
        <v>9796363847</v>
      </c>
      <c r="K34" s="59">
        <f ca="1">VLOOKUP($A34,'Growth Scenarios'!$E$3:$I$80,MATCH('Scenario Picker'!$B$3,'Growth Scenarios'!$F$2:$I$2,0)+1)</f>
        <v>38.327206409070293</v>
      </c>
      <c r="L34" s="11"/>
    </row>
    <row r="35" spans="1:12" ht="15" x14ac:dyDescent="0.35">
      <c r="A35" s="49">
        <v>2055</v>
      </c>
      <c r="B35" s="16">
        <v>8942444911</v>
      </c>
      <c r="C35" s="16">
        <v>9830139471</v>
      </c>
      <c r="D35" s="50">
        <v>10745864365</v>
      </c>
      <c r="E35" s="49">
        <v>2055</v>
      </c>
      <c r="F35" s="15">
        <v>37.877703362432257</v>
      </c>
      <c r="G35" s="15">
        <v>47.284914768486992</v>
      </c>
      <c r="H35" s="15">
        <v>57.031241609207591</v>
      </c>
      <c r="I35" s="55">
        <v>66.608010732595275</v>
      </c>
      <c r="J35" s="61">
        <f ca="1">VLOOKUP($A35,'Growth Scenarios'!$A$3:$D$80,MATCH('Scenario Picker'!$B$2,'Growth Scenarios'!$B$2:$D$2,0)+1)</f>
        <v>9830139471</v>
      </c>
      <c r="K35" s="59">
        <f ca="1">VLOOKUP($A35,'Growth Scenarios'!$E$3:$I$80,MATCH('Scenario Picker'!$B$3,'Growth Scenarios'!$F$2:$I$2,0)+1)</f>
        <v>37.877703362432257</v>
      </c>
      <c r="L35" s="11"/>
    </row>
    <row r="36" spans="1:12" ht="15" x14ac:dyDescent="0.35">
      <c r="A36" s="49">
        <v>2056</v>
      </c>
      <c r="B36" s="16">
        <v>8935539936</v>
      </c>
      <c r="C36" s="16">
        <v>9862335670</v>
      </c>
      <c r="D36" s="50">
        <v>10823587538</v>
      </c>
      <c r="E36" s="49">
        <v>2056</v>
      </c>
      <c r="F36" s="15">
        <v>37.422547448706226</v>
      </c>
      <c r="G36" s="15">
        <v>47.284914768486992</v>
      </c>
      <c r="H36" s="15">
        <v>57.504262569015033</v>
      </c>
      <c r="I36" s="55">
        <v>67.545120129169433</v>
      </c>
      <c r="J36" s="61">
        <f ca="1">VLOOKUP($A36,'Growth Scenarios'!$A$3:$D$80,MATCH('Scenario Picker'!$B$2,'Growth Scenarios'!$B$2:$D$2,0)+1)</f>
        <v>9862335670</v>
      </c>
      <c r="K36" s="59">
        <f ca="1">VLOOKUP($A36,'Growth Scenarios'!$E$3:$I$80,MATCH('Scenario Picker'!$B$3,'Growth Scenarios'!$F$2:$I$2,0)+1)</f>
        <v>37.422547448706226</v>
      </c>
      <c r="L36" s="11"/>
    </row>
    <row r="37" spans="1:12" ht="15" x14ac:dyDescent="0.35">
      <c r="A37" s="49">
        <v>2057</v>
      </c>
      <c r="B37" s="16">
        <v>8926201486</v>
      </c>
      <c r="C37" s="16">
        <v>9893025114</v>
      </c>
      <c r="D37" s="50">
        <v>10901495104</v>
      </c>
      <c r="E37" s="49">
        <v>2057</v>
      </c>
      <c r="F37" s="15">
        <v>36.962818099686956</v>
      </c>
      <c r="G37" s="15">
        <v>47.284914768486992</v>
      </c>
      <c r="H37" s="15">
        <v>57.982036473224156</v>
      </c>
      <c r="I37" s="55">
        <v>68.491645659992756</v>
      </c>
      <c r="J37" s="61">
        <f ca="1">VLOOKUP($A37,'Growth Scenarios'!$A$3:$D$80,MATCH('Scenario Picker'!$B$2,'Growth Scenarios'!$B$2:$D$2,0)+1)</f>
        <v>9893025114</v>
      </c>
      <c r="K37" s="59">
        <f ca="1">VLOOKUP($A37,'Growth Scenarios'!$E$3:$I$80,MATCH('Scenario Picker'!$B$3,'Growth Scenarios'!$F$2:$I$2,0)+1)</f>
        <v>36.962818099686956</v>
      </c>
      <c r="L37" s="11"/>
    </row>
    <row r="38" spans="1:12" ht="15" x14ac:dyDescent="0.35">
      <c r="A38" s="49">
        <v>2058</v>
      </c>
      <c r="B38" s="16">
        <v>8914458863</v>
      </c>
      <c r="C38" s="16">
        <v>9922249272</v>
      </c>
      <c r="D38" s="50">
        <v>10979628049</v>
      </c>
      <c r="E38" s="49">
        <v>2058</v>
      </c>
      <c r="F38" s="15">
        <v>36.499628541949917</v>
      </c>
      <c r="G38" s="15">
        <v>47.284914768486992</v>
      </c>
      <c r="H38" s="15">
        <v>58.463406400684754</v>
      </c>
      <c r="I38" s="55">
        <v>69.445295330052161</v>
      </c>
      <c r="J38" s="61">
        <f ca="1">VLOOKUP($A38,'Growth Scenarios'!$A$3:$D$80,MATCH('Scenario Picker'!$B$2,'Growth Scenarios'!$B$2:$D$2,0)+1)</f>
        <v>9922249272</v>
      </c>
      <c r="K38" s="59">
        <f ca="1">VLOOKUP($A38,'Growth Scenarios'!$E$3:$I$80,MATCH('Scenario Picker'!$B$3,'Growth Scenarios'!$F$2:$I$2,0)+1)</f>
        <v>36.499628541949917</v>
      </c>
      <c r="L38" s="11"/>
    </row>
    <row r="39" spans="1:12" ht="15" x14ac:dyDescent="0.35">
      <c r="A39" s="49">
        <v>2059</v>
      </c>
      <c r="B39" s="16">
        <v>8900381497</v>
      </c>
      <c r="C39" s="16">
        <v>9950079486</v>
      </c>
      <c r="D39" s="50">
        <v>11058047591</v>
      </c>
      <c r="E39" s="49">
        <v>2059</v>
      </c>
      <c r="F39" s="15">
        <v>36.0341177217596</v>
      </c>
      <c r="G39" s="15">
        <v>47.284914768486992</v>
      </c>
      <c r="H39" s="15">
        <v>58.947188701049903</v>
      </c>
      <c r="I39" s="55">
        <v>70.403724190695044</v>
      </c>
      <c r="J39" s="61">
        <f ca="1">VLOOKUP($A39,'Growth Scenarios'!$A$3:$D$80,MATCH('Scenario Picker'!$B$2,'Growth Scenarios'!$B$2:$D$2,0)+1)</f>
        <v>9950079486</v>
      </c>
      <c r="K39" s="59">
        <f ca="1">VLOOKUP($A39,'Growth Scenarios'!$E$3:$I$80,MATCH('Scenario Picker'!$B$3,'Growth Scenarios'!$F$2:$I$2,0)+1)</f>
        <v>36.0341177217596</v>
      </c>
      <c r="L39" s="11"/>
    </row>
    <row r="40" spans="1:12" ht="15" x14ac:dyDescent="0.35">
      <c r="A40" s="49">
        <v>2060</v>
      </c>
      <c r="B40" s="16">
        <v>8884054037</v>
      </c>
      <c r="C40" s="16">
        <v>9976594679</v>
      </c>
      <c r="D40" s="50">
        <v>11136814462</v>
      </c>
      <c r="E40" s="49">
        <v>2060</v>
      </c>
      <c r="F40" s="15">
        <v>35.567441911624556</v>
      </c>
      <c r="G40" s="15">
        <v>47.284914768486992</v>
      </c>
      <c r="H40" s="15">
        <v>59.432181717666772</v>
      </c>
      <c r="I40" s="55">
        <v>71.364551620687863</v>
      </c>
      <c r="J40" s="61">
        <f ca="1">VLOOKUP($A40,'Growth Scenarios'!$A$3:$D$80,MATCH('Scenario Picker'!$B$2,'Growth Scenarios'!$B$2:$D$2,0)+1)</f>
        <v>9976594679</v>
      </c>
      <c r="K40" s="59">
        <f ca="1">VLOOKUP($A40,'Growth Scenarios'!$E$3:$I$80,MATCH('Scenario Picker'!$B$3,'Growth Scenarios'!$F$2:$I$2,0)+1)</f>
        <v>35.567441911624556</v>
      </c>
      <c r="L40" s="11"/>
    </row>
    <row r="41" spans="1:12" ht="15" x14ac:dyDescent="0.35">
      <c r="A41" s="49">
        <v>2061</v>
      </c>
      <c r="B41" s="16">
        <v>8865575454</v>
      </c>
      <c r="C41" s="16">
        <v>10001869905</v>
      </c>
      <c r="D41" s="50">
        <v>11215959888</v>
      </c>
      <c r="E41" s="49">
        <v>2061</v>
      </c>
      <c r="F41" s="15">
        <v>35.100766101489519</v>
      </c>
      <c r="G41" s="15">
        <v>47.284914768486992</v>
      </c>
      <c r="H41" s="15">
        <v>59.917174734283641</v>
      </c>
      <c r="I41" s="55">
        <v>72.325379050680695</v>
      </c>
      <c r="J41" s="61">
        <f ca="1">VLOOKUP($A41,'Growth Scenarios'!$A$3:$D$80,MATCH('Scenario Picker'!$B$2,'Growth Scenarios'!$B$2:$D$2,0)+1)</f>
        <v>10001869905</v>
      </c>
      <c r="K41" s="59">
        <f ca="1">VLOOKUP($A41,'Growth Scenarios'!$E$3:$I$80,MATCH('Scenario Picker'!$B$3,'Growth Scenarios'!$F$2:$I$2,0)+1)</f>
        <v>35.100766101489519</v>
      </c>
      <c r="L41" s="11"/>
    </row>
    <row r="42" spans="1:12" ht="15" x14ac:dyDescent="0.35">
      <c r="A42" s="49">
        <v>2062</v>
      </c>
      <c r="B42" s="16">
        <v>8845043371</v>
      </c>
      <c r="C42" s="16">
        <v>10025962521</v>
      </c>
      <c r="D42" s="50">
        <v>11295474302</v>
      </c>
      <c r="E42" s="49">
        <v>2062</v>
      </c>
      <c r="F42" s="15">
        <v>34.635255281299202</v>
      </c>
      <c r="G42" s="15">
        <v>47.284914768486992</v>
      </c>
      <c r="H42" s="15">
        <v>60.400957034648783</v>
      </c>
      <c r="I42" s="55">
        <v>73.283807911323564</v>
      </c>
      <c r="J42" s="61">
        <f ca="1">VLOOKUP($A42,'Growth Scenarios'!$A$3:$D$80,MATCH('Scenario Picker'!$B$2,'Growth Scenarios'!$B$2:$D$2,0)+1)</f>
        <v>10025962521</v>
      </c>
      <c r="K42" s="59">
        <f ca="1">VLOOKUP($A42,'Growth Scenarios'!$E$3:$I$80,MATCH('Scenario Picker'!$B$3,'Growth Scenarios'!$F$2:$I$2,0)+1)</f>
        <v>34.635255281299202</v>
      </c>
      <c r="L42" s="11"/>
    </row>
    <row r="43" spans="1:12" ht="15" x14ac:dyDescent="0.35">
      <c r="A43" s="49">
        <v>2063</v>
      </c>
      <c r="B43" s="16">
        <v>8822587979</v>
      </c>
      <c r="C43" s="16">
        <v>10048970678</v>
      </c>
      <c r="D43" s="50">
        <v>11375395203</v>
      </c>
      <c r="E43" s="49">
        <v>2063</v>
      </c>
      <c r="F43" s="15">
        <v>34.172065723562163</v>
      </c>
      <c r="G43" s="15">
        <v>47.284914768486992</v>
      </c>
      <c r="H43" s="15">
        <v>60.882326962109381</v>
      </c>
      <c r="I43" s="55">
        <v>74.237457581382984</v>
      </c>
      <c r="J43" s="61">
        <f ca="1">VLOOKUP($A43,'Growth Scenarios'!$A$3:$D$80,MATCH('Scenario Picker'!$B$2,'Growth Scenarios'!$B$2:$D$2,0)+1)</f>
        <v>10048970678</v>
      </c>
      <c r="K43" s="59">
        <f ca="1">VLOOKUP($A43,'Growth Scenarios'!$E$3:$I$80,MATCH('Scenario Picker'!$B$3,'Growth Scenarios'!$F$2:$I$2,0)+1)</f>
        <v>34.172065723562163</v>
      </c>
      <c r="L43" s="11"/>
    </row>
    <row r="44" spans="1:12" ht="15" x14ac:dyDescent="0.35">
      <c r="A44" s="49">
        <v>2064</v>
      </c>
      <c r="B44" s="16">
        <v>8798295537</v>
      </c>
      <c r="C44" s="16">
        <v>10070929392</v>
      </c>
      <c r="D44" s="50">
        <v>11455671669</v>
      </c>
      <c r="E44" s="49">
        <v>2064</v>
      </c>
      <c r="F44" s="15">
        <v>33.712336374542886</v>
      </c>
      <c r="G44" s="15">
        <v>47.284914768486992</v>
      </c>
      <c r="H44" s="15">
        <v>61.360100866318504</v>
      </c>
      <c r="I44" s="55">
        <v>75.183983112206306</v>
      </c>
      <c r="J44" s="61">
        <f ca="1">VLOOKUP($A44,'Growth Scenarios'!$A$3:$D$80,MATCH('Scenario Picker'!$B$2,'Growth Scenarios'!$B$2:$D$2,0)+1)</f>
        <v>10070929392</v>
      </c>
      <c r="K44" s="59">
        <f ca="1">VLOOKUP($A44,'Growth Scenarios'!$E$3:$I$80,MATCH('Scenario Picker'!$B$3,'Growth Scenarios'!$F$2:$I$2,0)+1)</f>
        <v>33.712336374542886</v>
      </c>
      <c r="L44" s="11"/>
    </row>
    <row r="45" spans="1:12" ht="15" x14ac:dyDescent="0.35">
      <c r="A45" s="49">
        <v>2065</v>
      </c>
      <c r="B45" s="16">
        <v>8772252269</v>
      </c>
      <c r="C45" s="16">
        <v>10091876081</v>
      </c>
      <c r="D45" s="50">
        <v>11536249764</v>
      </c>
      <c r="E45" s="49">
        <v>2065</v>
      </c>
      <c r="F45" s="15">
        <v>33.257180460816862</v>
      </c>
      <c r="G45" s="15">
        <v>47.284914768486992</v>
      </c>
      <c r="H45" s="15">
        <v>61.833121826125947</v>
      </c>
      <c r="I45" s="55">
        <v>76.121092508780492</v>
      </c>
      <c r="J45" s="61">
        <f ca="1">VLOOKUP($A45,'Growth Scenarios'!$A$3:$D$80,MATCH('Scenario Picker'!$B$2,'Growth Scenarios'!$B$2:$D$2,0)+1)</f>
        <v>10091876081</v>
      </c>
      <c r="K45" s="59">
        <f ca="1">VLOOKUP($A45,'Growth Scenarios'!$E$3:$I$80,MATCH('Scenario Picker'!$B$3,'Growth Scenarios'!$F$2:$I$2,0)+1)</f>
        <v>33.257180460816862</v>
      </c>
      <c r="L45" s="11"/>
    </row>
    <row r="46" spans="1:12" ht="15" x14ac:dyDescent="0.35">
      <c r="A46" s="49">
        <v>2066</v>
      </c>
      <c r="B46" s="16">
        <v>8744537010</v>
      </c>
      <c r="C46" s="16">
        <v>10111823041</v>
      </c>
      <c r="D46" s="50">
        <v>11617032414</v>
      </c>
      <c r="E46" s="49">
        <v>2066</v>
      </c>
      <c r="F46" s="15">
        <v>32.807677414178826</v>
      </c>
      <c r="G46" s="15">
        <v>47.284914768486992</v>
      </c>
      <c r="H46" s="15">
        <v>62.300268041620541</v>
      </c>
      <c r="I46" s="55">
        <v>77.046563355341377</v>
      </c>
      <c r="J46" s="61">
        <f ca="1">VLOOKUP($A46,'Growth Scenarios'!$A$3:$D$80,MATCH('Scenario Picker'!$B$2,'Growth Scenarios'!$B$2:$D$2,0)+1)</f>
        <v>10111823041</v>
      </c>
      <c r="K46" s="59">
        <f ca="1">VLOOKUP($A46,'Growth Scenarios'!$E$3:$I$80,MATCH('Scenario Picker'!$B$3,'Growth Scenarios'!$F$2:$I$2,0)+1)</f>
        <v>32.807677414178826</v>
      </c>
      <c r="L46" s="11"/>
    </row>
    <row r="47" spans="1:12" ht="15" x14ac:dyDescent="0.35">
      <c r="A47" s="49">
        <v>2067</v>
      </c>
      <c r="B47" s="16">
        <v>8715252033</v>
      </c>
      <c r="C47" s="16">
        <v>10130811174</v>
      </c>
      <c r="D47" s="50">
        <v>11697962642</v>
      </c>
      <c r="E47" s="49">
        <v>2067</v>
      </c>
      <c r="F47" s="15">
        <v>32.364865212382313</v>
      </c>
      <c r="G47" s="15">
        <v>47.284914768486992</v>
      </c>
      <c r="H47" s="15">
        <v>62.760460794019473</v>
      </c>
      <c r="I47" s="55">
        <v>77.958258584838049</v>
      </c>
      <c r="J47" s="61">
        <f ca="1">VLOOKUP($A47,'Growth Scenarios'!$A$3:$D$80,MATCH('Scenario Picker'!$B$2,'Growth Scenarios'!$B$2:$D$2,0)+1)</f>
        <v>10130811174</v>
      </c>
      <c r="K47" s="59">
        <f ca="1">VLOOKUP($A47,'Growth Scenarios'!$E$3:$I$80,MATCH('Scenario Picker'!$B$3,'Growth Scenarios'!$F$2:$I$2,0)+1)</f>
        <v>32.364865212382313</v>
      </c>
      <c r="L47" s="11"/>
    </row>
    <row r="48" spans="1:12" ht="15" x14ac:dyDescent="0.35">
      <c r="A48" s="49">
        <v>2068</v>
      </c>
      <c r="B48" s="16">
        <v>8684428212</v>
      </c>
      <c r="C48" s="16">
        <v>10148805547</v>
      </c>
      <c r="D48" s="50">
        <v>11778916376</v>
      </c>
      <c r="E48" s="49">
        <v>2068</v>
      </c>
      <c r="F48" s="15">
        <v>31.929733226031729</v>
      </c>
      <c r="G48" s="15">
        <v>47.284914768486992</v>
      </c>
      <c r="H48" s="15">
        <v>63.212671879538561</v>
      </c>
      <c r="I48" s="55">
        <v>78.85414120629197</v>
      </c>
      <c r="J48" s="61">
        <f ca="1">VLOOKUP($A48,'Growth Scenarios'!$A$3:$D$80,MATCH('Scenario Picker'!$B$2,'Growth Scenarios'!$B$2:$D$2,0)+1)</f>
        <v>10148805547</v>
      </c>
      <c r="K48" s="59">
        <f ca="1">VLOOKUP($A48,'Growth Scenarios'!$E$3:$I$80,MATCH('Scenario Picker'!$B$3,'Growth Scenarios'!$F$2:$I$2,0)+1)</f>
        <v>31.929733226031729</v>
      </c>
      <c r="L48" s="11"/>
    </row>
    <row r="49" spans="1:12" ht="15" x14ac:dyDescent="0.35">
      <c r="A49" s="49">
        <v>2069</v>
      </c>
      <c r="B49" s="16">
        <v>8652115936</v>
      </c>
      <c r="C49" s="16">
        <v>10165798334</v>
      </c>
      <c r="D49" s="50">
        <v>11859816208</v>
      </c>
      <c r="E49" s="49">
        <v>2069</v>
      </c>
      <c r="F49" s="15">
        <v>31.503215653304675</v>
      </c>
      <c r="G49" s="15">
        <v>47.284914768486992</v>
      </c>
      <c r="H49" s="15">
        <v>63.655930432359504</v>
      </c>
      <c r="I49" s="55">
        <v>79.732287821886914</v>
      </c>
      <c r="J49" s="61">
        <f ca="1">VLOOKUP($A49,'Growth Scenarios'!$A$3:$D$80,MATCH('Scenario Picker'!$B$2,'Growth Scenarios'!$B$2:$D$2,0)+1)</f>
        <v>10165798334</v>
      </c>
      <c r="K49" s="59">
        <f ca="1">VLOOKUP($A49,'Growth Scenarios'!$E$3:$I$80,MATCH('Scenario Picker'!$B$3,'Growth Scenarios'!$F$2:$I$2,0)+1)</f>
        <v>31.503215653304675</v>
      </c>
      <c r="L49" s="11"/>
    </row>
    <row r="50" spans="1:12" ht="15" x14ac:dyDescent="0.35">
      <c r="A50" s="49">
        <v>2070</v>
      </c>
      <c r="B50" s="16">
        <v>8618352322</v>
      </c>
      <c r="C50" s="16">
        <v>10181765935</v>
      </c>
      <c r="D50" s="50">
        <v>11940573515</v>
      </c>
      <c r="E50" s="49">
        <v>2070</v>
      </c>
      <c r="F50" s="15">
        <v>31.08618561424181</v>
      </c>
      <c r="G50" s="15">
        <v>47.284914768486992</v>
      </c>
      <c r="H50" s="15">
        <v>64.089329062141545</v>
      </c>
      <c r="I50" s="55">
        <v>80.590900786091396</v>
      </c>
      <c r="J50" s="61">
        <f ca="1">VLOOKUP($A50,'Growth Scenarios'!$A$3:$D$80,MATCH('Scenario Picker'!$B$2,'Growth Scenarios'!$B$2:$D$2,0)+1)</f>
        <v>10181765935</v>
      </c>
      <c r="K50" s="59">
        <f ca="1">VLOOKUP($A50,'Growth Scenarios'!$E$3:$I$80,MATCH('Scenario Picker'!$B$3,'Growth Scenarios'!$F$2:$I$2,0)+1)</f>
        <v>31.08618561424181</v>
      </c>
      <c r="L50" s="11"/>
    </row>
    <row r="51" spans="1:12" ht="15" x14ac:dyDescent="0.35">
      <c r="A51" s="49">
        <v>2071</v>
      </c>
      <c r="B51" s="16">
        <v>8583184807</v>
      </c>
      <c r="C51" s="16">
        <v>10196717983</v>
      </c>
      <c r="D51" s="50">
        <v>12021164167</v>
      </c>
      <c r="E51" s="49">
        <v>2071</v>
      </c>
      <c r="F51" s="15">
        <v>30.67944996531957</v>
      </c>
      <c r="G51" s="15">
        <v>47.284914768486992</v>
      </c>
      <c r="H51" s="15">
        <v>64.512029242978727</v>
      </c>
      <c r="I51" s="55">
        <v>81.428318881808309</v>
      </c>
      <c r="J51" s="61">
        <f ca="1">VLOOKUP($A51,'Growth Scenarios'!$A$3:$D$80,MATCH('Scenario Picker'!$B$2,'Growth Scenarios'!$B$2:$D$2,0)+1)</f>
        <v>10196717983</v>
      </c>
      <c r="K51" s="59">
        <f ca="1">VLOOKUP($A51,'Growth Scenarios'!$E$3:$I$80,MATCH('Scenario Picker'!$B$3,'Growth Scenarios'!$F$2:$I$2,0)+1)</f>
        <v>30.67944996531957</v>
      </c>
      <c r="L51" s="11"/>
    </row>
    <row r="52" spans="1:12" ht="15" x14ac:dyDescent="0.35">
      <c r="A52" s="49">
        <v>2072</v>
      </c>
      <c r="B52" s="16">
        <v>8546642865</v>
      </c>
      <c r="C52" s="16">
        <v>10210645154</v>
      </c>
      <c r="D52" s="50">
        <v>12101551813</v>
      </c>
      <c r="E52" s="49">
        <v>2072</v>
      </c>
      <c r="F52" s="15">
        <v>30.283744883154831</v>
      </c>
      <c r="G52" s="15">
        <v>47.284914768486992</v>
      </c>
      <c r="H52" s="15">
        <v>64.923265903036523</v>
      </c>
      <c r="I52" s="55">
        <v>82.243026412977358</v>
      </c>
      <c r="J52" s="61">
        <f ca="1">VLOOKUP($A52,'Growth Scenarios'!$A$3:$D$80,MATCH('Scenario Picker'!$B$2,'Growth Scenarios'!$B$2:$D$2,0)+1)</f>
        <v>10210645154</v>
      </c>
      <c r="K52" s="59">
        <f ca="1">VLOOKUP($A52,'Growth Scenarios'!$E$3:$I$80,MATCH('Scenario Picker'!$B$3,'Growth Scenarios'!$F$2:$I$2,0)+1)</f>
        <v>30.283744883154831</v>
      </c>
      <c r="L52" s="11"/>
    </row>
    <row r="53" spans="1:12" ht="15" x14ac:dyDescent="0.35">
      <c r="A53" s="49">
        <v>2073</v>
      </c>
      <c r="B53" s="16">
        <v>8508687157</v>
      </c>
      <c r="C53" s="16">
        <v>10223465184</v>
      </c>
      <c r="D53" s="50">
        <v>12181632528</v>
      </c>
      <c r="E53" s="49">
        <v>2073</v>
      </c>
      <c r="F53" s="15">
        <v>29.899732253730232</v>
      </c>
      <c r="G53" s="15">
        <v>47.284914768486992</v>
      </c>
      <c r="H53" s="15">
        <v>65.322351177050876</v>
      </c>
      <c r="I53" s="55">
        <v>83.033660638711183</v>
      </c>
      <c r="J53" s="61">
        <f ca="1">VLOOKUP($A53,'Growth Scenarios'!$A$3:$D$80,MATCH('Scenario Picker'!$B$2,'Growth Scenarios'!$B$2:$D$2,0)+1)</f>
        <v>10223465184</v>
      </c>
      <c r="K53" s="59">
        <f ca="1">VLOOKUP($A53,'Growth Scenarios'!$E$3:$I$80,MATCH('Scenario Picker'!$B$3,'Growth Scenarios'!$F$2:$I$2,0)+1)</f>
        <v>29.899732253730232</v>
      </c>
      <c r="L53" s="11"/>
    </row>
    <row r="54" spans="1:12" ht="15" x14ac:dyDescent="0.35">
      <c r="A54" s="49">
        <v>2074</v>
      </c>
      <c r="B54" s="16">
        <v>8469353044</v>
      </c>
      <c r="C54" s="16">
        <v>10235190464</v>
      </c>
      <c r="D54" s="50">
        <v>12261422777</v>
      </c>
      <c r="E54" s="49">
        <v>2074</v>
      </c>
      <c r="F54" s="15">
        <v>29.527996890732911</v>
      </c>
      <c r="G54" s="15">
        <v>47.284914768486992</v>
      </c>
      <c r="H54" s="15">
        <v>65.708677297170681</v>
      </c>
      <c r="I54" s="55">
        <v>83.799017500389567</v>
      </c>
      <c r="J54" s="61">
        <f ca="1">VLOOKUP($A54,'Growth Scenarios'!$A$3:$D$80,MATCH('Scenario Picker'!$B$2,'Growth Scenarios'!$B$2:$D$2,0)+1)</f>
        <v>10235190464</v>
      </c>
      <c r="K54" s="59">
        <f ca="1">VLOOKUP($A54,'Growth Scenarios'!$E$3:$I$80,MATCH('Scenario Picker'!$B$3,'Growth Scenarios'!$F$2:$I$2,0)+1)</f>
        <v>29.527996890732911</v>
      </c>
      <c r="L54" s="11"/>
    </row>
    <row r="55" spans="1:12" ht="15" x14ac:dyDescent="0.35">
      <c r="A55" s="49">
        <v>2075</v>
      </c>
      <c r="B55" s="16">
        <v>8428626668</v>
      </c>
      <c r="C55" s="16">
        <v>10245779647</v>
      </c>
      <c r="D55" s="50">
        <v>12340888367</v>
      </c>
      <c r="E55" s="49">
        <v>2075</v>
      </c>
      <c r="F55" s="15">
        <v>29.169044593728866</v>
      </c>
      <c r="G55" s="15">
        <v>47.284914768486992</v>
      </c>
      <c r="H55" s="15">
        <v>66.081718611000881</v>
      </c>
      <c r="I55" s="55">
        <v>84.538055619636893</v>
      </c>
      <c r="J55" s="61">
        <f ca="1">VLOOKUP($A55,'Growth Scenarios'!$A$3:$D$80,MATCH('Scenario Picker'!$B$2,'Growth Scenarios'!$B$2:$D$2,0)+1)</f>
        <v>10245779647</v>
      </c>
      <c r="K55" s="59">
        <f ca="1">VLOOKUP($A55,'Growth Scenarios'!$E$3:$I$80,MATCH('Scenario Picker'!$B$3,'Growth Scenarios'!$F$2:$I$2,0)+1)</f>
        <v>29.169044593728866</v>
      </c>
      <c r="L55" s="11"/>
    </row>
    <row r="56" spans="1:12" ht="15" x14ac:dyDescent="0.35">
      <c r="A56" s="49">
        <v>2076</v>
      </c>
      <c r="B56" s="16">
        <v>8386503596</v>
      </c>
      <c r="C56" s="16">
        <v>10255213216</v>
      </c>
      <c r="D56" s="50">
        <v>12420036107</v>
      </c>
      <c r="E56" s="49">
        <v>2076</v>
      </c>
      <c r="F56" s="15">
        <v>28.823301044204019</v>
      </c>
      <c r="G56" s="15">
        <v>47.284914768486992</v>
      </c>
      <c r="H56" s="15">
        <v>66.441032728892196</v>
      </c>
      <c r="I56" s="55">
        <v>85.249898571236272</v>
      </c>
      <c r="J56" s="61">
        <f ca="1">VLOOKUP($A56,'Growth Scenarios'!$A$3:$D$80,MATCH('Scenario Picker'!$B$2,'Growth Scenarios'!$B$2:$D$2,0)+1)</f>
        <v>10255213216</v>
      </c>
      <c r="K56" s="59">
        <f ca="1">VLOOKUP($A56,'Growth Scenarios'!$E$3:$I$80,MATCH('Scenario Picker'!$B$3,'Growth Scenarios'!$F$2:$I$2,0)+1)</f>
        <v>28.823301044204019</v>
      </c>
      <c r="L56" s="11"/>
    </row>
    <row r="57" spans="1:12" ht="15" x14ac:dyDescent="0.35">
      <c r="A57" s="49">
        <v>2077</v>
      </c>
      <c r="B57" s="16">
        <v>8342989249</v>
      </c>
      <c r="C57" s="16">
        <v>10263489648</v>
      </c>
      <c r="D57" s="50">
        <v>12498906340</v>
      </c>
      <c r="E57" s="49">
        <v>2077</v>
      </c>
      <c r="F57" s="15">
        <v>28.491111525235596</v>
      </c>
      <c r="G57" s="15">
        <v>47.284914768486992</v>
      </c>
      <c r="H57" s="15">
        <v>66.786260815272726</v>
      </c>
      <c r="I57" s="55">
        <v>85.933835460291277</v>
      </c>
      <c r="J57" s="61">
        <f ca="1">VLOOKUP($A57,'Growth Scenarios'!$A$3:$D$80,MATCH('Scenario Picker'!$B$2,'Growth Scenarios'!$B$2:$D$2,0)+1)</f>
        <v>10263489648</v>
      </c>
      <c r="K57" s="59">
        <f ca="1">VLOOKUP($A57,'Growth Scenarios'!$E$3:$I$80,MATCH('Scenario Picker'!$B$3,'Growth Scenarios'!$F$2:$I$2,0)+1)</f>
        <v>28.491111525235596</v>
      </c>
      <c r="L57" s="11"/>
    </row>
    <row r="58" spans="1:12" ht="15" x14ac:dyDescent="0.35">
      <c r="A58" s="49">
        <v>2078</v>
      </c>
      <c r="B58" s="16">
        <v>8298086442</v>
      </c>
      <c r="C58" s="16">
        <v>10270600397</v>
      </c>
      <c r="D58" s="50">
        <v>12577530640</v>
      </c>
      <c r="E58" s="49">
        <v>2078</v>
      </c>
      <c r="F58" s="15">
        <v>28.172741438940758</v>
      </c>
      <c r="G58" s="15">
        <v>47.284914768486992</v>
      </c>
      <c r="H58" s="15">
        <v>67.117127050889323</v>
      </c>
      <c r="I58" s="55">
        <v>86.589319856863582</v>
      </c>
      <c r="J58" s="61">
        <f ca="1">VLOOKUP($A58,'Growth Scenarios'!$A$3:$D$80,MATCH('Scenario Picker'!$B$2,'Growth Scenarios'!$B$2:$D$2,0)+1)</f>
        <v>10270600397</v>
      </c>
      <c r="K58" s="59">
        <f ca="1">VLOOKUP($A58,'Growth Scenarios'!$E$3:$I$80,MATCH('Scenario Picker'!$B$3,'Growth Scenarios'!$F$2:$I$2,0)+1)</f>
        <v>28.172741438940758</v>
      </c>
      <c r="L58" s="11"/>
    </row>
    <row r="59" spans="1:12" ht="15" x14ac:dyDescent="0.35">
      <c r="A59" s="49">
        <v>2079</v>
      </c>
      <c r="B59" s="16">
        <v>8251775028</v>
      </c>
      <c r="C59" s="16">
        <v>10276512248</v>
      </c>
      <c r="D59" s="50">
        <v>12655916695</v>
      </c>
      <c r="E59" s="49">
        <v>2079</v>
      </c>
      <c r="F59" s="15">
        <v>27.868377585088272</v>
      </c>
      <c r="G59" s="15">
        <v>47.284914768486992</v>
      </c>
      <c r="H59" s="15">
        <v>67.433437304009871</v>
      </c>
      <c r="I59" s="55">
        <v>87.215967163470665</v>
      </c>
      <c r="J59" s="61">
        <f ca="1">VLOOKUP($A59,'Growth Scenarios'!$A$3:$D$80,MATCH('Scenario Picker'!$B$2,'Growth Scenarios'!$B$2:$D$2,0)+1)</f>
        <v>10276512248</v>
      </c>
      <c r="K59" s="59">
        <f ca="1">VLOOKUP($A59,'Growth Scenarios'!$E$3:$I$80,MATCH('Scenario Picker'!$B$3,'Growth Scenarios'!$F$2:$I$2,0)+1)</f>
        <v>27.868377585088272</v>
      </c>
      <c r="L59" s="11"/>
    </row>
    <row r="60" spans="1:12" ht="15" x14ac:dyDescent="0.35">
      <c r="A60" s="49">
        <v>2080</v>
      </c>
      <c r="B60" s="16">
        <v>8204091507</v>
      </c>
      <c r="C60" s="16">
        <v>10281262698</v>
      </c>
      <c r="D60" s="50">
        <v>12734155524</v>
      </c>
      <c r="E60" s="49">
        <v>2080</v>
      </c>
      <c r="F60" s="15">
        <v>27.578130154532939</v>
      </c>
      <c r="G60" s="15">
        <v>47.284914768486992</v>
      </c>
      <c r="H60" s="15">
        <v>67.735077058745802</v>
      </c>
      <c r="I60" s="55">
        <v>87.813550510852238</v>
      </c>
      <c r="J60" s="61">
        <f ca="1">VLOOKUP($A60,'Growth Scenarios'!$A$3:$D$80,MATCH('Scenario Picker'!$B$2,'Growth Scenarios'!$B$2:$D$2,0)+1)</f>
        <v>10281262698</v>
      </c>
      <c r="K60" s="59">
        <f ca="1">VLOOKUP($A60,'Growth Scenarios'!$E$3:$I$80,MATCH('Scenario Picker'!$B$3,'Growth Scenarios'!$F$2:$I$2,0)+1)</f>
        <v>27.578130154532939</v>
      </c>
      <c r="L60" s="11"/>
    </row>
    <row r="61" spans="1:12" ht="15" x14ac:dyDescent="0.35">
      <c r="A61" s="49">
        <v>2081</v>
      </c>
      <c r="B61" s="16">
        <v>8155069166</v>
      </c>
      <c r="C61" s="16">
        <v>10284893359</v>
      </c>
      <c r="D61" s="50">
        <v>12812350298</v>
      </c>
      <c r="E61" s="49">
        <v>2081</v>
      </c>
      <c r="F61" s="15">
        <v>27.302035382590276</v>
      </c>
      <c r="G61" s="15">
        <v>47.284914768486992</v>
      </c>
      <c r="H61" s="15">
        <v>68.022008657531416</v>
      </c>
      <c r="I61" s="55">
        <v>88.381995295001985</v>
      </c>
      <c r="J61" s="61">
        <f ca="1">VLOOKUP($A61,'Growth Scenarios'!$A$3:$D$80,MATCH('Scenario Picker'!$B$2,'Growth Scenarios'!$B$2:$D$2,0)+1)</f>
        <v>10284893359</v>
      </c>
      <c r="K61" s="59">
        <f ca="1">VLOOKUP($A61,'Growth Scenarios'!$E$3:$I$80,MATCH('Scenario Picker'!$B$3,'Growth Scenarios'!$F$2:$I$2,0)+1)</f>
        <v>27.302035382590276</v>
      </c>
      <c r="L61" s="11"/>
    </row>
    <row r="62" spans="1:12" ht="15" x14ac:dyDescent="0.35">
      <c r="A62" s="49">
        <v>2082</v>
      </c>
      <c r="B62" s="16">
        <v>8104741389</v>
      </c>
      <c r="C62" s="16">
        <v>10287430111</v>
      </c>
      <c r="D62" s="50">
        <v>12890566260</v>
      </c>
      <c r="E62" s="49">
        <v>2082</v>
      </c>
      <c r="F62" s="15">
        <v>27.040058800228799</v>
      </c>
      <c r="G62" s="15">
        <v>47.284914768486992</v>
      </c>
      <c r="H62" s="15">
        <v>68.294267922321055</v>
      </c>
      <c r="I62" s="55">
        <v>88.921372483367165</v>
      </c>
      <c r="J62" s="61">
        <f ca="1">VLOOKUP($A62,'Growth Scenarios'!$A$3:$D$80,MATCH('Scenario Picker'!$B$2,'Growth Scenarios'!$B$2:$D$2,0)+1)</f>
        <v>10287430111</v>
      </c>
      <c r="K62" s="59">
        <f ca="1">VLOOKUP($A62,'Growth Scenarios'!$E$3:$I$80,MATCH('Scenario Picker'!$B$3,'Growth Scenarios'!$F$2:$I$2,0)+1)</f>
        <v>27.040058800228799</v>
      </c>
      <c r="L62" s="11"/>
    </row>
    <row r="63" spans="1:12" ht="15" x14ac:dyDescent="0.35">
      <c r="A63" s="49">
        <v>2083</v>
      </c>
      <c r="B63" s="16">
        <v>8053191432</v>
      </c>
      <c r="C63" s="16">
        <v>10288979989</v>
      </c>
      <c r="D63" s="50">
        <v>12968978559</v>
      </c>
      <c r="E63" s="49">
        <v>2083</v>
      </c>
      <c r="F63" s="15">
        <v>26.792099015102487</v>
      </c>
      <c r="G63" s="15">
        <v>47.284914768486992</v>
      </c>
      <c r="H63" s="15">
        <v>68.551960225149614</v>
      </c>
      <c r="I63" s="55">
        <v>89.431890830173174</v>
      </c>
      <c r="J63" s="61">
        <f ca="1">VLOOKUP($A63,'Growth Scenarios'!$A$3:$D$80,MATCH('Scenario Picker'!$B$2,'Growth Scenarios'!$B$2:$D$2,0)+1)</f>
        <v>10288979989</v>
      </c>
      <c r="K63" s="59">
        <f ca="1">VLOOKUP($A63,'Growth Scenarios'!$E$3:$I$80,MATCH('Scenario Picker'!$B$3,'Growth Scenarios'!$F$2:$I$2,0)+1)</f>
        <v>26.792099015102487</v>
      </c>
      <c r="L63" s="11"/>
    </row>
    <row r="64" spans="1:12" ht="15" x14ac:dyDescent="0.35">
      <c r="A64" s="49">
        <v>2084</v>
      </c>
      <c r="B64" s="16">
        <v>8000404711</v>
      </c>
      <c r="C64" s="16">
        <v>10289514658</v>
      </c>
      <c r="D64" s="50">
        <v>13047577724</v>
      </c>
      <c r="E64" s="49">
        <v>2084</v>
      </c>
      <c r="F64" s="15">
        <v>26.557991950026715</v>
      </c>
      <c r="G64" s="15">
        <v>47.284914768486992</v>
      </c>
      <c r="H64" s="15">
        <v>68.795256083294831</v>
      </c>
      <c r="I64" s="55">
        <v>89.913888149928894</v>
      </c>
      <c r="J64" s="61">
        <f ca="1">VLOOKUP($A64,'Growth Scenarios'!$A$3:$D$80,MATCH('Scenario Picker'!$B$2,'Growth Scenarios'!$B$2:$D$2,0)+1)</f>
        <v>10289514658</v>
      </c>
      <c r="K64" s="59">
        <f ca="1">VLOOKUP($A64,'Growth Scenarios'!$E$3:$I$80,MATCH('Scenario Picker'!$B$3,'Growth Scenarios'!$F$2:$I$2,0)+1)</f>
        <v>26.557991950026715</v>
      </c>
      <c r="L64" s="11"/>
    </row>
    <row r="65" spans="1:12" ht="15" x14ac:dyDescent="0.35">
      <c r="A65" s="49">
        <v>2085</v>
      </c>
      <c r="B65" s="16">
        <v>7946456830</v>
      </c>
      <c r="C65" s="16">
        <v>10289115830</v>
      </c>
      <c r="D65" s="50">
        <v>13126478913</v>
      </c>
      <c r="E65" s="49">
        <v>2085</v>
      </c>
      <c r="F65" s="15">
        <v>26.33751546353302</v>
      </c>
      <c r="G65" s="15">
        <v>47.284914768486992</v>
      </c>
      <c r="H65" s="15">
        <v>69.024386357363937</v>
      </c>
      <c r="I65" s="55">
        <v>90.367821804279401</v>
      </c>
      <c r="J65" s="61">
        <f ca="1">VLOOKUP($A65,'Growth Scenarios'!$A$3:$D$80,MATCH('Scenario Picker'!$B$2,'Growth Scenarios'!$B$2:$D$2,0)+1)</f>
        <v>10289115830</v>
      </c>
      <c r="K65" s="59">
        <f ca="1">VLOOKUP($A65,'Growth Scenarios'!$E$3:$I$80,MATCH('Scenario Picker'!$B$3,'Growth Scenarios'!$F$2:$I$2,0)+1)</f>
        <v>26.33751546353302</v>
      </c>
      <c r="L65" s="11"/>
    </row>
    <row r="66" spans="1:12" ht="15" x14ac:dyDescent="0.35">
      <c r="A66" s="49">
        <v>2086</v>
      </c>
      <c r="B66" s="16">
        <v>7891365386</v>
      </c>
      <c r="C66" s="16">
        <v>10287797368</v>
      </c>
      <c r="D66" s="50">
        <v>13205711278</v>
      </c>
      <c r="E66" s="49">
        <v>2086</v>
      </c>
      <c r="F66" s="15">
        <v>26.130394275605035</v>
      </c>
      <c r="G66" s="15">
        <v>47.284914768486992</v>
      </c>
      <c r="H66" s="15">
        <v>69.239637132220679</v>
      </c>
      <c r="I66" s="55">
        <v>90.79425856052849</v>
      </c>
      <c r="J66" s="61">
        <f ca="1">VLOOKUP($A66,'Growth Scenarios'!$A$3:$D$80,MATCH('Scenario Picker'!$B$2,'Growth Scenarios'!$B$2:$D$2,0)+1)</f>
        <v>10287797368</v>
      </c>
      <c r="K66" s="59">
        <f ca="1">VLOOKUP($A66,'Growth Scenarios'!$E$3:$I$80,MATCH('Scenario Picker'!$B$3,'Growth Scenarios'!$F$2:$I$2,0)+1)</f>
        <v>26.130394275605035</v>
      </c>
      <c r="L66" s="11"/>
    </row>
    <row r="67" spans="1:12" ht="15" x14ac:dyDescent="0.35">
      <c r="A67" s="49">
        <v>2087</v>
      </c>
      <c r="B67" s="16">
        <v>7835192737</v>
      </c>
      <c r="C67" s="16">
        <v>10285619351</v>
      </c>
      <c r="D67" s="50">
        <v>13285346203</v>
      </c>
      <c r="E67" s="49">
        <v>2087</v>
      </c>
      <c r="F67" s="15">
        <v>25.936305121552905</v>
      </c>
      <c r="G67" s="15">
        <v>47.284914768486992</v>
      </c>
      <c r="H67" s="15">
        <v>69.441344360819301</v>
      </c>
      <c r="I67" s="55">
        <v>91.193863980452505</v>
      </c>
      <c r="J67" s="61">
        <f ca="1">VLOOKUP($A67,'Growth Scenarios'!$A$3:$D$80,MATCH('Scenario Picker'!$B$2,'Growth Scenarios'!$B$2:$D$2,0)+1)</f>
        <v>10285619351</v>
      </c>
      <c r="K67" s="59">
        <f ca="1">VLOOKUP($A67,'Growth Scenarios'!$E$3:$I$80,MATCH('Scenario Picker'!$B$3,'Growth Scenarios'!$F$2:$I$2,0)+1)</f>
        <v>25.936305121552905</v>
      </c>
      <c r="L67" s="11"/>
    </row>
    <row r="68" spans="1:12" ht="15" x14ac:dyDescent="0.35">
      <c r="A68" s="49">
        <v>2088</v>
      </c>
      <c r="B68" s="16">
        <v>7777963333</v>
      </c>
      <c r="C68" s="16">
        <v>10282603396</v>
      </c>
      <c r="D68" s="50">
        <v>13365407548</v>
      </c>
      <c r="E68" s="49">
        <v>2088</v>
      </c>
      <c r="F68" s="15">
        <v>25.754882058151907</v>
      </c>
      <c r="G68" s="15">
        <v>47.284914768486992</v>
      </c>
      <c r="H68" s="15">
        <v>69.629888349798009</v>
      </c>
      <c r="I68" s="55">
        <v>91.567391495621038</v>
      </c>
      <c r="J68" s="61">
        <f ca="1">VLOOKUP($A68,'Growth Scenarios'!$A$3:$D$80,MATCH('Scenario Picker'!$B$2,'Growth Scenarios'!$B$2:$D$2,0)+1)</f>
        <v>10282603396</v>
      </c>
      <c r="K68" s="59">
        <f ca="1">VLOOKUP($A68,'Growth Scenarios'!$E$3:$I$80,MATCH('Scenario Picker'!$B$3,'Growth Scenarios'!$F$2:$I$2,0)+1)</f>
        <v>25.754882058151907</v>
      </c>
      <c r="L68" s="11"/>
    </row>
    <row r="69" spans="1:12" ht="15" x14ac:dyDescent="0.35">
      <c r="A69" s="49">
        <v>2089</v>
      </c>
      <c r="B69" s="16">
        <v>7719737518</v>
      </c>
      <c r="C69" s="16">
        <v>10278805749</v>
      </c>
      <c r="D69" s="50">
        <v>13445945413</v>
      </c>
      <c r="E69" s="49">
        <v>2089</v>
      </c>
      <c r="F69" s="15">
        <v>25.585721848553696</v>
      </c>
      <c r="G69" s="15">
        <v>47.284914768486992</v>
      </c>
      <c r="H69" s="15">
        <v>69.805688163207748</v>
      </c>
      <c r="I69" s="55">
        <v>91.915671320534756</v>
      </c>
      <c r="J69" s="61">
        <f ca="1">VLOOKUP($A69,'Growth Scenarios'!$A$3:$D$80,MATCH('Scenario Picker'!$B$2,'Growth Scenarios'!$B$2:$D$2,0)+1)</f>
        <v>10278805749</v>
      </c>
      <c r="K69" s="59">
        <f ca="1">VLOOKUP($A69,'Growth Scenarios'!$E$3:$I$80,MATCH('Scenario Picker'!$B$3,'Growth Scenarios'!$F$2:$I$2,0)+1)</f>
        <v>25.585721848553696</v>
      </c>
      <c r="L69" s="11"/>
    </row>
    <row r="70" spans="1:12" ht="15" x14ac:dyDescent="0.35">
      <c r="A70" s="49">
        <v>2090</v>
      </c>
      <c r="B70" s="16">
        <v>7660529339</v>
      </c>
      <c r="C70" s="16">
        <v>10274230810</v>
      </c>
      <c r="D70" s="50">
        <v>13526948101</v>
      </c>
      <c r="E70" s="49">
        <v>2090</v>
      </c>
      <c r="F70" s="15">
        <v>25.428389355956465</v>
      </c>
      <c r="G70" s="15">
        <v>47.284914768486992</v>
      </c>
      <c r="H70" s="15">
        <v>69.969196017138501</v>
      </c>
      <c r="I70" s="55">
        <v>92.239599347729524</v>
      </c>
      <c r="J70" s="61">
        <f ca="1">VLOOKUP($A70,'Growth Scenarios'!$A$3:$D$80,MATCH('Scenario Picker'!$B$2,'Growth Scenarios'!$B$2:$D$2,0)+1)</f>
        <v>10274230810</v>
      </c>
      <c r="K70" s="59">
        <f ca="1">VLOOKUP($A70,'Growth Scenarios'!$E$3:$I$80,MATCH('Scenario Picker'!$B$3,'Growth Scenarios'!$F$2:$I$2,0)+1)</f>
        <v>25.428389355956465</v>
      </c>
      <c r="L70" s="11"/>
    </row>
    <row r="71" spans="1:12" ht="15" x14ac:dyDescent="0.35">
      <c r="A71" s="49">
        <v>2091</v>
      </c>
      <c r="B71" s="16">
        <v>7600378118</v>
      </c>
      <c r="C71" s="16">
        <v>10268899331</v>
      </c>
      <c r="D71" s="50">
        <v>13608403177</v>
      </c>
      <c r="E71" s="49">
        <v>2091</v>
      </c>
      <c r="F71" s="15">
        <v>25.282422880457041</v>
      </c>
      <c r="G71" s="15">
        <v>47.284914768486992</v>
      </c>
      <c r="H71" s="15">
        <v>70.120891733393677</v>
      </c>
      <c r="I71" s="55">
        <v>92.540126159861998</v>
      </c>
      <c r="J71" s="61">
        <f ca="1">VLOOKUP($A71,'Growth Scenarios'!$A$3:$D$80,MATCH('Scenario Picker'!$B$2,'Growth Scenarios'!$B$2:$D$2,0)+1)</f>
        <v>10268899331</v>
      </c>
      <c r="K71" s="59">
        <f ca="1">VLOOKUP($A71,'Growth Scenarios'!$E$3:$I$80,MATCH('Scenario Picker'!$B$3,'Growth Scenarios'!$F$2:$I$2,0)+1)</f>
        <v>25.282422880457041</v>
      </c>
      <c r="L71" s="11"/>
    </row>
    <row r="72" spans="1:12" ht="15" x14ac:dyDescent="0.35">
      <c r="A72" s="49">
        <v>2092</v>
      </c>
      <c r="B72" s="16">
        <v>7539315006</v>
      </c>
      <c r="C72" s="16">
        <v>10262824096</v>
      </c>
      <c r="D72" s="50">
        <v>13690286310</v>
      </c>
      <c r="E72" s="49">
        <v>2092</v>
      </c>
      <c r="F72" s="15">
        <v>25.147339378755888</v>
      </c>
      <c r="G72" s="15">
        <v>47.284914768486992</v>
      </c>
      <c r="H72" s="15">
        <v>70.261277314909591</v>
      </c>
      <c r="I72" s="55">
        <v>92.818246282986422</v>
      </c>
      <c r="J72" s="61">
        <f ca="1">VLOOKUP($A72,'Growth Scenarios'!$A$3:$D$80,MATCH('Scenario Picker'!$B$2,'Growth Scenarios'!$B$2:$D$2,0)+1)</f>
        <v>10262824096</v>
      </c>
      <c r="K72" s="59">
        <f ca="1">VLOOKUP($A72,'Growth Scenarios'!$E$3:$I$80,MATCH('Scenario Picker'!$B$3,'Growth Scenarios'!$F$2:$I$2,0)+1)</f>
        <v>25.147339378755888</v>
      </c>
      <c r="L72" s="11"/>
    </row>
    <row r="73" spans="1:12" ht="15" x14ac:dyDescent="0.35">
      <c r="A73" s="49">
        <v>2093</v>
      </c>
      <c r="B73" s="16">
        <v>7477351994</v>
      </c>
      <c r="C73" s="16">
        <v>10255992655</v>
      </c>
      <c r="D73" s="50">
        <v>13772537713</v>
      </c>
      <c r="E73" s="49">
        <v>2093</v>
      </c>
      <c r="F73" s="15">
        <v>25.022639512289455</v>
      </c>
      <c r="G73" s="15">
        <v>47.284914768486992</v>
      </c>
      <c r="H73" s="15">
        <v>70.390871699481991</v>
      </c>
      <c r="I73" s="55">
        <v>93.074987793078236</v>
      </c>
      <c r="J73" s="61">
        <f ca="1">VLOOKUP($A73,'Growth Scenarios'!$A$3:$D$80,MATCH('Scenario Picker'!$B$2,'Growth Scenarios'!$B$2:$D$2,0)+1)</f>
        <v>10255992655</v>
      </c>
      <c r="K73" s="59">
        <f ca="1">VLOOKUP($A73,'Growth Scenarios'!$E$3:$I$80,MATCH('Scenario Picker'!$B$3,'Growth Scenarios'!$F$2:$I$2,0)+1)</f>
        <v>25.022639512289455</v>
      </c>
      <c r="L73" s="11"/>
    </row>
    <row r="74" spans="1:12" ht="15" x14ac:dyDescent="0.35">
      <c r="A74" s="49">
        <v>2094</v>
      </c>
      <c r="B74" s="16">
        <v>7414495578</v>
      </c>
      <c r="C74" s="16">
        <v>10248376862</v>
      </c>
      <c r="D74" s="50">
        <v>13855070025</v>
      </c>
      <c r="E74" s="49">
        <v>2094</v>
      </c>
      <c r="F74" s="15">
        <v>24.907812475763514</v>
      </c>
      <c r="G74" s="15">
        <v>47.284914768486992</v>
      </c>
      <c r="H74" s="15">
        <v>70.510205741710948</v>
      </c>
      <c r="I74" s="55">
        <v>93.311402374684661</v>
      </c>
      <c r="J74" s="61">
        <f ca="1">VLOOKUP($A74,'Growth Scenarios'!$A$3:$D$80,MATCH('Scenario Picker'!$B$2,'Growth Scenarios'!$B$2:$D$2,0)+1)</f>
        <v>10248376862</v>
      </c>
      <c r="K74" s="59">
        <f ca="1">VLOOKUP($A74,'Growth Scenarios'!$E$3:$I$80,MATCH('Scenario Picker'!$B$3,'Growth Scenarios'!$F$2:$I$2,0)+1)</f>
        <v>24.907812475763514</v>
      </c>
      <c r="L74" s="11"/>
    </row>
    <row r="75" spans="1:12" ht="15" x14ac:dyDescent="0.35">
      <c r="A75" s="49">
        <v>2095</v>
      </c>
      <c r="B75" s="16">
        <v>7350792198</v>
      </c>
      <c r="C75" s="16">
        <v>10239994812</v>
      </c>
      <c r="D75" s="50">
        <v>13937850785</v>
      </c>
      <c r="E75" s="49">
        <v>2095</v>
      </c>
      <c r="F75" s="15">
        <v>24.802340564798303</v>
      </c>
      <c r="G75" s="15">
        <v>47.284914768486992</v>
      </c>
      <c r="H75" s="15">
        <v>70.619817466073869</v>
      </c>
      <c r="I75" s="55">
        <v>93.528555916711653</v>
      </c>
      <c r="J75" s="61">
        <f ca="1">VLOOKUP($A75,'Growth Scenarios'!$A$3:$D$80,MATCH('Scenario Picker'!$B$2,'Growth Scenarios'!$B$2:$D$2,0)+1)</f>
        <v>10239994812</v>
      </c>
      <c r="K75" s="59">
        <f ca="1">VLOOKUP($A75,'Growth Scenarios'!$E$3:$I$80,MATCH('Scenario Picker'!$B$3,'Growth Scenarios'!$F$2:$I$2,0)+1)</f>
        <v>24.802340564798303</v>
      </c>
      <c r="L75" s="11"/>
    </row>
    <row r="76" spans="1:12" ht="15" x14ac:dyDescent="0.35">
      <c r="A76" s="49">
        <v>2096</v>
      </c>
      <c r="B76" s="16">
        <v>7286243659</v>
      </c>
      <c r="C76" s="16">
        <v>10230812389</v>
      </c>
      <c r="D76" s="50">
        <v>14020783038</v>
      </c>
      <c r="E76" s="49">
        <v>2096</v>
      </c>
      <c r="F76" s="15">
        <v>24.70570344831637</v>
      </c>
      <c r="G76" s="15">
        <v>47.284914768486992</v>
      </c>
      <c r="H76" s="15">
        <v>70.720247626844724</v>
      </c>
      <c r="I76" s="55">
        <v>93.727519716108887</v>
      </c>
      <c r="J76" s="61">
        <f ca="1">VLOOKUP($A76,'Growth Scenarios'!$A$3:$D$80,MATCH('Scenario Picker'!$B$2,'Growth Scenarios'!$B$2:$D$2,0)+1)</f>
        <v>10230812389</v>
      </c>
      <c r="K76" s="59">
        <f ca="1">VLOOKUP($A76,'Growth Scenarios'!$E$3:$I$80,MATCH('Scenario Picker'!$B$3,'Growth Scenarios'!$F$2:$I$2,0)+1)</f>
        <v>24.70570344831637</v>
      </c>
      <c r="L76" s="11"/>
    </row>
    <row r="77" spans="1:12" ht="15" x14ac:dyDescent="0.35">
      <c r="A77" s="49">
        <v>2097</v>
      </c>
      <c r="B77" s="16">
        <v>7220933546</v>
      </c>
      <c r="C77" s="16">
        <v>10220889358</v>
      </c>
      <c r="D77" s="50">
        <v>14103886454</v>
      </c>
      <c r="E77" s="49">
        <v>2097</v>
      </c>
      <c r="F77" s="15">
        <v>24.617382118260942</v>
      </c>
      <c r="G77" s="15">
        <v>47.284914768486992</v>
      </c>
      <c r="H77" s="15">
        <v>70.812035603347724</v>
      </c>
      <c r="I77" s="55">
        <v>93.909362345891111</v>
      </c>
      <c r="J77" s="61">
        <f ca="1">VLOOKUP($A77,'Growth Scenarios'!$A$3:$D$80,MATCH('Scenario Picker'!$B$2,'Growth Scenarios'!$B$2:$D$2,0)+1)</f>
        <v>10220889358</v>
      </c>
      <c r="K77" s="59">
        <f ca="1">VLOOKUP($A77,'Growth Scenarios'!$E$3:$I$80,MATCH('Scenario Picker'!$B$3,'Growth Scenarios'!$F$2:$I$2,0)+1)</f>
        <v>24.617382118260942</v>
      </c>
      <c r="L77" s="11"/>
    </row>
    <row r="78" spans="1:12" ht="15" x14ac:dyDescent="0.35">
      <c r="A78" s="49">
        <v>2098</v>
      </c>
      <c r="B78" s="16">
        <v>7154880935</v>
      </c>
      <c r="C78" s="16">
        <v>10210209263</v>
      </c>
      <c r="D78" s="50">
        <v>14187091490</v>
      </c>
      <c r="E78" s="49">
        <v>2098</v>
      </c>
      <c r="F78" s="15">
        <v>24.536862496089821</v>
      </c>
      <c r="G78" s="15">
        <v>47.284914768486992</v>
      </c>
      <c r="H78" s="15">
        <v>70.895715651907182</v>
      </c>
      <c r="I78" s="55">
        <v>94.075142229815853</v>
      </c>
      <c r="J78" s="61">
        <f ca="1">VLOOKUP($A78,'Growth Scenarios'!$A$3:$D$80,MATCH('Scenario Picker'!$B$2,'Growth Scenarios'!$B$2:$D$2,0)+1)</f>
        <v>10210209263</v>
      </c>
      <c r="K78" s="59">
        <f ca="1">VLOOKUP($A78,'Growth Scenarios'!$E$3:$I$80,MATCH('Scenario Picker'!$B$3,'Growth Scenarios'!$F$2:$I$2,0)+1)</f>
        <v>24.536862496089821</v>
      </c>
      <c r="L78" s="11"/>
    </row>
    <row r="79" spans="1:12" ht="15" x14ac:dyDescent="0.35">
      <c r="A79" s="49">
        <v>2099</v>
      </c>
      <c r="B79" s="16">
        <v>7088139596</v>
      </c>
      <c r="C79" s="16">
        <v>10198770461</v>
      </c>
      <c r="D79" s="50">
        <v>14270320563</v>
      </c>
      <c r="E79" s="49">
        <v>2099</v>
      </c>
      <c r="F79" s="15">
        <v>24.463638682125502</v>
      </c>
      <c r="G79" s="15">
        <v>47.284914768486992</v>
      </c>
      <c r="H79" s="15">
        <v>70.971813528959075</v>
      </c>
      <c r="I79" s="55">
        <v>94.225900952375866</v>
      </c>
      <c r="J79" s="61">
        <f ca="1">VLOOKUP($A79,'Growth Scenarios'!$A$3:$D$80,MATCH('Scenario Picker'!$B$2,'Growth Scenarios'!$B$2:$D$2,0)+1)</f>
        <v>10198770461</v>
      </c>
      <c r="K79" s="59">
        <f ca="1">VLOOKUP($A79,'Growth Scenarios'!$E$3:$I$80,MATCH('Scenario Picker'!$B$3,'Growth Scenarios'!$F$2:$I$2,0)+1)</f>
        <v>24.463638682125502</v>
      </c>
      <c r="L79" s="11"/>
    </row>
    <row r="80" spans="1:12" ht="15.6" thickBot="1" x14ac:dyDescent="0.4">
      <c r="A80" s="51">
        <v>2100</v>
      </c>
      <c r="B80" s="52">
        <v>7020776443</v>
      </c>
      <c r="C80" s="52">
        <v>10186607670</v>
      </c>
      <c r="D80" s="53">
        <v>14353569640</v>
      </c>
      <c r="E80" s="51">
        <v>2100</v>
      </c>
      <c r="F80" s="56">
        <v>24.397215840146675</v>
      </c>
      <c r="G80" s="56">
        <v>47.284914768486992</v>
      </c>
      <c r="H80" s="56">
        <v>71.040843493238256</v>
      </c>
      <c r="I80" s="57">
        <v>94.362657319784034</v>
      </c>
      <c r="J80" s="62">
        <f ca="1">VLOOKUP($A80,'Growth Scenarios'!$A$3:$D$80,MATCH('Scenario Picker'!$B$2,'Growth Scenarios'!$B$2:$D$2,0)+1)</f>
        <v>10186607670</v>
      </c>
      <c r="K80" s="60">
        <f ca="1">VLOOKUP($A80,'Growth Scenarios'!$E$3:$I$80,MATCH('Scenario Picker'!$B$3,'Growth Scenarios'!$F$2:$I$2,0)+1)</f>
        <v>24.397215840146675</v>
      </c>
      <c r="L80" s="11"/>
    </row>
  </sheetData>
  <mergeCells count="3">
    <mergeCell ref="J1:K1"/>
    <mergeCell ref="A1:D1"/>
    <mergeCell ref="E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2B54-8060-405B-9FA1-866DEA6D5DA0}">
  <dimension ref="A1:H88"/>
  <sheetViews>
    <sheetView workbookViewId="0"/>
  </sheetViews>
  <sheetFormatPr defaultRowHeight="13.8" x14ac:dyDescent="0.3"/>
  <cols>
    <col min="1" max="1" width="20.44140625" bestFit="1" customWidth="1"/>
    <col min="2" max="9" width="13.21875" customWidth="1"/>
  </cols>
  <sheetData>
    <row r="1" spans="1:8" ht="15" x14ac:dyDescent="0.35">
      <c r="A1" s="2" t="s">
        <v>52</v>
      </c>
    </row>
    <row r="2" spans="1:8" ht="15" x14ac:dyDescent="0.3">
      <c r="A2" s="79"/>
      <c r="B2" s="68" t="s">
        <v>22</v>
      </c>
      <c r="C2" s="68"/>
      <c r="D2" s="68"/>
      <c r="E2" s="68"/>
      <c r="F2" s="68"/>
      <c r="G2" s="68"/>
      <c r="H2" s="68"/>
    </row>
    <row r="3" spans="1:8" ht="45" x14ac:dyDescent="0.3">
      <c r="A3" s="79"/>
      <c r="B3" s="3" t="s">
        <v>18</v>
      </c>
      <c r="C3" s="3" t="s">
        <v>17</v>
      </c>
      <c r="D3" s="3" t="s">
        <v>19</v>
      </c>
      <c r="E3" s="3" t="s">
        <v>14</v>
      </c>
      <c r="F3" s="3" t="s">
        <v>20</v>
      </c>
      <c r="G3" s="3" t="s">
        <v>16</v>
      </c>
      <c r="H3" s="3" t="s">
        <v>15</v>
      </c>
    </row>
    <row r="4" spans="1:8" ht="15" x14ac:dyDescent="0.35">
      <c r="A4" s="10" t="s">
        <v>54</v>
      </c>
      <c r="B4" s="6">
        <f>VLOOKUP(B3,'Static Parameters'!$A$3:$C$9,3)</f>
        <v>0.31</v>
      </c>
      <c r="C4" s="6">
        <f>VLOOKUP(C3,'Static Parameters'!$A$3:$C$9,3)</f>
        <v>0.53</v>
      </c>
      <c r="D4" s="6">
        <f>VLOOKUP(D3,'Static Parameters'!$A$3:$C$9,3)</f>
        <v>0.11</v>
      </c>
      <c r="E4" s="6">
        <f>VLOOKUP(E3,'Static Parameters'!$A$3:$C$9,3)</f>
        <v>0.28999999999999998</v>
      </c>
      <c r="F4" s="6">
        <f>VLOOKUP(F3,'Static Parameters'!$A$3:$C$9,3)</f>
        <v>0.62</v>
      </c>
      <c r="G4" s="6">
        <f>VLOOKUP(G3,'Static Parameters'!$A$3:$C$9,3)</f>
        <v>0.28000000000000003</v>
      </c>
      <c r="H4" s="6">
        <f>VLOOKUP(H3,'Static Parameters'!$A$3:$C$9,3)</f>
        <v>0.01</v>
      </c>
    </row>
    <row r="5" spans="1:8" ht="15" x14ac:dyDescent="0.35">
      <c r="A5" s="14" t="s">
        <v>103</v>
      </c>
      <c r="B5" s="6">
        <v>0.6</v>
      </c>
      <c r="C5" s="6">
        <v>1</v>
      </c>
      <c r="D5" s="6">
        <v>0.6</v>
      </c>
      <c r="E5" s="6">
        <v>1</v>
      </c>
      <c r="F5" s="6">
        <v>0.75</v>
      </c>
      <c r="G5" s="6">
        <v>1</v>
      </c>
      <c r="H5" s="6">
        <v>0.75</v>
      </c>
    </row>
    <row r="6" spans="1:8" ht="15" x14ac:dyDescent="0.35">
      <c r="A6" s="10" t="s">
        <v>73</v>
      </c>
      <c r="B6" s="6">
        <f>B4+(B5-B4)*'Scenario Picker'!$B$6</f>
        <v>0.6</v>
      </c>
      <c r="C6" s="6">
        <f>C4+(C5-C4)*'Scenario Picker'!$B$6</f>
        <v>1</v>
      </c>
      <c r="D6" s="6">
        <f>D4+(D5-D4)*'Scenario Picker'!$B$6</f>
        <v>0.6</v>
      </c>
      <c r="E6" s="6">
        <f>E4+(E5-E4)*'Scenario Picker'!$B$6</f>
        <v>1</v>
      </c>
      <c r="F6" s="6">
        <f>F4+(F5-F4)*'Scenario Picker'!$B$6</f>
        <v>0.75</v>
      </c>
      <c r="G6" s="6">
        <f>G4+(G5-G4)*'Scenario Picker'!$B$6</f>
        <v>1</v>
      </c>
      <c r="H6" s="6">
        <f>H4+(H5-H4)*'Scenario Picker'!$B$6</f>
        <v>0.75</v>
      </c>
    </row>
    <row r="7" spans="1:8" ht="15" x14ac:dyDescent="0.35">
      <c r="A7" s="10" t="s">
        <v>55</v>
      </c>
      <c r="B7" s="4">
        <f>'Scenario Picker'!$B$7</f>
        <v>26</v>
      </c>
      <c r="C7" s="4">
        <f>'Scenario Picker'!$B$7</f>
        <v>26</v>
      </c>
      <c r="D7" s="4">
        <f>'Scenario Picker'!$B$7</f>
        <v>26</v>
      </c>
      <c r="E7" s="4">
        <f>'Scenario Picker'!$B$7</f>
        <v>26</v>
      </c>
      <c r="F7" s="4">
        <f>'Scenario Picker'!$B$7</f>
        <v>26</v>
      </c>
      <c r="G7" s="4">
        <f>'Scenario Picker'!$B$7</f>
        <v>26</v>
      </c>
      <c r="H7" s="4">
        <f>'Scenario Picker'!$B$7</f>
        <v>26</v>
      </c>
    </row>
    <row r="8" spans="1:8" ht="15" x14ac:dyDescent="0.35">
      <c r="A8" s="10" t="s">
        <v>57</v>
      </c>
      <c r="B8" s="6">
        <v>0.2</v>
      </c>
      <c r="C8" s="6">
        <v>0.2</v>
      </c>
      <c r="D8" s="6">
        <v>0.2</v>
      </c>
      <c r="E8" s="6">
        <v>0.2</v>
      </c>
      <c r="F8" s="6">
        <v>0.2</v>
      </c>
      <c r="G8" s="6">
        <v>0.2</v>
      </c>
      <c r="H8" s="6">
        <v>0.5</v>
      </c>
    </row>
    <row r="9" spans="1:8" ht="15" x14ac:dyDescent="0.35">
      <c r="A9" s="77"/>
      <c r="B9" s="78"/>
      <c r="C9" s="78"/>
      <c r="D9" s="78"/>
      <c r="E9" s="78"/>
      <c r="F9" s="78"/>
      <c r="G9" s="78"/>
      <c r="H9" s="78"/>
    </row>
    <row r="10" spans="1:8" ht="15" x14ac:dyDescent="0.35">
      <c r="A10" s="10" t="s">
        <v>3</v>
      </c>
      <c r="B10" s="68" t="s">
        <v>56</v>
      </c>
      <c r="C10" s="68"/>
      <c r="D10" s="68"/>
      <c r="E10" s="68"/>
      <c r="F10" s="68"/>
      <c r="G10" s="68"/>
      <c r="H10" s="68"/>
    </row>
    <row r="11" spans="1:8" ht="15" x14ac:dyDescent="0.35">
      <c r="A11" s="13">
        <v>2023</v>
      </c>
      <c r="B11" s="12">
        <f>B4</f>
        <v>0.31</v>
      </c>
      <c r="C11" s="12">
        <f t="shared" ref="C11:H11" si="0">C4</f>
        <v>0.53</v>
      </c>
      <c r="D11" s="12">
        <f t="shared" si="0"/>
        <v>0.11</v>
      </c>
      <c r="E11" s="12">
        <f t="shared" si="0"/>
        <v>0.28999999999999998</v>
      </c>
      <c r="F11" s="12">
        <f t="shared" si="0"/>
        <v>0.62</v>
      </c>
      <c r="G11" s="12">
        <f t="shared" si="0"/>
        <v>0.28000000000000003</v>
      </c>
      <c r="H11" s="12">
        <f t="shared" si="0"/>
        <v>0.01</v>
      </c>
    </row>
    <row r="12" spans="1:8" ht="15" x14ac:dyDescent="0.35">
      <c r="A12" s="13">
        <v>2024</v>
      </c>
      <c r="B12" s="12">
        <f>MIN(B$5,B$4+($A12-$A$11)/B$7*(B$6-B$4))</f>
        <v>0.32115384615384612</v>
      </c>
      <c r="C12" s="12">
        <f t="shared" ref="C12:H27" si="1">MIN(C$5,C$4+($A12-$A$11)/C$7*(C$6-C$4))</f>
        <v>0.54807692307692313</v>
      </c>
      <c r="D12" s="12">
        <f t="shared" si="1"/>
        <v>0.12884615384615383</v>
      </c>
      <c r="E12" s="12">
        <f t="shared" si="1"/>
        <v>0.31730769230769229</v>
      </c>
      <c r="F12" s="12">
        <f t="shared" si="1"/>
        <v>0.625</v>
      </c>
      <c r="G12" s="12">
        <f t="shared" si="1"/>
        <v>0.30769230769230771</v>
      </c>
      <c r="H12" s="12">
        <f t="shared" si="1"/>
        <v>3.8461538461538464E-2</v>
      </c>
    </row>
    <row r="13" spans="1:8" ht="15" x14ac:dyDescent="0.35">
      <c r="A13" s="13">
        <v>2025</v>
      </c>
      <c r="B13" s="12">
        <f t="shared" ref="B13:H28" si="2">MIN(B$5,B$4+($A13-$A$11)/B$7*(B$6-B$4))</f>
        <v>0.3323076923076923</v>
      </c>
      <c r="C13" s="12">
        <f t="shared" si="1"/>
        <v>0.56615384615384623</v>
      </c>
      <c r="D13" s="12">
        <f t="shared" si="1"/>
        <v>0.14769230769230768</v>
      </c>
      <c r="E13" s="12">
        <f t="shared" si="1"/>
        <v>0.3446153846153846</v>
      </c>
      <c r="F13" s="12">
        <f t="shared" si="1"/>
        <v>0.63</v>
      </c>
      <c r="G13" s="12">
        <f t="shared" si="1"/>
        <v>0.33538461538461539</v>
      </c>
      <c r="H13" s="12">
        <f t="shared" si="1"/>
        <v>6.6923076923076918E-2</v>
      </c>
    </row>
    <row r="14" spans="1:8" ht="15" x14ac:dyDescent="0.35">
      <c r="A14" s="13">
        <v>2026</v>
      </c>
      <c r="B14" s="12">
        <f t="shared" si="2"/>
        <v>0.34346153846153848</v>
      </c>
      <c r="C14" s="12">
        <f t="shared" si="1"/>
        <v>0.58423076923076922</v>
      </c>
      <c r="D14" s="12">
        <f t="shared" si="1"/>
        <v>0.16653846153846152</v>
      </c>
      <c r="E14" s="12">
        <f t="shared" si="1"/>
        <v>0.37192307692307691</v>
      </c>
      <c r="F14" s="12">
        <f t="shared" si="1"/>
        <v>0.63500000000000001</v>
      </c>
      <c r="G14" s="12">
        <f t="shared" si="1"/>
        <v>0.36307692307692307</v>
      </c>
      <c r="H14" s="12">
        <f t="shared" si="1"/>
        <v>9.5384615384615387E-2</v>
      </c>
    </row>
    <row r="15" spans="1:8" ht="15" x14ac:dyDescent="0.35">
      <c r="A15" s="13">
        <v>2027</v>
      </c>
      <c r="B15" s="12">
        <f t="shared" si="2"/>
        <v>0.35461538461538461</v>
      </c>
      <c r="C15" s="12">
        <f t="shared" si="1"/>
        <v>0.60230769230769232</v>
      </c>
      <c r="D15" s="12">
        <f t="shared" si="1"/>
        <v>0.18538461538461537</v>
      </c>
      <c r="E15" s="12">
        <f t="shared" si="1"/>
        <v>0.39923076923076922</v>
      </c>
      <c r="F15" s="12">
        <f t="shared" si="1"/>
        <v>0.64</v>
      </c>
      <c r="G15" s="12">
        <f t="shared" si="1"/>
        <v>0.39076923076923081</v>
      </c>
      <c r="H15" s="12">
        <f t="shared" si="1"/>
        <v>0.12384615384615384</v>
      </c>
    </row>
    <row r="16" spans="1:8" ht="15" x14ac:dyDescent="0.35">
      <c r="A16" s="13">
        <v>2028</v>
      </c>
      <c r="B16" s="12">
        <f t="shared" si="2"/>
        <v>0.36576923076923074</v>
      </c>
      <c r="C16" s="12">
        <f t="shared" si="1"/>
        <v>0.62038461538461542</v>
      </c>
      <c r="D16" s="12">
        <f t="shared" si="1"/>
        <v>0.20423076923076922</v>
      </c>
      <c r="E16" s="12">
        <f t="shared" si="1"/>
        <v>0.42653846153846153</v>
      </c>
      <c r="F16" s="12">
        <f t="shared" si="1"/>
        <v>0.64500000000000002</v>
      </c>
      <c r="G16" s="12">
        <f t="shared" si="1"/>
        <v>0.4184615384615385</v>
      </c>
      <c r="H16" s="12">
        <f t="shared" si="1"/>
        <v>0.15230769230769231</v>
      </c>
    </row>
    <row r="17" spans="1:8" ht="15" x14ac:dyDescent="0.35">
      <c r="A17" s="13">
        <v>2029</v>
      </c>
      <c r="B17" s="12">
        <f t="shared" si="2"/>
        <v>0.37692307692307692</v>
      </c>
      <c r="C17" s="12">
        <f t="shared" si="1"/>
        <v>0.63846153846153852</v>
      </c>
      <c r="D17" s="12">
        <f t="shared" si="1"/>
        <v>0.22307692307692306</v>
      </c>
      <c r="E17" s="12">
        <f t="shared" si="1"/>
        <v>0.45384615384615379</v>
      </c>
      <c r="F17" s="12">
        <f t="shared" si="1"/>
        <v>0.65</v>
      </c>
      <c r="G17" s="12">
        <f t="shared" si="1"/>
        <v>0.44615384615384618</v>
      </c>
      <c r="H17" s="12">
        <f t="shared" si="1"/>
        <v>0.18076923076923079</v>
      </c>
    </row>
    <row r="18" spans="1:8" ht="15" x14ac:dyDescent="0.35">
      <c r="A18" s="13">
        <v>2030</v>
      </c>
      <c r="B18" s="12">
        <f t="shared" si="2"/>
        <v>0.3880769230769231</v>
      </c>
      <c r="C18" s="12">
        <f t="shared" si="1"/>
        <v>0.65653846153846152</v>
      </c>
      <c r="D18" s="12">
        <f t="shared" si="1"/>
        <v>0.24192307692307691</v>
      </c>
      <c r="E18" s="12">
        <f t="shared" si="1"/>
        <v>0.48115384615384615</v>
      </c>
      <c r="F18" s="12">
        <f t="shared" si="1"/>
        <v>0.65500000000000003</v>
      </c>
      <c r="G18" s="12">
        <f t="shared" si="1"/>
        <v>0.47384615384615386</v>
      </c>
      <c r="H18" s="12">
        <f t="shared" si="1"/>
        <v>0.20923076923076922</v>
      </c>
    </row>
    <row r="19" spans="1:8" ht="15" x14ac:dyDescent="0.35">
      <c r="A19" s="13">
        <v>2031</v>
      </c>
      <c r="B19" s="12">
        <f t="shared" si="2"/>
        <v>0.39923076923076922</v>
      </c>
      <c r="C19" s="12">
        <f t="shared" si="1"/>
        <v>0.67461538461538462</v>
      </c>
      <c r="D19" s="12">
        <f t="shared" si="1"/>
        <v>0.26076923076923075</v>
      </c>
      <c r="E19" s="12">
        <f t="shared" si="1"/>
        <v>0.50846153846153841</v>
      </c>
      <c r="F19" s="12">
        <f t="shared" si="1"/>
        <v>0.66</v>
      </c>
      <c r="G19" s="12">
        <f t="shared" si="1"/>
        <v>0.5015384615384616</v>
      </c>
      <c r="H19" s="12">
        <f t="shared" si="1"/>
        <v>0.2376923076923077</v>
      </c>
    </row>
    <row r="20" spans="1:8" ht="15" x14ac:dyDescent="0.35">
      <c r="A20" s="13">
        <v>2032</v>
      </c>
      <c r="B20" s="12">
        <f t="shared" si="2"/>
        <v>0.41038461538461535</v>
      </c>
      <c r="C20" s="12">
        <f t="shared" si="1"/>
        <v>0.69269230769230772</v>
      </c>
      <c r="D20" s="12">
        <f t="shared" si="1"/>
        <v>0.2796153846153846</v>
      </c>
      <c r="E20" s="12">
        <f t="shared" si="1"/>
        <v>0.53576923076923078</v>
      </c>
      <c r="F20" s="12">
        <f t="shared" si="1"/>
        <v>0.66500000000000004</v>
      </c>
      <c r="G20" s="12">
        <f t="shared" si="1"/>
        <v>0.52923076923076928</v>
      </c>
      <c r="H20" s="12">
        <f t="shared" si="1"/>
        <v>0.26615384615384613</v>
      </c>
    </row>
    <row r="21" spans="1:8" ht="15" x14ac:dyDescent="0.35">
      <c r="A21" s="13">
        <v>2033</v>
      </c>
      <c r="B21" s="12">
        <f t="shared" si="2"/>
        <v>0.42153846153846153</v>
      </c>
      <c r="C21" s="12">
        <f t="shared" si="1"/>
        <v>0.71076923076923082</v>
      </c>
      <c r="D21" s="12">
        <f t="shared" si="1"/>
        <v>0.29846153846153844</v>
      </c>
      <c r="E21" s="12">
        <f t="shared" si="1"/>
        <v>0.56307692307692303</v>
      </c>
      <c r="F21" s="12">
        <f t="shared" si="1"/>
        <v>0.67</v>
      </c>
      <c r="G21" s="12">
        <f t="shared" si="1"/>
        <v>0.55692307692307697</v>
      </c>
      <c r="H21" s="12">
        <f t="shared" si="1"/>
        <v>0.29461538461538461</v>
      </c>
    </row>
    <row r="22" spans="1:8" ht="15" x14ac:dyDescent="0.35">
      <c r="A22" s="13">
        <v>2034</v>
      </c>
      <c r="B22" s="12">
        <f t="shared" si="2"/>
        <v>0.43269230769230771</v>
      </c>
      <c r="C22" s="12">
        <f t="shared" si="1"/>
        <v>0.72884615384615392</v>
      </c>
      <c r="D22" s="12">
        <f t="shared" si="1"/>
        <v>0.31730769230769229</v>
      </c>
      <c r="E22" s="12">
        <f t="shared" si="1"/>
        <v>0.59038461538461529</v>
      </c>
      <c r="F22" s="12">
        <f t="shared" si="1"/>
        <v>0.67500000000000004</v>
      </c>
      <c r="G22" s="12">
        <f t="shared" si="1"/>
        <v>0.58461538461538465</v>
      </c>
      <c r="H22" s="12">
        <f t="shared" si="1"/>
        <v>0.32307692307692309</v>
      </c>
    </row>
    <row r="23" spans="1:8" ht="15" x14ac:dyDescent="0.35">
      <c r="A23" s="13">
        <v>2035</v>
      </c>
      <c r="B23" s="12">
        <f t="shared" si="2"/>
        <v>0.44384615384615383</v>
      </c>
      <c r="C23" s="12">
        <f t="shared" si="1"/>
        <v>0.74692307692307691</v>
      </c>
      <c r="D23" s="12">
        <f t="shared" si="1"/>
        <v>0.33615384615384614</v>
      </c>
      <c r="E23" s="12">
        <f t="shared" si="1"/>
        <v>0.61769230769230765</v>
      </c>
      <c r="F23" s="12">
        <f t="shared" si="1"/>
        <v>0.68</v>
      </c>
      <c r="G23" s="12">
        <f t="shared" si="1"/>
        <v>0.61230769230769233</v>
      </c>
      <c r="H23" s="12">
        <f t="shared" si="1"/>
        <v>0.35153846153846158</v>
      </c>
    </row>
    <row r="24" spans="1:8" ht="15" x14ac:dyDescent="0.35">
      <c r="A24" s="13">
        <v>2036</v>
      </c>
      <c r="B24" s="12">
        <f t="shared" si="2"/>
        <v>0.45499999999999996</v>
      </c>
      <c r="C24" s="12">
        <f t="shared" si="1"/>
        <v>0.76500000000000001</v>
      </c>
      <c r="D24" s="12">
        <f t="shared" si="1"/>
        <v>0.35499999999999998</v>
      </c>
      <c r="E24" s="12">
        <f t="shared" si="1"/>
        <v>0.64500000000000002</v>
      </c>
      <c r="F24" s="12">
        <f t="shared" si="1"/>
        <v>0.68500000000000005</v>
      </c>
      <c r="G24" s="12">
        <f t="shared" si="1"/>
        <v>0.64</v>
      </c>
      <c r="H24" s="12">
        <f t="shared" si="1"/>
        <v>0.38</v>
      </c>
    </row>
    <row r="25" spans="1:8" ht="15" x14ac:dyDescent="0.35">
      <c r="A25" s="13">
        <v>2037</v>
      </c>
      <c r="B25" s="12">
        <f t="shared" si="2"/>
        <v>0.46615384615384614</v>
      </c>
      <c r="C25" s="12">
        <f t="shared" si="1"/>
        <v>0.783076923076923</v>
      </c>
      <c r="D25" s="12">
        <f t="shared" si="1"/>
        <v>0.37384615384615383</v>
      </c>
      <c r="E25" s="12">
        <f t="shared" si="1"/>
        <v>0.67230769230769227</v>
      </c>
      <c r="F25" s="12">
        <f t="shared" si="1"/>
        <v>0.69</v>
      </c>
      <c r="G25" s="12">
        <f t="shared" si="1"/>
        <v>0.6676923076923077</v>
      </c>
      <c r="H25" s="12">
        <f t="shared" si="1"/>
        <v>0.40846153846153843</v>
      </c>
    </row>
    <row r="26" spans="1:8" ht="15" x14ac:dyDescent="0.35">
      <c r="A26" s="13">
        <v>2038</v>
      </c>
      <c r="B26" s="12">
        <f t="shared" si="2"/>
        <v>0.47730769230769227</v>
      </c>
      <c r="C26" s="12">
        <f t="shared" si="1"/>
        <v>0.80115384615384611</v>
      </c>
      <c r="D26" s="12">
        <f t="shared" si="1"/>
        <v>0.39269230769230767</v>
      </c>
      <c r="E26" s="12">
        <f t="shared" si="1"/>
        <v>0.69961538461538453</v>
      </c>
      <c r="F26" s="12">
        <f t="shared" si="1"/>
        <v>0.69499999999999995</v>
      </c>
      <c r="G26" s="12">
        <f t="shared" si="1"/>
        <v>0.69538461538461538</v>
      </c>
      <c r="H26" s="12">
        <f t="shared" si="1"/>
        <v>0.43692307692307691</v>
      </c>
    </row>
    <row r="27" spans="1:8" ht="15" x14ac:dyDescent="0.35">
      <c r="A27" s="13">
        <v>2039</v>
      </c>
      <c r="B27" s="12">
        <f t="shared" si="2"/>
        <v>0.48846153846153845</v>
      </c>
      <c r="C27" s="12">
        <f t="shared" si="1"/>
        <v>0.81923076923076921</v>
      </c>
      <c r="D27" s="12">
        <f t="shared" si="1"/>
        <v>0.41153846153846152</v>
      </c>
      <c r="E27" s="12">
        <f t="shared" si="1"/>
        <v>0.72692307692307689</v>
      </c>
      <c r="F27" s="12">
        <f t="shared" si="1"/>
        <v>0.7</v>
      </c>
      <c r="G27" s="12">
        <f t="shared" si="1"/>
        <v>0.72307692307692317</v>
      </c>
      <c r="H27" s="12">
        <f t="shared" si="1"/>
        <v>0.4653846153846154</v>
      </c>
    </row>
    <row r="28" spans="1:8" ht="15" x14ac:dyDescent="0.35">
      <c r="A28" s="13">
        <v>2040</v>
      </c>
      <c r="B28" s="12">
        <f t="shared" si="2"/>
        <v>0.49961538461538457</v>
      </c>
      <c r="C28" s="12">
        <f t="shared" si="2"/>
        <v>0.83730769230769231</v>
      </c>
      <c r="D28" s="12">
        <f t="shared" si="2"/>
        <v>0.43038461538461537</v>
      </c>
      <c r="E28" s="12">
        <f t="shared" si="2"/>
        <v>0.75423076923076926</v>
      </c>
      <c r="F28" s="12">
        <f t="shared" si="2"/>
        <v>0.70499999999999996</v>
      </c>
      <c r="G28" s="12">
        <f t="shared" si="2"/>
        <v>0.75076923076923086</v>
      </c>
      <c r="H28" s="12">
        <f t="shared" si="2"/>
        <v>0.49384615384615388</v>
      </c>
    </row>
    <row r="29" spans="1:8" ht="15" x14ac:dyDescent="0.35">
      <c r="A29" s="13">
        <v>2041</v>
      </c>
      <c r="B29" s="12">
        <f t="shared" ref="B29:H44" si="3">MIN(B$5,B$4+($A29-$A$11)/B$7*(B$6-B$4))</f>
        <v>0.51076923076923075</v>
      </c>
      <c r="C29" s="12">
        <f t="shared" si="3"/>
        <v>0.85538461538461541</v>
      </c>
      <c r="D29" s="12">
        <f t="shared" si="3"/>
        <v>0.44923076923076921</v>
      </c>
      <c r="E29" s="12">
        <f t="shared" si="3"/>
        <v>0.78153846153846152</v>
      </c>
      <c r="F29" s="12">
        <f t="shared" si="3"/>
        <v>0.71</v>
      </c>
      <c r="G29" s="12">
        <f t="shared" si="3"/>
        <v>0.77846153846153854</v>
      </c>
      <c r="H29" s="12">
        <f t="shared" si="3"/>
        <v>0.52230769230769225</v>
      </c>
    </row>
    <row r="30" spans="1:8" ht="15" x14ac:dyDescent="0.35">
      <c r="A30" s="13">
        <v>2042</v>
      </c>
      <c r="B30" s="12">
        <f t="shared" si="3"/>
        <v>0.52192307692307693</v>
      </c>
      <c r="C30" s="12">
        <f t="shared" si="3"/>
        <v>0.87346153846153851</v>
      </c>
      <c r="D30" s="12">
        <f t="shared" si="3"/>
        <v>0.46807692307692306</v>
      </c>
      <c r="E30" s="12">
        <f t="shared" si="3"/>
        <v>0.80884615384615377</v>
      </c>
      <c r="F30" s="12">
        <f t="shared" si="3"/>
        <v>0.71499999999999997</v>
      </c>
      <c r="G30" s="12">
        <f t="shared" si="3"/>
        <v>0.80615384615384611</v>
      </c>
      <c r="H30" s="12">
        <f t="shared" si="3"/>
        <v>0.55076923076923079</v>
      </c>
    </row>
    <row r="31" spans="1:8" ht="15" x14ac:dyDescent="0.35">
      <c r="A31" s="13">
        <v>2043</v>
      </c>
      <c r="B31" s="12">
        <f t="shared" si="3"/>
        <v>0.533076923076923</v>
      </c>
      <c r="C31" s="12">
        <f t="shared" si="3"/>
        <v>0.89153846153846161</v>
      </c>
      <c r="D31" s="12">
        <f t="shared" si="3"/>
        <v>0.4869230769230769</v>
      </c>
      <c r="E31" s="12">
        <f t="shared" si="3"/>
        <v>0.83615384615384625</v>
      </c>
      <c r="F31" s="12">
        <f t="shared" si="3"/>
        <v>0.72</v>
      </c>
      <c r="G31" s="12">
        <f t="shared" si="3"/>
        <v>0.8338461538461539</v>
      </c>
      <c r="H31" s="12">
        <f t="shared" si="3"/>
        <v>0.57923076923076922</v>
      </c>
    </row>
    <row r="32" spans="1:8" ht="15" x14ac:dyDescent="0.35">
      <c r="A32" s="13">
        <v>2044</v>
      </c>
      <c r="B32" s="12">
        <f t="shared" si="3"/>
        <v>0.54423076923076918</v>
      </c>
      <c r="C32" s="12">
        <f t="shared" si="3"/>
        <v>0.9096153846153846</v>
      </c>
      <c r="D32" s="12">
        <f t="shared" si="3"/>
        <v>0.50576923076923075</v>
      </c>
      <c r="E32" s="12">
        <f t="shared" si="3"/>
        <v>0.8634615384615385</v>
      </c>
      <c r="F32" s="12">
        <f t="shared" si="3"/>
        <v>0.72499999999999998</v>
      </c>
      <c r="G32" s="12">
        <f t="shared" si="3"/>
        <v>0.86153846153846159</v>
      </c>
      <c r="H32" s="12">
        <f t="shared" si="3"/>
        <v>0.60769230769230775</v>
      </c>
    </row>
    <row r="33" spans="1:8" ht="15" x14ac:dyDescent="0.35">
      <c r="A33" s="13">
        <v>2045</v>
      </c>
      <c r="B33" s="12">
        <f t="shared" si="3"/>
        <v>0.55538461538461537</v>
      </c>
      <c r="C33" s="12">
        <f t="shared" si="3"/>
        <v>0.9276923076923077</v>
      </c>
      <c r="D33" s="12">
        <f t="shared" si="3"/>
        <v>0.52461538461538459</v>
      </c>
      <c r="E33" s="12">
        <f t="shared" si="3"/>
        <v>0.89076923076923076</v>
      </c>
      <c r="F33" s="12">
        <f t="shared" si="3"/>
        <v>0.73</v>
      </c>
      <c r="G33" s="12">
        <f t="shared" si="3"/>
        <v>0.88923076923076927</v>
      </c>
      <c r="H33" s="12">
        <f t="shared" si="3"/>
        <v>0.63615384615384618</v>
      </c>
    </row>
    <row r="34" spans="1:8" ht="15" x14ac:dyDescent="0.35">
      <c r="A34" s="13">
        <v>2046</v>
      </c>
      <c r="B34" s="12">
        <f t="shared" si="3"/>
        <v>0.56653846153846144</v>
      </c>
      <c r="C34" s="12">
        <f t="shared" si="3"/>
        <v>0.9457692307692307</v>
      </c>
      <c r="D34" s="12">
        <f t="shared" si="3"/>
        <v>0.54346153846153844</v>
      </c>
      <c r="E34" s="12">
        <f t="shared" si="3"/>
        <v>0.91807692307692301</v>
      </c>
      <c r="F34" s="12">
        <f t="shared" si="3"/>
        <v>0.73499999999999999</v>
      </c>
      <c r="G34" s="12">
        <f t="shared" si="3"/>
        <v>0.91692307692307695</v>
      </c>
      <c r="H34" s="12">
        <f t="shared" si="3"/>
        <v>0.66461538461538461</v>
      </c>
    </row>
    <row r="35" spans="1:8" ht="15" x14ac:dyDescent="0.35">
      <c r="A35" s="13">
        <v>2047</v>
      </c>
      <c r="B35" s="12">
        <f t="shared" si="3"/>
        <v>0.57769230769230773</v>
      </c>
      <c r="C35" s="12">
        <f t="shared" si="3"/>
        <v>0.9638461538461538</v>
      </c>
      <c r="D35" s="12">
        <f t="shared" si="3"/>
        <v>0.56230769230769229</v>
      </c>
      <c r="E35" s="12">
        <f t="shared" si="3"/>
        <v>0.94538461538461527</v>
      </c>
      <c r="F35" s="12">
        <f t="shared" si="3"/>
        <v>0.74</v>
      </c>
      <c r="G35" s="12">
        <f t="shared" si="3"/>
        <v>0.94461538461538463</v>
      </c>
      <c r="H35" s="12">
        <f t="shared" si="3"/>
        <v>0.69307692307692315</v>
      </c>
    </row>
    <row r="36" spans="1:8" ht="15" x14ac:dyDescent="0.35">
      <c r="A36" s="13">
        <v>2048</v>
      </c>
      <c r="B36" s="12">
        <f t="shared" si="3"/>
        <v>0.5888461538461538</v>
      </c>
      <c r="C36" s="12">
        <f t="shared" si="3"/>
        <v>0.9819230769230769</v>
      </c>
      <c r="D36" s="12">
        <f t="shared" si="3"/>
        <v>0.58115384615384613</v>
      </c>
      <c r="E36" s="12">
        <f t="shared" si="3"/>
        <v>0.97269230769230774</v>
      </c>
      <c r="F36" s="12">
        <f t="shared" si="3"/>
        <v>0.745</v>
      </c>
      <c r="G36" s="12">
        <f t="shared" si="3"/>
        <v>0.97230769230769232</v>
      </c>
      <c r="H36" s="12">
        <f t="shared" si="3"/>
        <v>0.72153846153846157</v>
      </c>
    </row>
    <row r="37" spans="1:8" ht="15" x14ac:dyDescent="0.35">
      <c r="A37" s="13">
        <v>2049</v>
      </c>
      <c r="B37" s="12">
        <f t="shared" si="3"/>
        <v>0.6</v>
      </c>
      <c r="C37" s="12">
        <f t="shared" si="3"/>
        <v>1</v>
      </c>
      <c r="D37" s="12">
        <f t="shared" si="3"/>
        <v>0.6</v>
      </c>
      <c r="E37" s="12">
        <f t="shared" si="3"/>
        <v>1</v>
      </c>
      <c r="F37" s="12">
        <f t="shared" si="3"/>
        <v>0.75</v>
      </c>
      <c r="G37" s="12">
        <f t="shared" si="3"/>
        <v>1</v>
      </c>
      <c r="H37" s="12">
        <f t="shared" si="3"/>
        <v>0.75</v>
      </c>
    </row>
    <row r="38" spans="1:8" ht="15" x14ac:dyDescent="0.35">
      <c r="A38" s="13">
        <v>2050</v>
      </c>
      <c r="B38" s="12">
        <f t="shared" si="3"/>
        <v>0.6</v>
      </c>
      <c r="C38" s="12">
        <f t="shared" si="3"/>
        <v>1</v>
      </c>
      <c r="D38" s="12">
        <f t="shared" si="3"/>
        <v>0.6</v>
      </c>
      <c r="E38" s="12">
        <f t="shared" si="3"/>
        <v>1</v>
      </c>
      <c r="F38" s="12">
        <f t="shared" si="3"/>
        <v>0.75</v>
      </c>
      <c r="G38" s="12">
        <f t="shared" si="3"/>
        <v>1</v>
      </c>
      <c r="H38" s="12">
        <f t="shared" si="3"/>
        <v>0.75</v>
      </c>
    </row>
    <row r="39" spans="1:8" ht="15" x14ac:dyDescent="0.35">
      <c r="A39" s="13">
        <v>2051</v>
      </c>
      <c r="B39" s="12">
        <f t="shared" si="3"/>
        <v>0.6</v>
      </c>
      <c r="C39" s="12">
        <f t="shared" si="3"/>
        <v>1</v>
      </c>
      <c r="D39" s="12">
        <f t="shared" si="3"/>
        <v>0.6</v>
      </c>
      <c r="E39" s="12">
        <f t="shared" si="3"/>
        <v>1</v>
      </c>
      <c r="F39" s="12">
        <f t="shared" si="3"/>
        <v>0.75</v>
      </c>
      <c r="G39" s="12">
        <f t="shared" si="3"/>
        <v>1</v>
      </c>
      <c r="H39" s="12">
        <f t="shared" si="3"/>
        <v>0.75</v>
      </c>
    </row>
    <row r="40" spans="1:8" ht="15" x14ac:dyDescent="0.35">
      <c r="A40" s="13">
        <v>2052</v>
      </c>
      <c r="B40" s="12">
        <f t="shared" si="3"/>
        <v>0.6</v>
      </c>
      <c r="C40" s="12">
        <f t="shared" si="3"/>
        <v>1</v>
      </c>
      <c r="D40" s="12">
        <f t="shared" si="3"/>
        <v>0.6</v>
      </c>
      <c r="E40" s="12">
        <f t="shared" si="3"/>
        <v>1</v>
      </c>
      <c r="F40" s="12">
        <f t="shared" si="3"/>
        <v>0.75</v>
      </c>
      <c r="G40" s="12">
        <f t="shared" si="3"/>
        <v>1</v>
      </c>
      <c r="H40" s="12">
        <f t="shared" si="3"/>
        <v>0.75</v>
      </c>
    </row>
    <row r="41" spans="1:8" ht="15" x14ac:dyDescent="0.35">
      <c r="A41" s="13">
        <v>2053</v>
      </c>
      <c r="B41" s="12">
        <f t="shared" si="3"/>
        <v>0.6</v>
      </c>
      <c r="C41" s="12">
        <f t="shared" si="3"/>
        <v>1</v>
      </c>
      <c r="D41" s="12">
        <f t="shared" si="3"/>
        <v>0.6</v>
      </c>
      <c r="E41" s="12">
        <f t="shared" si="3"/>
        <v>1</v>
      </c>
      <c r="F41" s="12">
        <f t="shared" si="3"/>
        <v>0.75</v>
      </c>
      <c r="G41" s="12">
        <f t="shared" si="3"/>
        <v>1</v>
      </c>
      <c r="H41" s="12">
        <f t="shared" si="3"/>
        <v>0.75</v>
      </c>
    </row>
    <row r="42" spans="1:8" ht="15" x14ac:dyDescent="0.35">
      <c r="A42" s="13">
        <v>2054</v>
      </c>
      <c r="B42" s="12">
        <f t="shared" si="3"/>
        <v>0.6</v>
      </c>
      <c r="C42" s="12">
        <f t="shared" si="3"/>
        <v>1</v>
      </c>
      <c r="D42" s="12">
        <f t="shared" si="3"/>
        <v>0.6</v>
      </c>
      <c r="E42" s="12">
        <f t="shared" si="3"/>
        <v>1</v>
      </c>
      <c r="F42" s="12">
        <f t="shared" si="3"/>
        <v>0.75</v>
      </c>
      <c r="G42" s="12">
        <f t="shared" si="3"/>
        <v>1</v>
      </c>
      <c r="H42" s="12">
        <f t="shared" si="3"/>
        <v>0.75</v>
      </c>
    </row>
    <row r="43" spans="1:8" ht="15" x14ac:dyDescent="0.35">
      <c r="A43" s="13">
        <v>2055</v>
      </c>
      <c r="B43" s="12">
        <f t="shared" si="3"/>
        <v>0.6</v>
      </c>
      <c r="C43" s="12">
        <f t="shared" si="3"/>
        <v>1</v>
      </c>
      <c r="D43" s="12">
        <f t="shared" si="3"/>
        <v>0.6</v>
      </c>
      <c r="E43" s="12">
        <f t="shared" si="3"/>
        <v>1</v>
      </c>
      <c r="F43" s="12">
        <f t="shared" si="3"/>
        <v>0.75</v>
      </c>
      <c r="G43" s="12">
        <f t="shared" si="3"/>
        <v>1</v>
      </c>
      <c r="H43" s="12">
        <f t="shared" si="3"/>
        <v>0.75</v>
      </c>
    </row>
    <row r="44" spans="1:8" ht="15" x14ac:dyDescent="0.35">
      <c r="A44" s="13">
        <v>2056</v>
      </c>
      <c r="B44" s="12">
        <f t="shared" si="3"/>
        <v>0.6</v>
      </c>
      <c r="C44" s="12">
        <f t="shared" si="3"/>
        <v>1</v>
      </c>
      <c r="D44" s="12">
        <f t="shared" si="3"/>
        <v>0.6</v>
      </c>
      <c r="E44" s="12">
        <f t="shared" si="3"/>
        <v>1</v>
      </c>
      <c r="F44" s="12">
        <f t="shared" si="3"/>
        <v>0.75</v>
      </c>
      <c r="G44" s="12">
        <f t="shared" si="3"/>
        <v>1</v>
      </c>
      <c r="H44" s="12">
        <f t="shared" si="3"/>
        <v>0.75</v>
      </c>
    </row>
    <row r="45" spans="1:8" ht="15" x14ac:dyDescent="0.35">
      <c r="A45" s="13">
        <v>2057</v>
      </c>
      <c r="B45" s="12">
        <f t="shared" ref="B45:H60" si="4">MIN(B$5,B$4+($A45-$A$11)/B$7*(B$6-B$4))</f>
        <v>0.6</v>
      </c>
      <c r="C45" s="12">
        <f t="shared" si="4"/>
        <v>1</v>
      </c>
      <c r="D45" s="12">
        <f t="shared" si="4"/>
        <v>0.6</v>
      </c>
      <c r="E45" s="12">
        <f t="shared" si="4"/>
        <v>1</v>
      </c>
      <c r="F45" s="12">
        <f t="shared" si="4"/>
        <v>0.75</v>
      </c>
      <c r="G45" s="12">
        <f t="shared" si="4"/>
        <v>1</v>
      </c>
      <c r="H45" s="12">
        <f t="shared" si="4"/>
        <v>0.75</v>
      </c>
    </row>
    <row r="46" spans="1:8" ht="15" x14ac:dyDescent="0.35">
      <c r="A46" s="13">
        <v>2058</v>
      </c>
      <c r="B46" s="12">
        <f t="shared" si="4"/>
        <v>0.6</v>
      </c>
      <c r="C46" s="12">
        <f t="shared" si="4"/>
        <v>1</v>
      </c>
      <c r="D46" s="12">
        <f t="shared" si="4"/>
        <v>0.6</v>
      </c>
      <c r="E46" s="12">
        <f t="shared" si="4"/>
        <v>1</v>
      </c>
      <c r="F46" s="12">
        <f t="shared" si="4"/>
        <v>0.75</v>
      </c>
      <c r="G46" s="12">
        <f t="shared" si="4"/>
        <v>1</v>
      </c>
      <c r="H46" s="12">
        <f t="shared" si="4"/>
        <v>0.75</v>
      </c>
    </row>
    <row r="47" spans="1:8" ht="15" x14ac:dyDescent="0.35">
      <c r="A47" s="13">
        <v>2059</v>
      </c>
      <c r="B47" s="12">
        <f t="shared" si="4"/>
        <v>0.6</v>
      </c>
      <c r="C47" s="12">
        <f t="shared" si="4"/>
        <v>1</v>
      </c>
      <c r="D47" s="12">
        <f t="shared" si="4"/>
        <v>0.6</v>
      </c>
      <c r="E47" s="12">
        <f t="shared" si="4"/>
        <v>1</v>
      </c>
      <c r="F47" s="12">
        <f t="shared" si="4"/>
        <v>0.75</v>
      </c>
      <c r="G47" s="12">
        <f t="shared" si="4"/>
        <v>1</v>
      </c>
      <c r="H47" s="12">
        <f t="shared" si="4"/>
        <v>0.75</v>
      </c>
    </row>
    <row r="48" spans="1:8" ht="15" x14ac:dyDescent="0.35">
      <c r="A48" s="13">
        <v>2060</v>
      </c>
      <c r="B48" s="12">
        <f t="shared" si="4"/>
        <v>0.6</v>
      </c>
      <c r="C48" s="12">
        <f t="shared" si="4"/>
        <v>1</v>
      </c>
      <c r="D48" s="12">
        <f t="shared" si="4"/>
        <v>0.6</v>
      </c>
      <c r="E48" s="12">
        <f t="shared" si="4"/>
        <v>1</v>
      </c>
      <c r="F48" s="12">
        <f t="shared" si="4"/>
        <v>0.75</v>
      </c>
      <c r="G48" s="12">
        <f t="shared" si="4"/>
        <v>1</v>
      </c>
      <c r="H48" s="12">
        <f t="shared" si="4"/>
        <v>0.75</v>
      </c>
    </row>
    <row r="49" spans="1:8" ht="15" x14ac:dyDescent="0.35">
      <c r="A49" s="13">
        <v>2061</v>
      </c>
      <c r="B49" s="12">
        <f t="shared" si="4"/>
        <v>0.6</v>
      </c>
      <c r="C49" s="12">
        <f t="shared" si="4"/>
        <v>1</v>
      </c>
      <c r="D49" s="12">
        <f t="shared" si="4"/>
        <v>0.6</v>
      </c>
      <c r="E49" s="12">
        <f t="shared" si="4"/>
        <v>1</v>
      </c>
      <c r="F49" s="12">
        <f t="shared" si="4"/>
        <v>0.75</v>
      </c>
      <c r="G49" s="12">
        <f t="shared" si="4"/>
        <v>1</v>
      </c>
      <c r="H49" s="12">
        <f t="shared" si="4"/>
        <v>0.75</v>
      </c>
    </row>
    <row r="50" spans="1:8" ht="15" x14ac:dyDescent="0.35">
      <c r="A50" s="13">
        <v>2062</v>
      </c>
      <c r="B50" s="12">
        <f t="shared" si="4"/>
        <v>0.6</v>
      </c>
      <c r="C50" s="12">
        <f t="shared" si="4"/>
        <v>1</v>
      </c>
      <c r="D50" s="12">
        <f t="shared" si="4"/>
        <v>0.6</v>
      </c>
      <c r="E50" s="12">
        <f t="shared" si="4"/>
        <v>1</v>
      </c>
      <c r="F50" s="12">
        <f t="shared" si="4"/>
        <v>0.75</v>
      </c>
      <c r="G50" s="12">
        <f t="shared" si="4"/>
        <v>1</v>
      </c>
      <c r="H50" s="12">
        <f t="shared" si="4"/>
        <v>0.75</v>
      </c>
    </row>
    <row r="51" spans="1:8" ht="15" x14ac:dyDescent="0.35">
      <c r="A51" s="13">
        <v>2063</v>
      </c>
      <c r="B51" s="12">
        <f t="shared" si="4"/>
        <v>0.6</v>
      </c>
      <c r="C51" s="12">
        <f t="shared" si="4"/>
        <v>1</v>
      </c>
      <c r="D51" s="12">
        <f t="shared" si="4"/>
        <v>0.6</v>
      </c>
      <c r="E51" s="12">
        <f t="shared" si="4"/>
        <v>1</v>
      </c>
      <c r="F51" s="12">
        <f t="shared" si="4"/>
        <v>0.75</v>
      </c>
      <c r="G51" s="12">
        <f t="shared" si="4"/>
        <v>1</v>
      </c>
      <c r="H51" s="12">
        <f t="shared" si="4"/>
        <v>0.75</v>
      </c>
    </row>
    <row r="52" spans="1:8" ht="15" x14ac:dyDescent="0.35">
      <c r="A52" s="13">
        <v>2064</v>
      </c>
      <c r="B52" s="12">
        <f t="shared" si="4"/>
        <v>0.6</v>
      </c>
      <c r="C52" s="12">
        <f t="shared" si="4"/>
        <v>1</v>
      </c>
      <c r="D52" s="12">
        <f t="shared" si="4"/>
        <v>0.6</v>
      </c>
      <c r="E52" s="12">
        <f t="shared" si="4"/>
        <v>1</v>
      </c>
      <c r="F52" s="12">
        <f t="shared" si="4"/>
        <v>0.75</v>
      </c>
      <c r="G52" s="12">
        <f t="shared" si="4"/>
        <v>1</v>
      </c>
      <c r="H52" s="12">
        <f t="shared" si="4"/>
        <v>0.75</v>
      </c>
    </row>
    <row r="53" spans="1:8" ht="15" x14ac:dyDescent="0.35">
      <c r="A53" s="13">
        <v>2065</v>
      </c>
      <c r="B53" s="12">
        <f t="shared" si="4"/>
        <v>0.6</v>
      </c>
      <c r="C53" s="12">
        <f t="shared" si="4"/>
        <v>1</v>
      </c>
      <c r="D53" s="12">
        <f t="shared" si="4"/>
        <v>0.6</v>
      </c>
      <c r="E53" s="12">
        <f t="shared" si="4"/>
        <v>1</v>
      </c>
      <c r="F53" s="12">
        <f t="shared" si="4"/>
        <v>0.75</v>
      </c>
      <c r="G53" s="12">
        <f t="shared" si="4"/>
        <v>1</v>
      </c>
      <c r="H53" s="12">
        <f t="shared" si="4"/>
        <v>0.75</v>
      </c>
    </row>
    <row r="54" spans="1:8" ht="15" x14ac:dyDescent="0.35">
      <c r="A54" s="13">
        <v>2066</v>
      </c>
      <c r="B54" s="12">
        <f t="shared" si="4"/>
        <v>0.6</v>
      </c>
      <c r="C54" s="12">
        <f t="shared" si="4"/>
        <v>1</v>
      </c>
      <c r="D54" s="12">
        <f t="shared" si="4"/>
        <v>0.6</v>
      </c>
      <c r="E54" s="12">
        <f t="shared" si="4"/>
        <v>1</v>
      </c>
      <c r="F54" s="12">
        <f t="shared" si="4"/>
        <v>0.75</v>
      </c>
      <c r="G54" s="12">
        <f t="shared" si="4"/>
        <v>1</v>
      </c>
      <c r="H54" s="12">
        <f t="shared" si="4"/>
        <v>0.75</v>
      </c>
    </row>
    <row r="55" spans="1:8" ht="15" x14ac:dyDescent="0.35">
      <c r="A55" s="13">
        <v>2067</v>
      </c>
      <c r="B55" s="12">
        <f t="shared" si="4"/>
        <v>0.6</v>
      </c>
      <c r="C55" s="12">
        <f t="shared" si="4"/>
        <v>1</v>
      </c>
      <c r="D55" s="12">
        <f t="shared" si="4"/>
        <v>0.6</v>
      </c>
      <c r="E55" s="12">
        <f t="shared" si="4"/>
        <v>1</v>
      </c>
      <c r="F55" s="12">
        <f t="shared" si="4"/>
        <v>0.75</v>
      </c>
      <c r="G55" s="12">
        <f t="shared" si="4"/>
        <v>1</v>
      </c>
      <c r="H55" s="12">
        <f t="shared" si="4"/>
        <v>0.75</v>
      </c>
    </row>
    <row r="56" spans="1:8" ht="15" x14ac:dyDescent="0.35">
      <c r="A56" s="13">
        <v>2068</v>
      </c>
      <c r="B56" s="12">
        <f t="shared" si="4"/>
        <v>0.6</v>
      </c>
      <c r="C56" s="12">
        <f t="shared" si="4"/>
        <v>1</v>
      </c>
      <c r="D56" s="12">
        <f t="shared" si="4"/>
        <v>0.6</v>
      </c>
      <c r="E56" s="12">
        <f t="shared" si="4"/>
        <v>1</v>
      </c>
      <c r="F56" s="12">
        <f t="shared" si="4"/>
        <v>0.75</v>
      </c>
      <c r="G56" s="12">
        <f t="shared" si="4"/>
        <v>1</v>
      </c>
      <c r="H56" s="12">
        <f t="shared" si="4"/>
        <v>0.75</v>
      </c>
    </row>
    <row r="57" spans="1:8" ht="15" x14ac:dyDescent="0.35">
      <c r="A57" s="13">
        <v>2069</v>
      </c>
      <c r="B57" s="12">
        <f t="shared" si="4"/>
        <v>0.6</v>
      </c>
      <c r="C57" s="12">
        <f t="shared" si="4"/>
        <v>1</v>
      </c>
      <c r="D57" s="12">
        <f t="shared" si="4"/>
        <v>0.6</v>
      </c>
      <c r="E57" s="12">
        <f t="shared" si="4"/>
        <v>1</v>
      </c>
      <c r="F57" s="12">
        <f t="shared" si="4"/>
        <v>0.75</v>
      </c>
      <c r="G57" s="12">
        <f t="shared" si="4"/>
        <v>1</v>
      </c>
      <c r="H57" s="12">
        <f t="shared" si="4"/>
        <v>0.75</v>
      </c>
    </row>
    <row r="58" spans="1:8" ht="15" x14ac:dyDescent="0.35">
      <c r="A58" s="13">
        <v>2070</v>
      </c>
      <c r="B58" s="12">
        <f t="shared" si="4"/>
        <v>0.6</v>
      </c>
      <c r="C58" s="12">
        <f t="shared" si="4"/>
        <v>1</v>
      </c>
      <c r="D58" s="12">
        <f t="shared" si="4"/>
        <v>0.6</v>
      </c>
      <c r="E58" s="12">
        <f t="shared" si="4"/>
        <v>1</v>
      </c>
      <c r="F58" s="12">
        <f t="shared" si="4"/>
        <v>0.75</v>
      </c>
      <c r="G58" s="12">
        <f t="shared" si="4"/>
        <v>1</v>
      </c>
      <c r="H58" s="12">
        <f t="shared" si="4"/>
        <v>0.75</v>
      </c>
    </row>
    <row r="59" spans="1:8" ht="15" x14ac:dyDescent="0.35">
      <c r="A59" s="13">
        <v>2071</v>
      </c>
      <c r="B59" s="12">
        <f t="shared" si="4"/>
        <v>0.6</v>
      </c>
      <c r="C59" s="12">
        <f t="shared" si="4"/>
        <v>1</v>
      </c>
      <c r="D59" s="12">
        <f t="shared" si="4"/>
        <v>0.6</v>
      </c>
      <c r="E59" s="12">
        <f t="shared" si="4"/>
        <v>1</v>
      </c>
      <c r="F59" s="12">
        <f t="shared" si="4"/>
        <v>0.75</v>
      </c>
      <c r="G59" s="12">
        <f t="shared" si="4"/>
        <v>1</v>
      </c>
      <c r="H59" s="12">
        <f t="shared" si="4"/>
        <v>0.75</v>
      </c>
    </row>
    <row r="60" spans="1:8" ht="15" x14ac:dyDescent="0.35">
      <c r="A60" s="13">
        <v>2072</v>
      </c>
      <c r="B60" s="12">
        <f t="shared" si="4"/>
        <v>0.6</v>
      </c>
      <c r="C60" s="12">
        <f t="shared" si="4"/>
        <v>1</v>
      </c>
      <c r="D60" s="12">
        <f t="shared" si="4"/>
        <v>0.6</v>
      </c>
      <c r="E60" s="12">
        <f t="shared" si="4"/>
        <v>1</v>
      </c>
      <c r="F60" s="12">
        <f t="shared" si="4"/>
        <v>0.75</v>
      </c>
      <c r="G60" s="12">
        <f t="shared" si="4"/>
        <v>1</v>
      </c>
      <c r="H60" s="12">
        <f t="shared" si="4"/>
        <v>0.75</v>
      </c>
    </row>
    <row r="61" spans="1:8" ht="15" x14ac:dyDescent="0.35">
      <c r="A61" s="13">
        <v>2073</v>
      </c>
      <c r="B61" s="12">
        <f t="shared" ref="B61:H76" si="5">MIN(B$5,B$4+($A61-$A$11)/B$7*(B$6-B$4))</f>
        <v>0.6</v>
      </c>
      <c r="C61" s="12">
        <f t="shared" si="5"/>
        <v>1</v>
      </c>
      <c r="D61" s="12">
        <f t="shared" si="5"/>
        <v>0.6</v>
      </c>
      <c r="E61" s="12">
        <f t="shared" si="5"/>
        <v>1</v>
      </c>
      <c r="F61" s="12">
        <f t="shared" si="5"/>
        <v>0.75</v>
      </c>
      <c r="G61" s="12">
        <f t="shared" si="5"/>
        <v>1</v>
      </c>
      <c r="H61" s="12">
        <f t="shared" si="5"/>
        <v>0.75</v>
      </c>
    </row>
    <row r="62" spans="1:8" ht="15" x14ac:dyDescent="0.35">
      <c r="A62" s="13">
        <v>2074</v>
      </c>
      <c r="B62" s="12">
        <f t="shared" si="5"/>
        <v>0.6</v>
      </c>
      <c r="C62" s="12">
        <f t="shared" si="5"/>
        <v>1</v>
      </c>
      <c r="D62" s="12">
        <f t="shared" si="5"/>
        <v>0.6</v>
      </c>
      <c r="E62" s="12">
        <f t="shared" si="5"/>
        <v>1</v>
      </c>
      <c r="F62" s="12">
        <f t="shared" si="5"/>
        <v>0.75</v>
      </c>
      <c r="G62" s="12">
        <f t="shared" si="5"/>
        <v>1</v>
      </c>
      <c r="H62" s="12">
        <f t="shared" si="5"/>
        <v>0.75</v>
      </c>
    </row>
    <row r="63" spans="1:8" ht="15" x14ac:dyDescent="0.35">
      <c r="A63" s="13">
        <v>2075</v>
      </c>
      <c r="B63" s="12">
        <f t="shared" si="5"/>
        <v>0.6</v>
      </c>
      <c r="C63" s="12">
        <f t="shared" si="5"/>
        <v>1</v>
      </c>
      <c r="D63" s="12">
        <f t="shared" si="5"/>
        <v>0.6</v>
      </c>
      <c r="E63" s="12">
        <f t="shared" si="5"/>
        <v>1</v>
      </c>
      <c r="F63" s="12">
        <f t="shared" si="5"/>
        <v>0.75</v>
      </c>
      <c r="G63" s="12">
        <f t="shared" si="5"/>
        <v>1</v>
      </c>
      <c r="H63" s="12">
        <f t="shared" si="5"/>
        <v>0.75</v>
      </c>
    </row>
    <row r="64" spans="1:8" ht="15" x14ac:dyDescent="0.35">
      <c r="A64" s="13">
        <v>2076</v>
      </c>
      <c r="B64" s="12">
        <f t="shared" si="5"/>
        <v>0.6</v>
      </c>
      <c r="C64" s="12">
        <f t="shared" si="5"/>
        <v>1</v>
      </c>
      <c r="D64" s="12">
        <f t="shared" si="5"/>
        <v>0.6</v>
      </c>
      <c r="E64" s="12">
        <f t="shared" si="5"/>
        <v>1</v>
      </c>
      <c r="F64" s="12">
        <f t="shared" si="5"/>
        <v>0.75</v>
      </c>
      <c r="G64" s="12">
        <f t="shared" si="5"/>
        <v>1</v>
      </c>
      <c r="H64" s="12">
        <f t="shared" si="5"/>
        <v>0.75</v>
      </c>
    </row>
    <row r="65" spans="1:8" ht="15" x14ac:dyDescent="0.35">
      <c r="A65" s="13">
        <v>2077</v>
      </c>
      <c r="B65" s="12">
        <f t="shared" si="5"/>
        <v>0.6</v>
      </c>
      <c r="C65" s="12">
        <f t="shared" si="5"/>
        <v>1</v>
      </c>
      <c r="D65" s="12">
        <f t="shared" si="5"/>
        <v>0.6</v>
      </c>
      <c r="E65" s="12">
        <f t="shared" si="5"/>
        <v>1</v>
      </c>
      <c r="F65" s="12">
        <f t="shared" si="5"/>
        <v>0.75</v>
      </c>
      <c r="G65" s="12">
        <f t="shared" si="5"/>
        <v>1</v>
      </c>
      <c r="H65" s="12">
        <f t="shared" si="5"/>
        <v>0.75</v>
      </c>
    </row>
    <row r="66" spans="1:8" ht="15" x14ac:dyDescent="0.35">
      <c r="A66" s="13">
        <v>2078</v>
      </c>
      <c r="B66" s="12">
        <f t="shared" si="5"/>
        <v>0.6</v>
      </c>
      <c r="C66" s="12">
        <f t="shared" si="5"/>
        <v>1</v>
      </c>
      <c r="D66" s="12">
        <f t="shared" si="5"/>
        <v>0.6</v>
      </c>
      <c r="E66" s="12">
        <f t="shared" si="5"/>
        <v>1</v>
      </c>
      <c r="F66" s="12">
        <f t="shared" si="5"/>
        <v>0.75</v>
      </c>
      <c r="G66" s="12">
        <f t="shared" si="5"/>
        <v>1</v>
      </c>
      <c r="H66" s="12">
        <f t="shared" si="5"/>
        <v>0.75</v>
      </c>
    </row>
    <row r="67" spans="1:8" ht="15" x14ac:dyDescent="0.35">
      <c r="A67" s="13">
        <v>2079</v>
      </c>
      <c r="B67" s="12">
        <f t="shared" si="5"/>
        <v>0.6</v>
      </c>
      <c r="C67" s="12">
        <f t="shared" si="5"/>
        <v>1</v>
      </c>
      <c r="D67" s="12">
        <f t="shared" si="5"/>
        <v>0.6</v>
      </c>
      <c r="E67" s="12">
        <f t="shared" si="5"/>
        <v>1</v>
      </c>
      <c r="F67" s="12">
        <f t="shared" si="5"/>
        <v>0.75</v>
      </c>
      <c r="G67" s="12">
        <f t="shared" si="5"/>
        <v>1</v>
      </c>
      <c r="H67" s="12">
        <f t="shared" si="5"/>
        <v>0.75</v>
      </c>
    </row>
    <row r="68" spans="1:8" ht="15" x14ac:dyDescent="0.35">
      <c r="A68" s="13">
        <v>2080</v>
      </c>
      <c r="B68" s="12">
        <f t="shared" si="5"/>
        <v>0.6</v>
      </c>
      <c r="C68" s="12">
        <f t="shared" si="5"/>
        <v>1</v>
      </c>
      <c r="D68" s="12">
        <f t="shared" si="5"/>
        <v>0.6</v>
      </c>
      <c r="E68" s="12">
        <f t="shared" si="5"/>
        <v>1</v>
      </c>
      <c r="F68" s="12">
        <f t="shared" si="5"/>
        <v>0.75</v>
      </c>
      <c r="G68" s="12">
        <f t="shared" si="5"/>
        <v>1</v>
      </c>
      <c r="H68" s="12">
        <f t="shared" si="5"/>
        <v>0.75</v>
      </c>
    </row>
    <row r="69" spans="1:8" ht="15" x14ac:dyDescent="0.35">
      <c r="A69" s="13">
        <v>2081</v>
      </c>
      <c r="B69" s="12">
        <f t="shared" si="5"/>
        <v>0.6</v>
      </c>
      <c r="C69" s="12">
        <f t="shared" si="5"/>
        <v>1</v>
      </c>
      <c r="D69" s="12">
        <f t="shared" si="5"/>
        <v>0.6</v>
      </c>
      <c r="E69" s="12">
        <f t="shared" si="5"/>
        <v>1</v>
      </c>
      <c r="F69" s="12">
        <f t="shared" si="5"/>
        <v>0.75</v>
      </c>
      <c r="G69" s="12">
        <f t="shared" si="5"/>
        <v>1</v>
      </c>
      <c r="H69" s="12">
        <f t="shared" si="5"/>
        <v>0.75</v>
      </c>
    </row>
    <row r="70" spans="1:8" ht="15" x14ac:dyDescent="0.35">
      <c r="A70" s="13">
        <v>2082</v>
      </c>
      <c r="B70" s="12">
        <f t="shared" si="5"/>
        <v>0.6</v>
      </c>
      <c r="C70" s="12">
        <f t="shared" si="5"/>
        <v>1</v>
      </c>
      <c r="D70" s="12">
        <f t="shared" si="5"/>
        <v>0.6</v>
      </c>
      <c r="E70" s="12">
        <f t="shared" si="5"/>
        <v>1</v>
      </c>
      <c r="F70" s="12">
        <f t="shared" si="5"/>
        <v>0.75</v>
      </c>
      <c r="G70" s="12">
        <f t="shared" si="5"/>
        <v>1</v>
      </c>
      <c r="H70" s="12">
        <f t="shared" si="5"/>
        <v>0.75</v>
      </c>
    </row>
    <row r="71" spans="1:8" ht="15" x14ac:dyDescent="0.35">
      <c r="A71" s="13">
        <v>2083</v>
      </c>
      <c r="B71" s="12">
        <f t="shared" si="5"/>
        <v>0.6</v>
      </c>
      <c r="C71" s="12">
        <f t="shared" si="5"/>
        <v>1</v>
      </c>
      <c r="D71" s="12">
        <f t="shared" si="5"/>
        <v>0.6</v>
      </c>
      <c r="E71" s="12">
        <f t="shared" si="5"/>
        <v>1</v>
      </c>
      <c r="F71" s="12">
        <f t="shared" si="5"/>
        <v>0.75</v>
      </c>
      <c r="G71" s="12">
        <f t="shared" si="5"/>
        <v>1</v>
      </c>
      <c r="H71" s="12">
        <f t="shared" si="5"/>
        <v>0.75</v>
      </c>
    </row>
    <row r="72" spans="1:8" ht="15" x14ac:dyDescent="0.35">
      <c r="A72" s="13">
        <v>2084</v>
      </c>
      <c r="B72" s="12">
        <f t="shared" si="5"/>
        <v>0.6</v>
      </c>
      <c r="C72" s="12">
        <f t="shared" si="5"/>
        <v>1</v>
      </c>
      <c r="D72" s="12">
        <f t="shared" si="5"/>
        <v>0.6</v>
      </c>
      <c r="E72" s="12">
        <f t="shared" si="5"/>
        <v>1</v>
      </c>
      <c r="F72" s="12">
        <f t="shared" si="5"/>
        <v>0.75</v>
      </c>
      <c r="G72" s="12">
        <f t="shared" si="5"/>
        <v>1</v>
      </c>
      <c r="H72" s="12">
        <f t="shared" si="5"/>
        <v>0.75</v>
      </c>
    </row>
    <row r="73" spans="1:8" ht="15" x14ac:dyDescent="0.35">
      <c r="A73" s="13">
        <v>2085</v>
      </c>
      <c r="B73" s="12">
        <f t="shared" si="5"/>
        <v>0.6</v>
      </c>
      <c r="C73" s="12">
        <f t="shared" si="5"/>
        <v>1</v>
      </c>
      <c r="D73" s="12">
        <f t="shared" si="5"/>
        <v>0.6</v>
      </c>
      <c r="E73" s="12">
        <f t="shared" si="5"/>
        <v>1</v>
      </c>
      <c r="F73" s="12">
        <f t="shared" si="5"/>
        <v>0.75</v>
      </c>
      <c r="G73" s="12">
        <f t="shared" si="5"/>
        <v>1</v>
      </c>
      <c r="H73" s="12">
        <f t="shared" si="5"/>
        <v>0.75</v>
      </c>
    </row>
    <row r="74" spans="1:8" ht="15" x14ac:dyDescent="0.35">
      <c r="A74" s="13">
        <v>2086</v>
      </c>
      <c r="B74" s="12">
        <f t="shared" si="5"/>
        <v>0.6</v>
      </c>
      <c r="C74" s="12">
        <f t="shared" si="5"/>
        <v>1</v>
      </c>
      <c r="D74" s="12">
        <f t="shared" si="5"/>
        <v>0.6</v>
      </c>
      <c r="E74" s="12">
        <f t="shared" si="5"/>
        <v>1</v>
      </c>
      <c r="F74" s="12">
        <f t="shared" si="5"/>
        <v>0.75</v>
      </c>
      <c r="G74" s="12">
        <f t="shared" si="5"/>
        <v>1</v>
      </c>
      <c r="H74" s="12">
        <f t="shared" si="5"/>
        <v>0.75</v>
      </c>
    </row>
    <row r="75" spans="1:8" ht="15" x14ac:dyDescent="0.35">
      <c r="A75" s="13">
        <v>2087</v>
      </c>
      <c r="B75" s="12">
        <f t="shared" si="5"/>
        <v>0.6</v>
      </c>
      <c r="C75" s="12">
        <f t="shared" si="5"/>
        <v>1</v>
      </c>
      <c r="D75" s="12">
        <f t="shared" si="5"/>
        <v>0.6</v>
      </c>
      <c r="E75" s="12">
        <f t="shared" si="5"/>
        <v>1</v>
      </c>
      <c r="F75" s="12">
        <f t="shared" si="5"/>
        <v>0.75</v>
      </c>
      <c r="G75" s="12">
        <f t="shared" si="5"/>
        <v>1</v>
      </c>
      <c r="H75" s="12">
        <f t="shared" si="5"/>
        <v>0.75</v>
      </c>
    </row>
    <row r="76" spans="1:8" ht="15" x14ac:dyDescent="0.35">
      <c r="A76" s="13">
        <v>2088</v>
      </c>
      <c r="B76" s="12">
        <f t="shared" si="5"/>
        <v>0.6</v>
      </c>
      <c r="C76" s="12">
        <f t="shared" si="5"/>
        <v>1</v>
      </c>
      <c r="D76" s="12">
        <f t="shared" si="5"/>
        <v>0.6</v>
      </c>
      <c r="E76" s="12">
        <f t="shared" si="5"/>
        <v>1</v>
      </c>
      <c r="F76" s="12">
        <f t="shared" si="5"/>
        <v>0.75</v>
      </c>
      <c r="G76" s="12">
        <f t="shared" si="5"/>
        <v>1</v>
      </c>
      <c r="H76" s="12">
        <f t="shared" si="5"/>
        <v>0.75</v>
      </c>
    </row>
    <row r="77" spans="1:8" ht="15" x14ac:dyDescent="0.35">
      <c r="A77" s="13">
        <v>2089</v>
      </c>
      <c r="B77" s="12">
        <f t="shared" ref="B77:H88" si="6">MIN(B$5,B$4+($A77-$A$11)/B$7*(B$6-B$4))</f>
        <v>0.6</v>
      </c>
      <c r="C77" s="12">
        <f t="shared" si="6"/>
        <v>1</v>
      </c>
      <c r="D77" s="12">
        <f t="shared" si="6"/>
        <v>0.6</v>
      </c>
      <c r="E77" s="12">
        <f t="shared" si="6"/>
        <v>1</v>
      </c>
      <c r="F77" s="12">
        <f t="shared" si="6"/>
        <v>0.75</v>
      </c>
      <c r="G77" s="12">
        <f t="shared" si="6"/>
        <v>1</v>
      </c>
      <c r="H77" s="12">
        <f t="shared" si="6"/>
        <v>0.75</v>
      </c>
    </row>
    <row r="78" spans="1:8" ht="15" x14ac:dyDescent="0.35">
      <c r="A78" s="13">
        <v>2090</v>
      </c>
      <c r="B78" s="12">
        <f t="shared" si="6"/>
        <v>0.6</v>
      </c>
      <c r="C78" s="12">
        <f t="shared" si="6"/>
        <v>1</v>
      </c>
      <c r="D78" s="12">
        <f t="shared" si="6"/>
        <v>0.6</v>
      </c>
      <c r="E78" s="12">
        <f t="shared" si="6"/>
        <v>1</v>
      </c>
      <c r="F78" s="12">
        <f t="shared" si="6"/>
        <v>0.75</v>
      </c>
      <c r="G78" s="12">
        <f t="shared" si="6"/>
        <v>1</v>
      </c>
      <c r="H78" s="12">
        <f t="shared" si="6"/>
        <v>0.75</v>
      </c>
    </row>
    <row r="79" spans="1:8" ht="15" x14ac:dyDescent="0.35">
      <c r="A79" s="13">
        <v>2091</v>
      </c>
      <c r="B79" s="12">
        <f t="shared" si="6"/>
        <v>0.6</v>
      </c>
      <c r="C79" s="12">
        <f t="shared" si="6"/>
        <v>1</v>
      </c>
      <c r="D79" s="12">
        <f t="shared" si="6"/>
        <v>0.6</v>
      </c>
      <c r="E79" s="12">
        <f t="shared" si="6"/>
        <v>1</v>
      </c>
      <c r="F79" s="12">
        <f t="shared" si="6"/>
        <v>0.75</v>
      </c>
      <c r="G79" s="12">
        <f t="shared" si="6"/>
        <v>1</v>
      </c>
      <c r="H79" s="12">
        <f t="shared" si="6"/>
        <v>0.75</v>
      </c>
    </row>
    <row r="80" spans="1:8" ht="15" x14ac:dyDescent="0.35">
      <c r="A80" s="13">
        <v>2092</v>
      </c>
      <c r="B80" s="12">
        <f t="shared" si="6"/>
        <v>0.6</v>
      </c>
      <c r="C80" s="12">
        <f t="shared" si="6"/>
        <v>1</v>
      </c>
      <c r="D80" s="12">
        <f t="shared" si="6"/>
        <v>0.6</v>
      </c>
      <c r="E80" s="12">
        <f t="shared" si="6"/>
        <v>1</v>
      </c>
      <c r="F80" s="12">
        <f t="shared" si="6"/>
        <v>0.75</v>
      </c>
      <c r="G80" s="12">
        <f t="shared" si="6"/>
        <v>1</v>
      </c>
      <c r="H80" s="12">
        <f t="shared" si="6"/>
        <v>0.75</v>
      </c>
    </row>
    <row r="81" spans="1:8" ht="15" x14ac:dyDescent="0.35">
      <c r="A81" s="13">
        <v>2093</v>
      </c>
      <c r="B81" s="12">
        <f t="shared" si="6"/>
        <v>0.6</v>
      </c>
      <c r="C81" s="12">
        <f t="shared" si="6"/>
        <v>1</v>
      </c>
      <c r="D81" s="12">
        <f t="shared" si="6"/>
        <v>0.6</v>
      </c>
      <c r="E81" s="12">
        <f t="shared" si="6"/>
        <v>1</v>
      </c>
      <c r="F81" s="12">
        <f t="shared" si="6"/>
        <v>0.75</v>
      </c>
      <c r="G81" s="12">
        <f t="shared" si="6"/>
        <v>1</v>
      </c>
      <c r="H81" s="12">
        <f t="shared" si="6"/>
        <v>0.75</v>
      </c>
    </row>
    <row r="82" spans="1:8" ht="15" x14ac:dyDescent="0.35">
      <c r="A82" s="13">
        <v>2094</v>
      </c>
      <c r="B82" s="12">
        <f t="shared" si="6"/>
        <v>0.6</v>
      </c>
      <c r="C82" s="12">
        <f t="shared" si="6"/>
        <v>1</v>
      </c>
      <c r="D82" s="12">
        <f t="shared" si="6"/>
        <v>0.6</v>
      </c>
      <c r="E82" s="12">
        <f t="shared" si="6"/>
        <v>1</v>
      </c>
      <c r="F82" s="12">
        <f t="shared" si="6"/>
        <v>0.75</v>
      </c>
      <c r="G82" s="12">
        <f t="shared" si="6"/>
        <v>1</v>
      </c>
      <c r="H82" s="12">
        <f t="shared" si="6"/>
        <v>0.75</v>
      </c>
    </row>
    <row r="83" spans="1:8" ht="15" x14ac:dyDescent="0.35">
      <c r="A83" s="13">
        <v>2095</v>
      </c>
      <c r="B83" s="12">
        <f t="shared" si="6"/>
        <v>0.6</v>
      </c>
      <c r="C83" s="12">
        <f t="shared" si="6"/>
        <v>1</v>
      </c>
      <c r="D83" s="12">
        <f t="shared" si="6"/>
        <v>0.6</v>
      </c>
      <c r="E83" s="12">
        <f t="shared" si="6"/>
        <v>1</v>
      </c>
      <c r="F83" s="12">
        <f t="shared" si="6"/>
        <v>0.75</v>
      </c>
      <c r="G83" s="12">
        <f t="shared" si="6"/>
        <v>1</v>
      </c>
      <c r="H83" s="12">
        <f t="shared" si="6"/>
        <v>0.75</v>
      </c>
    </row>
    <row r="84" spans="1:8" ht="15" x14ac:dyDescent="0.35">
      <c r="A84" s="13">
        <v>2096</v>
      </c>
      <c r="B84" s="12">
        <f t="shared" si="6"/>
        <v>0.6</v>
      </c>
      <c r="C84" s="12">
        <f t="shared" si="6"/>
        <v>1</v>
      </c>
      <c r="D84" s="12">
        <f t="shared" si="6"/>
        <v>0.6</v>
      </c>
      <c r="E84" s="12">
        <f t="shared" si="6"/>
        <v>1</v>
      </c>
      <c r="F84" s="12">
        <f t="shared" si="6"/>
        <v>0.75</v>
      </c>
      <c r="G84" s="12">
        <f t="shared" si="6"/>
        <v>1</v>
      </c>
      <c r="H84" s="12">
        <f t="shared" si="6"/>
        <v>0.75</v>
      </c>
    </row>
    <row r="85" spans="1:8" ht="15" x14ac:dyDescent="0.35">
      <c r="A85" s="13">
        <v>2097</v>
      </c>
      <c r="B85" s="12">
        <f t="shared" si="6"/>
        <v>0.6</v>
      </c>
      <c r="C85" s="12">
        <f t="shared" si="6"/>
        <v>1</v>
      </c>
      <c r="D85" s="12">
        <f t="shared" si="6"/>
        <v>0.6</v>
      </c>
      <c r="E85" s="12">
        <f t="shared" si="6"/>
        <v>1</v>
      </c>
      <c r="F85" s="12">
        <f t="shared" si="6"/>
        <v>0.75</v>
      </c>
      <c r="G85" s="12">
        <f t="shared" si="6"/>
        <v>1</v>
      </c>
      <c r="H85" s="12">
        <f t="shared" si="6"/>
        <v>0.75</v>
      </c>
    </row>
    <row r="86" spans="1:8" ht="15" x14ac:dyDescent="0.35">
      <c r="A86" s="13">
        <v>2098</v>
      </c>
      <c r="B86" s="12">
        <f t="shared" si="6"/>
        <v>0.6</v>
      </c>
      <c r="C86" s="12">
        <f t="shared" si="6"/>
        <v>1</v>
      </c>
      <c r="D86" s="12">
        <f t="shared" si="6"/>
        <v>0.6</v>
      </c>
      <c r="E86" s="12">
        <f t="shared" si="6"/>
        <v>1</v>
      </c>
      <c r="F86" s="12">
        <f t="shared" si="6"/>
        <v>0.75</v>
      </c>
      <c r="G86" s="12">
        <f t="shared" si="6"/>
        <v>1</v>
      </c>
      <c r="H86" s="12">
        <f t="shared" si="6"/>
        <v>0.75</v>
      </c>
    </row>
    <row r="87" spans="1:8" ht="15" x14ac:dyDescent="0.35">
      <c r="A87" s="13">
        <v>2099</v>
      </c>
      <c r="B87" s="12">
        <f t="shared" si="6"/>
        <v>0.6</v>
      </c>
      <c r="C87" s="12">
        <f t="shared" si="6"/>
        <v>1</v>
      </c>
      <c r="D87" s="12">
        <f t="shared" si="6"/>
        <v>0.6</v>
      </c>
      <c r="E87" s="12">
        <f t="shared" si="6"/>
        <v>1</v>
      </c>
      <c r="F87" s="12">
        <f t="shared" si="6"/>
        <v>0.75</v>
      </c>
      <c r="G87" s="12">
        <f t="shared" si="6"/>
        <v>1</v>
      </c>
      <c r="H87" s="12">
        <f t="shared" si="6"/>
        <v>0.75</v>
      </c>
    </row>
    <row r="88" spans="1:8" ht="15" x14ac:dyDescent="0.35">
      <c r="A88" s="13">
        <v>2100</v>
      </c>
      <c r="B88" s="12">
        <f t="shared" si="6"/>
        <v>0.6</v>
      </c>
      <c r="C88" s="12">
        <f t="shared" si="6"/>
        <v>1</v>
      </c>
      <c r="D88" s="12">
        <f t="shared" si="6"/>
        <v>0.6</v>
      </c>
      <c r="E88" s="12">
        <f t="shared" si="6"/>
        <v>1</v>
      </c>
      <c r="F88" s="12">
        <f t="shared" si="6"/>
        <v>0.75</v>
      </c>
      <c r="G88" s="12">
        <f t="shared" si="6"/>
        <v>1</v>
      </c>
      <c r="H88" s="12">
        <f t="shared" si="6"/>
        <v>0.75</v>
      </c>
    </row>
  </sheetData>
  <mergeCells count="4">
    <mergeCell ref="B2:H2"/>
    <mergeCell ref="B10:H10"/>
    <mergeCell ref="A9:H9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3593-E8AE-4707-BFB5-20F0151EEC51}">
  <dimension ref="A1:R82"/>
  <sheetViews>
    <sheetView topLeftCell="A4" workbookViewId="0">
      <selection activeCell="A4" sqref="A4"/>
    </sheetView>
  </sheetViews>
  <sheetFormatPr defaultRowHeight="13.8" x14ac:dyDescent="0.3"/>
  <cols>
    <col min="1" max="1" width="42.21875" customWidth="1"/>
    <col min="2" max="17" width="11.77734375" customWidth="1"/>
    <col min="18" max="18" width="25.33203125" customWidth="1"/>
  </cols>
  <sheetData>
    <row r="1" spans="1:18" ht="15.6" thickBot="1" x14ac:dyDescent="0.4">
      <c r="J1" s="80"/>
      <c r="K1" s="80"/>
      <c r="L1" s="80"/>
      <c r="M1" s="80"/>
      <c r="N1" s="80"/>
      <c r="O1" s="80"/>
      <c r="P1" s="80"/>
      <c r="Q1" s="27"/>
    </row>
    <row r="2" spans="1:18" ht="15" customHeight="1" x14ac:dyDescent="0.3">
      <c r="A2" s="81"/>
      <c r="B2" s="83" t="s">
        <v>22</v>
      </c>
      <c r="C2" s="84"/>
      <c r="D2" s="84"/>
      <c r="E2" s="84"/>
      <c r="F2" s="84"/>
      <c r="G2" s="84"/>
      <c r="H2" s="84"/>
      <c r="I2" s="85"/>
      <c r="J2" s="83" t="s">
        <v>22</v>
      </c>
      <c r="K2" s="84"/>
      <c r="L2" s="84"/>
      <c r="M2" s="84"/>
      <c r="N2" s="84"/>
      <c r="O2" s="84"/>
      <c r="P2" s="84"/>
      <c r="Q2" s="85"/>
    </row>
    <row r="3" spans="1:18" ht="45" x14ac:dyDescent="0.3">
      <c r="A3" s="82"/>
      <c r="B3" s="23" t="s">
        <v>18</v>
      </c>
      <c r="C3" s="3" t="s">
        <v>17</v>
      </c>
      <c r="D3" s="3" t="s">
        <v>19</v>
      </c>
      <c r="E3" s="3" t="s">
        <v>14</v>
      </c>
      <c r="F3" s="3" t="s">
        <v>20</v>
      </c>
      <c r="G3" s="3" t="s">
        <v>16</v>
      </c>
      <c r="H3" s="3" t="s">
        <v>15</v>
      </c>
      <c r="I3" s="22" t="s">
        <v>9</v>
      </c>
      <c r="J3" s="23" t="s">
        <v>18</v>
      </c>
      <c r="K3" s="3" t="s">
        <v>17</v>
      </c>
      <c r="L3" s="3" t="s">
        <v>19</v>
      </c>
      <c r="M3" s="3" t="s">
        <v>14</v>
      </c>
      <c r="N3" s="3" t="s">
        <v>20</v>
      </c>
      <c r="O3" s="3" t="s">
        <v>16</v>
      </c>
      <c r="P3" s="3" t="s">
        <v>15</v>
      </c>
      <c r="Q3" s="22" t="s">
        <v>9</v>
      </c>
    </row>
    <row r="4" spans="1:18" ht="15" x14ac:dyDescent="0.35">
      <c r="A4" s="30" t="s">
        <v>3</v>
      </c>
      <c r="B4" s="86" t="s">
        <v>68</v>
      </c>
      <c r="C4" s="70"/>
      <c r="D4" s="70"/>
      <c r="E4" s="70"/>
      <c r="F4" s="70"/>
      <c r="G4" s="70"/>
      <c r="H4" s="70"/>
      <c r="I4" s="87"/>
      <c r="J4" s="86" t="s">
        <v>69</v>
      </c>
      <c r="K4" s="70"/>
      <c r="L4" s="70"/>
      <c r="M4" s="70"/>
      <c r="N4" s="70"/>
      <c r="O4" s="70"/>
      <c r="P4" s="70"/>
      <c r="Q4" s="87"/>
      <c r="R4" s="28" t="s">
        <v>108</v>
      </c>
    </row>
    <row r="5" spans="1:18" ht="15" x14ac:dyDescent="0.35">
      <c r="A5" s="31">
        <v>2023</v>
      </c>
      <c r="B5" s="25">
        <f ca="1">'Electrification Scenario'!B11*(1-'Electrification Scenario'!B$8*('Electrification Scenario'!B11-'Electrification Scenario'!B$4)/('Electrification Scenario'!B$5-'Electrification Scenario'!B$4))*VLOOKUP(B$3,'Static Parameters'!$A$3:$B$9,2)*VLOOKUP($A5,'Growth Scenarios'!$E$3:$I$80,MATCH('Scenario Picker'!$B$3,'Growth Scenarios'!$F$2:$I$2,0)+1)/1000000000*VLOOKUP($A5,'Growth Scenarios'!$A$3:$D$80,MATCH('Scenario Picker'!$B$2,'Growth Scenarios'!$B$2:$D$2,0)+1)</f>
        <v>2.7882777241435486</v>
      </c>
      <c r="C5" s="21">
        <f ca="1">'Electrification Scenario'!C11*(1-'Electrification Scenario'!C$8*('Electrification Scenario'!C11-'Electrification Scenario'!C$4)/('Electrification Scenario'!C$5-'Electrification Scenario'!C$4))*VLOOKUP(C$3,'Static Parameters'!$A$3:$B$9,2)*VLOOKUP($A5,'Growth Scenarios'!$E$3:$I$80,MATCH('Scenario Picker'!$B$3,'Growth Scenarios'!$F$2:$I$2,0)+1)/1000000000*VLOOKUP($A5,'Growth Scenarios'!$A$3:$D$80,MATCH('Scenario Picker'!$B$2,'Growth Scenarios'!$B$2:$D$2,0)+1)</f>
        <v>17.479203367480526</v>
      </c>
      <c r="D5" s="21">
        <f ca="1">'Electrification Scenario'!D11*(1-'Electrification Scenario'!D$8*('Electrification Scenario'!D11-'Electrification Scenario'!D$4)/('Electrification Scenario'!D$5-'Electrification Scenario'!D$4))*VLOOKUP(D$3,'Static Parameters'!$A$3:$B$9,2)*VLOOKUP($A5,'Growth Scenarios'!$E$3:$I$80,MATCH('Scenario Picker'!$B$3,'Growth Scenarios'!$F$2:$I$2,0)+1)/1000000000*VLOOKUP($A5,'Growth Scenarios'!$A$3:$D$80,MATCH('Scenario Picker'!$B$2,'Growth Scenarios'!$B$2:$D$2,0)+1)</f>
        <v>4.1224536244057849E-2</v>
      </c>
      <c r="E5" s="21">
        <f ca="1">'Electrification Scenario'!E11*(1-'Electrification Scenario'!E$8*('Electrification Scenario'!E11-'Electrification Scenario'!E$4)/('Electrification Scenario'!E$5-'Electrification Scenario'!E$4))*VLOOKUP(E$3,'Static Parameters'!$A$3:$B$9,2)*VLOOKUP($A5,'Growth Scenarios'!$E$3:$I$80,MATCH('Scenario Picker'!$B$3,'Growth Scenarios'!$F$2:$I$2,0)+1)/1000000000*VLOOKUP($A5,'Growth Scenarios'!$A$3:$D$80,MATCH('Scenario Picker'!$B$2,'Growth Scenarios'!$B$2:$D$2,0)+1)</f>
        <v>36.626126610288843</v>
      </c>
      <c r="F5" s="21">
        <f ca="1">'Electrification Scenario'!F11*(1-'Electrification Scenario'!F$8*('Electrification Scenario'!F11-'Electrification Scenario'!F$4)/('Electrification Scenario'!F$5-'Electrification Scenario'!F$4))*VLOOKUP(F$3,'Static Parameters'!$A$3:$B$9,2)*VLOOKUP($A5,'Growth Scenarios'!$E$3:$I$80,MATCH('Scenario Picker'!$B$3,'Growth Scenarios'!$F$2:$I$2,0)+1)/1000000000*VLOOKUP($A5,'Growth Scenarios'!$A$3:$D$80,MATCH('Scenario Picker'!$B$2,'Growth Scenarios'!$B$2:$D$2,0)+1)</f>
        <v>3.9500601092033603</v>
      </c>
      <c r="G5" s="21">
        <f ca="1">'Electrification Scenario'!G11*(1-'Electrification Scenario'!G$8*('Electrification Scenario'!G11-'Electrification Scenario'!G$4)/('Electrification Scenario'!G$5-'Electrification Scenario'!G$4))*VLOOKUP(G$3,'Static Parameters'!$A$3:$B$9,2)*VLOOKUP($A5,'Growth Scenarios'!$E$3:$I$80,MATCH('Scenario Picker'!$B$3,'Growth Scenarios'!$F$2:$I$2,0)+1)/1000000000*VLOOKUP($A5,'Growth Scenarios'!$A$3:$D$80,MATCH('Scenario Picker'!$B$2,'Growth Scenarios'!$B$2:$D$2,0)+1)</f>
        <v>23.610416212505861</v>
      </c>
      <c r="H5" s="21">
        <f ca="1">'Electrification Scenario'!H11*(1-'Electrification Scenario'!H$8*('Electrification Scenario'!H11-'Electrification Scenario'!H$4)/('Electrification Scenario'!H$5-'Electrification Scenario'!H$4))*VLOOKUP(H$3,'Static Parameters'!$A$3:$B$9,2)*VLOOKUP($A5,'Growth Scenarios'!$E$3:$I$80,MATCH('Scenario Picker'!$B$3,'Growth Scenarios'!$F$2:$I$2,0)+1)/1000000000*VLOOKUP($A5,'Growth Scenarios'!$A$3:$D$80,MATCH('Scenario Picker'!$B$2,'Growth Scenarios'!$B$2:$D$2,0)+1)</f>
        <v>1.1542870148336195</v>
      </c>
      <c r="I5" s="28">
        <f ca="1">SUM(B5:H5)</f>
        <v>85.649595574699816</v>
      </c>
      <c r="J5" s="25">
        <f ca="1">(1-'Electrification Scenario'!B11)*VLOOKUP(B$3,'Static Parameters'!$A$3:$B$9,2)*VLOOKUP($A5,'Growth Scenarios'!$E$3:$I$80,MATCH('Scenario Picker'!$B$3,'Growth Scenarios'!$F$2:$I$2,0)+1)/1000000000*VLOOKUP($A5,'Growth Scenarios'!$A$3:$D$80,MATCH('Scenario Picker'!$B$2,'Growth Scenarios'!$B$2:$D$2,0)+1)</f>
        <v>6.2061665472872525</v>
      </c>
      <c r="K5" s="21">
        <f ca="1">(1-'Electrification Scenario'!C11)*VLOOKUP(C$3,'Static Parameters'!$A$3:$B$9,2)*VLOOKUP($A5,'Growth Scenarios'!$E$3:$I$80,MATCH('Scenario Picker'!$B$3,'Growth Scenarios'!$F$2:$I$2,0)+1)/1000000000*VLOOKUP($A5,'Growth Scenarios'!$A$3:$D$80,MATCH('Scenario Picker'!$B$2,'Growth Scenarios'!$B$2:$D$2,0)+1)</f>
        <v>15.500425627765745</v>
      </c>
      <c r="L5" s="21">
        <f ca="1">(1-'Electrification Scenario'!D11)*VLOOKUP(D$3,'Static Parameters'!$A$3:$B$9,2)*VLOOKUP($A5,'Growth Scenarios'!$E$3:$I$80,MATCH('Scenario Picker'!$B$3,'Growth Scenarios'!$F$2:$I$2,0)+1)/1000000000*VLOOKUP($A5,'Growth Scenarios'!$A$3:$D$80,MATCH('Scenario Picker'!$B$2,'Growth Scenarios'!$B$2:$D$2,0)+1)</f>
        <v>0.33354397506555894</v>
      </c>
      <c r="M5" s="21">
        <f ca="1">(1-'Electrification Scenario'!E11)*VLOOKUP(E$3,'Static Parameters'!$A$3:$B$9,2)*VLOOKUP($A5,'Growth Scenarios'!$E$3:$I$80,MATCH('Scenario Picker'!$B$3,'Growth Scenarios'!$F$2:$I$2,0)+1)/1000000000*VLOOKUP($A5,'Growth Scenarios'!$A$3:$D$80,MATCH('Scenario Picker'!$B$2,'Growth Scenarios'!$B$2:$D$2,0)+1)</f>
        <v>89.670861701052004</v>
      </c>
      <c r="N5" s="21">
        <f ca="1">(1-'Electrification Scenario'!F11)*VLOOKUP(F$3,'Static Parameters'!$A$3:$B$9,2)*VLOOKUP($A5,'Growth Scenarios'!$E$3:$I$80,MATCH('Scenario Picker'!$B$3,'Growth Scenarios'!$F$2:$I$2,0)+1)/1000000000*VLOOKUP($A5,'Growth Scenarios'!$A$3:$D$80,MATCH('Scenario Picker'!$B$2,'Growth Scenarios'!$B$2:$D$2,0)+1)</f>
        <v>2.4210045830601246</v>
      </c>
      <c r="O5" s="21">
        <f ca="1">(1-'Electrification Scenario'!G11)*VLOOKUP(G$3,'Static Parameters'!$A$3:$B$9,2)*VLOOKUP($A5,'Growth Scenarios'!$E$3:$I$80,MATCH('Scenario Picker'!$B$3,'Growth Scenarios'!$F$2:$I$2,0)+1)/1000000000*VLOOKUP($A5,'Growth Scenarios'!$A$3:$D$80,MATCH('Scenario Picker'!$B$2,'Growth Scenarios'!$B$2:$D$2,0)+1)</f>
        <v>60.71249883215792</v>
      </c>
      <c r="P5" s="21">
        <f ca="1">(1-'Electrification Scenario'!H11)*VLOOKUP(H$3,'Static Parameters'!$A$3:$B$9,2)*VLOOKUP($A5,'Growth Scenarios'!$E$3:$I$80,MATCH('Scenario Picker'!$B$3,'Growth Scenarios'!$F$2:$I$2,0)+1)/1000000000*VLOOKUP($A5,'Growth Scenarios'!$A$3:$D$80,MATCH('Scenario Picker'!$B$2,'Growth Scenarios'!$B$2:$D$2,0)+1)</f>
        <v>114.27441446852833</v>
      </c>
      <c r="Q5" s="28">
        <f ca="1">SUM(J5:P5)</f>
        <v>289.11891573491692</v>
      </c>
      <c r="R5" s="28">
        <f ca="1">Q5+I5</f>
        <v>374.76851130961677</v>
      </c>
    </row>
    <row r="6" spans="1:18" ht="15" x14ac:dyDescent="0.35">
      <c r="A6" s="31">
        <v>2024</v>
      </c>
      <c r="B6" s="25">
        <f ca="1">'Electrification Scenario'!B12*(1-'Electrification Scenario'!B$8*('Electrification Scenario'!B12-'Electrification Scenario'!B$4)/('Electrification Scenario'!B$5-'Electrification Scenario'!B$4))*VLOOKUP(B$3,'Static Parameters'!$A$3:$B$9,2)*VLOOKUP($A6,'Growth Scenarios'!$E$3:$I$80,MATCH('Scenario Picker'!$B$3,'Growth Scenarios'!$F$2:$I$2,0)+1)/1000000000*VLOOKUP($A6,'Growth Scenarios'!$A$3:$D$80,MATCH('Scenario Picker'!$B$2,'Growth Scenarios'!$B$2:$D$2,0)+1)</f>
        <v>2.8859585954959037</v>
      </c>
      <c r="C6" s="21">
        <f ca="1">'Electrification Scenario'!C12*(1-'Electrification Scenario'!C$8*('Electrification Scenario'!C12-'Electrification Scenario'!C$4)/('Electrification Scenario'!C$5-'Electrification Scenario'!C$4))*VLOOKUP(C$3,'Static Parameters'!$A$3:$B$9,2)*VLOOKUP($A6,'Growth Scenarios'!$E$3:$I$80,MATCH('Scenario Picker'!$B$3,'Growth Scenarios'!$F$2:$I$2,0)+1)/1000000000*VLOOKUP($A6,'Growth Scenarios'!$A$3:$D$80,MATCH('Scenario Picker'!$B$2,'Growth Scenarios'!$B$2:$D$2,0)+1)</f>
        <v>18.058842708342631</v>
      </c>
      <c r="D6" s="21">
        <f ca="1">'Electrification Scenario'!D12*(1-'Electrification Scenario'!D$8*('Electrification Scenario'!D12-'Electrification Scenario'!D$4)/('Electrification Scenario'!D$5-'Electrification Scenario'!D$4))*VLOOKUP(D$3,'Static Parameters'!$A$3:$B$9,2)*VLOOKUP($A6,'Growth Scenarios'!$E$3:$I$80,MATCH('Scenario Picker'!$B$3,'Growth Scenarios'!$F$2:$I$2,0)+1)/1000000000*VLOOKUP($A6,'Growth Scenarios'!$A$3:$D$80,MATCH('Scenario Picker'!$B$2,'Growth Scenarios'!$B$2:$D$2,0)+1)</f>
        <v>4.8243319834886611E-2</v>
      </c>
      <c r="E6" s="21">
        <f ca="1">'Electrification Scenario'!E12*(1-'Electrification Scenario'!E$8*('Electrification Scenario'!E12-'Electrification Scenario'!E$4)/('Electrification Scenario'!E$5-'Electrification Scenario'!E$4))*VLOOKUP(E$3,'Static Parameters'!$A$3:$B$9,2)*VLOOKUP($A6,'Growth Scenarios'!$E$3:$I$80,MATCH('Scenario Picker'!$B$3,'Growth Scenarios'!$F$2:$I$2,0)+1)/1000000000*VLOOKUP($A6,'Growth Scenarios'!$A$3:$D$80,MATCH('Scenario Picker'!$B$2,'Growth Scenarios'!$B$2:$D$2,0)+1)</f>
        <v>40.038355215207019</v>
      </c>
      <c r="F6" s="21">
        <f ca="1">'Electrification Scenario'!F12*(1-'Electrification Scenario'!F$8*('Electrification Scenario'!F12-'Electrification Scenario'!F$4)/('Electrification Scenario'!F$5-'Electrification Scenario'!F$4))*VLOOKUP(F$3,'Static Parameters'!$A$3:$B$9,2)*VLOOKUP($A6,'Growth Scenarios'!$E$3:$I$80,MATCH('Scenario Picker'!$B$3,'Growth Scenarios'!$F$2:$I$2,0)+1)/1000000000*VLOOKUP($A6,'Growth Scenarios'!$A$3:$D$80,MATCH('Scenario Picker'!$B$2,'Growth Scenarios'!$B$2:$D$2,0)+1)</f>
        <v>3.9782737625037101</v>
      </c>
      <c r="G6" s="21">
        <f ca="1">'Electrification Scenario'!G12*(1-'Electrification Scenario'!G$8*('Electrification Scenario'!G12-'Electrification Scenario'!G$4)/('Electrification Scenario'!G$5-'Electrification Scenario'!G$4))*VLOOKUP(G$3,'Static Parameters'!$A$3:$B$9,2)*VLOOKUP($A6,'Growth Scenarios'!$E$3:$I$80,MATCH('Scenario Picker'!$B$3,'Growth Scenarios'!$F$2:$I$2,0)+1)/1000000000*VLOOKUP($A6,'Growth Scenarios'!$A$3:$D$80,MATCH('Scenario Picker'!$B$2,'Growth Scenarios'!$B$2:$D$2,0)+1)</f>
        <v>25.921783791879378</v>
      </c>
      <c r="H6" s="21">
        <f ca="1">'Electrification Scenario'!H12*(1-'Electrification Scenario'!H$8*('Electrification Scenario'!H12-'Electrification Scenario'!H$4)/('Electrification Scenario'!H$5-'Electrification Scenario'!H$4))*VLOOKUP(H$3,'Static Parameters'!$A$3:$B$9,2)*VLOOKUP($A6,'Growth Scenarios'!$E$3:$I$80,MATCH('Scenario Picker'!$B$3,'Growth Scenarios'!$F$2:$I$2,0)+1)/1000000000*VLOOKUP($A6,'Growth Scenarios'!$A$3:$D$80,MATCH('Scenario Picker'!$B$2,'Growth Scenarios'!$B$2:$D$2,0)+1)</f>
        <v>4.3839295844405815</v>
      </c>
      <c r="I6" s="28">
        <f t="shared" ref="I6:I69" ca="1" si="0">SUM(B6:H6)</f>
        <v>95.315386977704108</v>
      </c>
      <c r="J6" s="25">
        <f ca="1">(1-'Electrification Scenario'!B12)*VLOOKUP(B$3,'Static Parameters'!$A$3:$B$9,2)*VLOOKUP($A6,'Growth Scenarios'!$E$3:$I$80,MATCH('Scenario Picker'!$B$3,'Growth Scenarios'!$F$2:$I$2,0)+1)/1000000000*VLOOKUP($A6,'Growth Scenarios'!$A$3:$D$80,MATCH('Scenario Picker'!$B$2,'Growth Scenarios'!$B$2:$D$2,0)+1)</f>
        <v>6.1475486212369228</v>
      </c>
      <c r="K6" s="21">
        <f ca="1">(1-'Electrification Scenario'!C12)*VLOOKUP(C$3,'Static Parameters'!$A$3:$B$9,2)*VLOOKUP($A6,'Growth Scenarios'!$E$3:$I$80,MATCH('Scenario Picker'!$B$3,'Growth Scenarios'!$F$2:$I$2,0)+1)/1000000000*VLOOKUP($A6,'Growth Scenarios'!$A$3:$D$80,MATCH('Scenario Picker'!$B$2,'Growth Scenarios'!$B$2:$D$2,0)+1)</f>
        <v>15.006055888477285</v>
      </c>
      <c r="L6" s="21">
        <f ca="1">(1-'Electrification Scenario'!D12)*VLOOKUP(D$3,'Static Parameters'!$A$3:$B$9,2)*VLOOKUP($A6,'Growth Scenarios'!$E$3:$I$80,MATCH('Scenario Picker'!$B$3,'Growth Scenarios'!$F$2:$I$2,0)+1)/1000000000*VLOOKUP($A6,'Growth Scenarios'!$A$3:$D$80,MATCH('Scenario Picker'!$B$2,'Growth Scenarios'!$B$2:$D$2,0)+1)</f>
        <v>0.32871099214120941</v>
      </c>
      <c r="M6" s="21">
        <f ca="1">(1-'Electrification Scenario'!E12)*VLOOKUP(E$3,'Static Parameters'!$A$3:$B$9,2)*VLOOKUP($A6,'Growth Scenarios'!$E$3:$I$80,MATCH('Scenario Picker'!$B$3,'Growth Scenarios'!$F$2:$I$2,0)+1)/1000000000*VLOOKUP($A6,'Growth Scenarios'!$A$3:$D$80,MATCH('Scenario Picker'!$B$2,'Growth Scenarios'!$B$2:$D$2,0)+1)</f>
        <v>86.810904072436173</v>
      </c>
      <c r="N6" s="21">
        <f ca="1">(1-'Electrification Scenario'!F12)*VLOOKUP(F$3,'Static Parameters'!$A$3:$B$9,2)*VLOOKUP($A6,'Growth Scenarios'!$E$3:$I$80,MATCH('Scenario Picker'!$B$3,'Growth Scenarios'!$F$2:$I$2,0)+1)/1000000000*VLOOKUP($A6,'Growth Scenarios'!$A$3:$D$80,MATCH('Scenario Picker'!$B$2,'Growth Scenarios'!$B$2:$D$2,0)+1)</f>
        <v>2.4054678563975926</v>
      </c>
      <c r="O6" s="21">
        <f ca="1">(1-'Electrification Scenario'!G12)*VLOOKUP(G$3,'Static Parameters'!$A$3:$B$9,2)*VLOOKUP($A6,'Growth Scenarios'!$E$3:$I$80,MATCH('Scenario Picker'!$B$3,'Growth Scenarios'!$F$2:$I$2,0)+1)/1000000000*VLOOKUP($A6,'Growth Scenarios'!$A$3:$D$80,MATCH('Scenario Picker'!$B$2,'Growth Scenarios'!$B$2:$D$2,0)+1)</f>
        <v>58.776137667633471</v>
      </c>
      <c r="P6" s="21">
        <f ca="1">(1-'Electrification Scenario'!H12)*VLOOKUP(H$3,'Static Parameters'!$A$3:$B$9,2)*VLOOKUP($A6,'Growth Scenarios'!$E$3:$I$80,MATCH('Scenario Picker'!$B$3,'Growth Scenarios'!$F$2:$I$2,0)+1)/1000000000*VLOOKUP($A6,'Growth Scenarios'!$A$3:$D$80,MATCH('Scenario Picker'!$B$2,'Growth Scenarios'!$B$2:$D$2,0)+1)</f>
        <v>111.74722470142659</v>
      </c>
      <c r="Q6" s="28">
        <f t="shared" ref="Q6:Q69" ca="1" si="1">SUM(J6:P6)</f>
        <v>281.22204979974924</v>
      </c>
      <c r="R6" s="28">
        <f t="shared" ref="R6:R69" ca="1" si="2">Q6+I6</f>
        <v>376.53743677745337</v>
      </c>
    </row>
    <row r="7" spans="1:18" ht="15" x14ac:dyDescent="0.35">
      <c r="A7" s="31">
        <v>2025</v>
      </c>
      <c r="B7" s="25">
        <f ca="1">'Electrification Scenario'!B13*(1-'Electrification Scenario'!B$8*('Electrification Scenario'!B13-'Electrification Scenario'!B$4)/('Electrification Scenario'!B$5-'Electrification Scenario'!B$4))*VLOOKUP(B$3,'Static Parameters'!$A$3:$B$9,2)*VLOOKUP($A7,'Growth Scenarios'!$E$3:$I$80,MATCH('Scenario Picker'!$B$3,'Growth Scenarios'!$F$2:$I$2,0)+1)/1000000000*VLOOKUP($A7,'Growth Scenarios'!$A$3:$D$80,MATCH('Scenario Picker'!$B$2,'Growth Scenarios'!$B$2:$D$2,0)+1)</f>
        <v>2.9823479688536225</v>
      </c>
      <c r="C7" s="21">
        <f ca="1">'Electrification Scenario'!C13*(1-'Electrification Scenario'!C$8*('Electrification Scenario'!C13-'Electrification Scenario'!C$4)/('Electrification Scenario'!C$5-'Electrification Scenario'!C$4))*VLOOKUP(C$3,'Static Parameters'!$A$3:$B$9,2)*VLOOKUP($A7,'Growth Scenarios'!$E$3:$I$80,MATCH('Scenario Picker'!$B$3,'Growth Scenarios'!$F$2:$I$2,0)+1)/1000000000*VLOOKUP($A7,'Growth Scenarios'!$A$3:$D$80,MATCH('Scenario Picker'!$B$2,'Growth Scenarios'!$B$2:$D$2,0)+1)</f>
        <v>18.630470027653498</v>
      </c>
      <c r="D7" s="21">
        <f ca="1">'Electrification Scenario'!D13*(1-'Electrification Scenario'!D$8*('Electrification Scenario'!D13-'Electrification Scenario'!D$4)/('Electrification Scenario'!D$5-'Electrification Scenario'!D$4))*VLOOKUP(D$3,'Static Parameters'!$A$3:$B$9,2)*VLOOKUP($A7,'Growth Scenarios'!$E$3:$I$80,MATCH('Scenario Picker'!$B$3,'Growth Scenarios'!$F$2:$I$2,0)+1)/1000000000*VLOOKUP($A7,'Growth Scenarios'!$A$3:$D$80,MATCH('Scenario Picker'!$B$2,'Growth Scenarios'!$B$2:$D$2,0)+1)</f>
        <v>5.5228666089881903E-2</v>
      </c>
      <c r="E7" s="21">
        <f ca="1">'Electrification Scenario'!E13*(1-'Electrification Scenario'!E$8*('Electrification Scenario'!E13-'Electrification Scenario'!E$4)/('Electrification Scenario'!E$5-'Electrification Scenario'!E$4))*VLOOKUP(E$3,'Static Parameters'!$A$3:$B$9,2)*VLOOKUP($A7,'Growth Scenarios'!$E$3:$I$80,MATCH('Scenario Picker'!$B$3,'Growth Scenarios'!$F$2:$I$2,0)+1)/1000000000*VLOOKUP($A7,'Growth Scenarios'!$A$3:$D$80,MATCH('Scenario Picker'!$B$2,'Growth Scenarios'!$B$2:$D$2,0)+1)</f>
        <v>43.428141102010471</v>
      </c>
      <c r="F7" s="21">
        <f ca="1">'Electrification Scenario'!F13*(1-'Electrification Scenario'!F$8*('Electrification Scenario'!F13-'Electrification Scenario'!F$4)/('Electrification Scenario'!F$5-'Electrification Scenario'!F$4))*VLOOKUP(F$3,'Static Parameters'!$A$3:$B$9,2)*VLOOKUP($A7,'Growth Scenarios'!$E$3:$I$80,MATCH('Scenario Picker'!$B$3,'Growth Scenarios'!$F$2:$I$2,0)+1)/1000000000*VLOOKUP($A7,'Growth Scenarios'!$A$3:$D$80,MATCH('Scenario Picker'!$B$2,'Growth Scenarios'!$B$2:$D$2,0)+1)</f>
        <v>4.0049412394240926</v>
      </c>
      <c r="G7" s="21">
        <f ca="1">'Electrification Scenario'!G13*(1-'Electrification Scenario'!G$8*('Electrification Scenario'!G13-'Electrification Scenario'!G$4)/('Electrification Scenario'!G$5-'Electrification Scenario'!G$4))*VLOOKUP(G$3,'Static Parameters'!$A$3:$B$9,2)*VLOOKUP($A7,'Growth Scenarios'!$E$3:$I$80,MATCH('Scenario Picker'!$B$3,'Growth Scenarios'!$F$2:$I$2,0)+1)/1000000000*VLOOKUP($A7,'Growth Scenarios'!$A$3:$D$80,MATCH('Scenario Picker'!$B$2,'Growth Scenarios'!$B$2:$D$2,0)+1)</f>
        <v>28.218396580299036</v>
      </c>
      <c r="H7" s="21">
        <f ca="1">'Electrification Scenario'!H13*(1-'Electrification Scenario'!H$8*('Electrification Scenario'!H13-'Electrification Scenario'!H$4)/('Electrification Scenario'!H$5-'Electrification Scenario'!H$4))*VLOOKUP(H$3,'Static Parameters'!$A$3:$B$9,2)*VLOOKUP($A7,'Growth Scenarios'!$E$3:$I$80,MATCH('Scenario Picker'!$B$3,'Growth Scenarios'!$F$2:$I$2,0)+1)/1000000000*VLOOKUP($A7,'Growth Scenarios'!$A$3:$D$80,MATCH('Scenario Picker'!$B$2,'Growth Scenarios'!$B$2:$D$2,0)+1)</f>
        <v>7.5271979601261156</v>
      </c>
      <c r="I7" s="28">
        <f t="shared" ca="1" si="0"/>
        <v>104.84672354445674</v>
      </c>
      <c r="J7" s="25">
        <f ca="1">(1-'Electrification Scenario'!B13)*VLOOKUP(B$3,'Static Parameters'!$A$3:$B$9,2)*VLOOKUP($A7,'Growth Scenarios'!$E$3:$I$80,MATCH('Scenario Picker'!$B$3,'Growth Scenarios'!$F$2:$I$2,0)+1)/1000000000*VLOOKUP($A7,'Growth Scenarios'!$A$3:$D$80,MATCH('Scenario Picker'!$B$2,'Growth Scenarios'!$B$2:$D$2,0)+1)</f>
        <v>6.0859401187326894</v>
      </c>
      <c r="K7" s="21">
        <f ca="1">(1-'Electrification Scenario'!C13)*VLOOKUP(C$3,'Static Parameters'!$A$3:$B$9,2)*VLOOKUP($A7,'Growth Scenarios'!$E$3:$I$80,MATCH('Scenario Picker'!$B$3,'Growth Scenarios'!$F$2:$I$2,0)+1)/1000000000*VLOOKUP($A7,'Growth Scenarios'!$A$3:$D$80,MATCH('Scenario Picker'!$B$2,'Growth Scenarios'!$B$2:$D$2,0)+1)</f>
        <v>14.499682218363132</v>
      </c>
      <c r="L7" s="21">
        <f ca="1">(1-'Electrification Scenario'!D13)*VLOOKUP(D$3,'Static Parameters'!$A$3:$B$9,2)*VLOOKUP($A7,'Growth Scenarios'!$E$3:$I$80,MATCH('Scenario Picker'!$B$3,'Growth Scenarios'!$F$2:$I$2,0)+1)/1000000000*VLOOKUP($A7,'Growth Scenarios'!$A$3:$D$80,MATCH('Scenario Picker'!$B$2,'Growth Scenarios'!$B$2:$D$2,0)+1)</f>
        <v>0.32369535577744912</v>
      </c>
      <c r="M7" s="21">
        <f ca="1">(1-'Electrification Scenario'!E13)*VLOOKUP(E$3,'Static Parameters'!$A$3:$B$9,2)*VLOOKUP($A7,'Growth Scenarios'!$E$3:$I$80,MATCH('Scenario Picker'!$B$3,'Growth Scenarios'!$F$2:$I$2,0)+1)/1000000000*VLOOKUP($A7,'Growth Scenarios'!$A$3:$D$80,MATCH('Scenario Picker'!$B$2,'Growth Scenarios'!$B$2:$D$2,0)+1)</f>
        <v>83.881503007440699</v>
      </c>
      <c r="N7" s="21">
        <f ca="1">(1-'Electrification Scenario'!F13)*VLOOKUP(F$3,'Static Parameters'!$A$3:$B$9,2)*VLOOKUP($A7,'Growth Scenarios'!$E$3:$I$80,MATCH('Scenario Picker'!$B$3,'Growth Scenarios'!$F$2:$I$2,0)+1)/1000000000*VLOOKUP($A7,'Growth Scenarios'!$A$3:$D$80,MATCH('Scenario Picker'!$B$2,'Growth Scenarios'!$B$2:$D$2,0)+1)</f>
        <v>2.3888600398846584</v>
      </c>
      <c r="O7" s="21">
        <f ca="1">(1-'Electrification Scenario'!G13)*VLOOKUP(G$3,'Static Parameters'!$A$3:$B$9,2)*VLOOKUP($A7,'Growth Scenarios'!$E$3:$I$80,MATCH('Scenario Picker'!$B$3,'Growth Scenarios'!$F$2:$I$2,0)+1)/1000000000*VLOOKUP($A7,'Growth Scenarios'!$A$3:$D$80,MATCH('Scenario Picker'!$B$2,'Growth Scenarios'!$B$2:$D$2,0)+1)</f>
        <v>56.792759172505512</v>
      </c>
      <c r="P7" s="21">
        <f ca="1">(1-'Electrification Scenario'!H13)*VLOOKUP(H$3,'Static Parameters'!$A$3:$B$9,2)*VLOOKUP($A7,'Growth Scenarios'!$E$3:$I$80,MATCH('Scenario Picker'!$B$3,'Growth Scenarios'!$F$2:$I$2,0)+1)/1000000000*VLOOKUP($A7,'Growth Scenarios'!$A$3:$D$80,MATCH('Scenario Picker'!$B$2,'Growth Scenarios'!$B$2:$D$2,0)+1)</f>
        <v>109.14610081216436</v>
      </c>
      <c r="Q7" s="28">
        <f t="shared" ca="1" si="1"/>
        <v>273.11854072486852</v>
      </c>
      <c r="R7" s="28">
        <f t="shared" ca="1" si="2"/>
        <v>377.96526426932525</v>
      </c>
    </row>
    <row r="8" spans="1:18" ht="15" x14ac:dyDescent="0.35">
      <c r="A8" s="31">
        <v>2026</v>
      </c>
      <c r="B8" s="25">
        <f ca="1">'Electrification Scenario'!B14*(1-'Electrification Scenario'!B$8*('Electrification Scenario'!B14-'Electrification Scenario'!B$4)/('Electrification Scenario'!B$5-'Electrification Scenario'!B$4))*VLOOKUP(B$3,'Static Parameters'!$A$3:$B$9,2)*VLOOKUP($A8,'Growth Scenarios'!$E$3:$I$80,MATCH('Scenario Picker'!$B$3,'Growth Scenarios'!$F$2:$I$2,0)+1)/1000000000*VLOOKUP($A8,'Growth Scenarios'!$A$3:$D$80,MATCH('Scenario Picker'!$B$2,'Growth Scenarios'!$B$2:$D$2,0)+1)</f>
        <v>3.0771905479527462</v>
      </c>
      <c r="C8" s="21">
        <f ca="1">'Electrification Scenario'!C14*(1-'Electrification Scenario'!C$8*('Electrification Scenario'!C14-'Electrification Scenario'!C$4)/('Electrification Scenario'!C$5-'Electrification Scenario'!C$4))*VLOOKUP(C$3,'Static Parameters'!$A$3:$B$9,2)*VLOOKUP($A8,'Growth Scenarios'!$E$3:$I$80,MATCH('Scenario Picker'!$B$3,'Growth Scenarios'!$F$2:$I$2,0)+1)/1000000000*VLOOKUP($A8,'Growth Scenarios'!$A$3:$D$80,MATCH('Scenario Picker'!$B$2,'Growth Scenarios'!$B$2:$D$2,0)+1)</f>
        <v>19.192525892401054</v>
      </c>
      <c r="D8" s="21">
        <f ca="1">'Electrification Scenario'!D14*(1-'Electrification Scenario'!D$8*('Electrification Scenario'!D14-'Electrification Scenario'!D$4)/('Electrification Scenario'!D$5-'Electrification Scenario'!D$4))*VLOOKUP(D$3,'Static Parameters'!$A$3:$B$9,2)*VLOOKUP($A8,'Growth Scenarios'!$E$3:$I$80,MATCH('Scenario Picker'!$B$3,'Growth Scenarios'!$F$2:$I$2,0)+1)/1000000000*VLOOKUP($A8,'Growth Scenarios'!$A$3:$D$80,MATCH('Scenario Picker'!$B$2,'Growth Scenarios'!$B$2:$D$2,0)+1)</f>
        <v>6.2169816501658211E-2</v>
      </c>
      <c r="E8" s="21">
        <f ca="1">'Electrification Scenario'!E14*(1-'Electrification Scenario'!E$8*('Electrification Scenario'!E14-'Electrification Scenario'!E$4)/('Electrification Scenario'!E$5-'Electrification Scenario'!E$4))*VLOOKUP(E$3,'Static Parameters'!$A$3:$B$9,2)*VLOOKUP($A8,'Growth Scenarios'!$E$3:$I$80,MATCH('Scenario Picker'!$B$3,'Growth Scenarios'!$F$2:$I$2,0)+1)/1000000000*VLOOKUP($A8,'Growth Scenarios'!$A$3:$D$80,MATCH('Scenario Picker'!$B$2,'Growth Scenarios'!$B$2:$D$2,0)+1)</f>
        <v>46.789463352757231</v>
      </c>
      <c r="F8" s="21">
        <f ca="1">'Electrification Scenario'!F14*(1-'Electrification Scenario'!F$8*('Electrification Scenario'!F14-'Electrification Scenario'!F$4)/('Electrification Scenario'!F$5-'Electrification Scenario'!F$4))*VLOOKUP(F$3,'Static Parameters'!$A$3:$B$9,2)*VLOOKUP($A8,'Growth Scenarios'!$E$3:$I$80,MATCH('Scenario Picker'!$B$3,'Growth Scenarios'!$F$2:$I$2,0)+1)/1000000000*VLOOKUP($A8,'Growth Scenarios'!$A$3:$D$80,MATCH('Scenario Picker'!$B$2,'Growth Scenarios'!$B$2:$D$2,0)+1)</f>
        <v>4.0298388908823126</v>
      </c>
      <c r="G8" s="21">
        <f ca="1">'Electrification Scenario'!G14*(1-'Electrification Scenario'!G$8*('Electrification Scenario'!G14-'Electrification Scenario'!G$4)/('Electrification Scenario'!G$5-'Electrification Scenario'!G$4))*VLOOKUP(G$3,'Static Parameters'!$A$3:$B$9,2)*VLOOKUP($A8,'Growth Scenarios'!$E$3:$I$80,MATCH('Scenario Picker'!$B$3,'Growth Scenarios'!$F$2:$I$2,0)+1)/1000000000*VLOOKUP($A8,'Growth Scenarios'!$A$3:$D$80,MATCH('Scenario Picker'!$B$2,'Growth Scenarios'!$B$2:$D$2,0)+1)</f>
        <v>30.496233313977381</v>
      </c>
      <c r="H8" s="21">
        <f ca="1">'Electrification Scenario'!H14*(1-'Electrification Scenario'!H$8*('Electrification Scenario'!H14-'Electrification Scenario'!H$4)/('Electrification Scenario'!H$5-'Electrification Scenario'!H$4))*VLOOKUP(H$3,'Static Parameters'!$A$3:$B$9,2)*VLOOKUP($A8,'Growth Scenarios'!$E$3:$I$80,MATCH('Scenario Picker'!$B$3,'Growth Scenarios'!$F$2:$I$2,0)+1)/1000000000*VLOOKUP($A8,'Growth Scenarios'!$A$3:$D$80,MATCH('Scenario Picker'!$B$2,'Growth Scenarios'!$B$2:$D$2,0)+1)</f>
        <v>10.578557578488772</v>
      </c>
      <c r="I8" s="28">
        <f t="shared" ca="1" si="0"/>
        <v>114.22597939296116</v>
      </c>
      <c r="J8" s="25">
        <f ca="1">(1-'Electrification Scenario'!B14)*VLOOKUP(B$3,'Static Parameters'!$A$3:$B$9,2)*VLOOKUP($A8,'Growth Scenarios'!$E$3:$I$80,MATCH('Scenario Picker'!$B$3,'Growth Scenarios'!$F$2:$I$2,0)+1)/1000000000*VLOOKUP($A8,'Growth Scenarios'!$A$3:$D$80,MATCH('Scenario Picker'!$B$2,'Growth Scenarios'!$B$2:$D$2,0)+1)</f>
        <v>6.0211033717734077</v>
      </c>
      <c r="K8" s="21">
        <f ca="1">(1-'Electrification Scenario'!C14)*VLOOKUP(C$3,'Static Parameters'!$A$3:$B$9,2)*VLOOKUP($A8,'Growth Scenarios'!$E$3:$I$80,MATCH('Scenario Picker'!$B$3,'Growth Scenarios'!$F$2:$I$2,0)+1)/1000000000*VLOOKUP($A8,'Growth Scenarios'!$A$3:$D$80,MATCH('Scenario Picker'!$B$2,'Growth Scenarios'!$B$2:$D$2,0)+1)</f>
        <v>13.981046708408043</v>
      </c>
      <c r="L8" s="21">
        <f ca="1">(1-'Electrification Scenario'!D14)*VLOOKUP(D$3,'Static Parameters'!$A$3:$B$9,2)*VLOOKUP($A8,'Growth Scenarios'!$E$3:$I$80,MATCH('Scenario Picker'!$B$3,'Growth Scenarios'!$F$2:$I$2,0)+1)/1000000000*VLOOKUP($A8,'Growth Scenarios'!$A$3:$D$80,MATCH('Scenario Picker'!$B$2,'Growth Scenarios'!$B$2:$D$2,0)+1)</f>
        <v>0.31848591599865683</v>
      </c>
      <c r="M8" s="21">
        <f ca="1">(1-'Electrification Scenario'!E14)*VLOOKUP(E$3,'Static Parameters'!$A$3:$B$9,2)*VLOOKUP($A8,'Growth Scenarios'!$E$3:$I$80,MATCH('Scenario Picker'!$B$3,'Growth Scenarios'!$F$2:$I$2,0)+1)/1000000000*VLOOKUP($A8,'Growth Scenarios'!$A$3:$D$80,MATCH('Scenario Picker'!$B$2,'Growth Scenarios'!$B$2:$D$2,0)+1)</f>
        <v>80.88116648744662</v>
      </c>
      <c r="N8" s="21">
        <f ca="1">(1-'Electrification Scenario'!F14)*VLOOKUP(F$3,'Static Parameters'!$A$3:$B$9,2)*VLOOKUP($A8,'Growth Scenarios'!$E$3:$I$80,MATCH('Scenario Picker'!$B$3,'Growth Scenarios'!$F$2:$I$2,0)+1)/1000000000*VLOOKUP($A8,'Growth Scenarios'!$A$3:$D$80,MATCH('Scenario Picker'!$B$2,'Growth Scenarios'!$B$2:$D$2,0)+1)</f>
        <v>2.3710813487800326</v>
      </c>
      <c r="O8" s="21">
        <f ca="1">(1-'Electrification Scenario'!G14)*VLOOKUP(G$3,'Static Parameters'!$A$3:$B$9,2)*VLOOKUP($A8,'Growth Scenarios'!$E$3:$I$80,MATCH('Scenario Picker'!$B$3,'Growth Scenarios'!$F$2:$I$2,0)+1)/1000000000*VLOOKUP($A8,'Growth Scenarios'!$A$3:$D$80,MATCH('Scenario Picker'!$B$2,'Growth Scenarios'!$B$2:$D$2,0)+1)</f>
        <v>54.761353161559548</v>
      </c>
      <c r="P8" s="21">
        <f ca="1">(1-'Electrification Scenario'!H14)*VLOOKUP(H$3,'Static Parameters'!$A$3:$B$9,2)*VLOOKUP($A8,'Growth Scenarios'!$E$3:$I$80,MATCH('Scenario Picker'!$B$3,'Growth Scenarios'!$F$2:$I$2,0)+1)/1000000000*VLOOKUP($A8,'Growth Scenarios'!$A$3:$D$80,MATCH('Scenario Picker'!$B$2,'Growth Scenarios'!$B$2:$D$2,0)+1)</f>
        <v>106.46806337059668</v>
      </c>
      <c r="Q8" s="28">
        <f t="shared" ca="1" si="1"/>
        <v>264.802300364563</v>
      </c>
      <c r="R8" s="28">
        <f t="shared" ca="1" si="2"/>
        <v>379.02827975752416</v>
      </c>
    </row>
    <row r="9" spans="1:18" ht="15" x14ac:dyDescent="0.35">
      <c r="A9" s="31">
        <v>2027</v>
      </c>
      <c r="B9" s="25">
        <f ca="1">'Electrification Scenario'!B15*(1-'Electrification Scenario'!B$8*('Electrification Scenario'!B15-'Electrification Scenario'!B$4)/('Electrification Scenario'!B$5-'Electrification Scenario'!B$4))*VLOOKUP(B$3,'Static Parameters'!$A$3:$B$9,2)*VLOOKUP($A9,'Growth Scenarios'!$E$3:$I$80,MATCH('Scenario Picker'!$B$3,'Growth Scenarios'!$F$2:$I$2,0)+1)/1000000000*VLOOKUP($A9,'Growth Scenarios'!$A$3:$D$80,MATCH('Scenario Picker'!$B$2,'Growth Scenarios'!$B$2:$D$2,0)+1)</f>
        <v>3.1704702440444077</v>
      </c>
      <c r="C9" s="21">
        <f ca="1">'Electrification Scenario'!C15*(1-'Electrification Scenario'!C$8*('Electrification Scenario'!C15-'Electrification Scenario'!C$4)/('Electrification Scenario'!C$5-'Electrification Scenario'!C$4))*VLOOKUP(C$3,'Static Parameters'!$A$3:$B$9,2)*VLOOKUP($A9,'Growth Scenarios'!$E$3:$I$80,MATCH('Scenario Picker'!$B$3,'Growth Scenarios'!$F$2:$I$2,0)+1)/1000000000*VLOOKUP($A9,'Growth Scenarios'!$A$3:$D$80,MATCH('Scenario Picker'!$B$2,'Growth Scenarios'!$B$2:$D$2,0)+1)</f>
        <v>19.744945923322117</v>
      </c>
      <c r="D9" s="21">
        <f ca="1">'Electrification Scenario'!D15*(1-'Electrification Scenario'!D$8*('Electrification Scenario'!D15-'Electrification Scenario'!D$4)/('Electrification Scenario'!D$5-'Electrification Scenario'!D$4))*VLOOKUP(D$3,'Static Parameters'!$A$3:$B$9,2)*VLOOKUP($A9,'Growth Scenarios'!$E$3:$I$80,MATCH('Scenario Picker'!$B$3,'Growth Scenarios'!$F$2:$I$2,0)+1)/1000000000*VLOOKUP($A9,'Growth Scenarios'!$A$3:$D$80,MATCH('Scenario Picker'!$B$2,'Growth Scenarios'!$B$2:$D$2,0)+1)</f>
        <v>6.9060315330323779E-2</v>
      </c>
      <c r="E9" s="21">
        <f ca="1">'Electrification Scenario'!E15*(1-'Electrification Scenario'!E$8*('Electrification Scenario'!E15-'Electrification Scenario'!E$4)/('Electrification Scenario'!E$5-'Electrification Scenario'!E$4))*VLOOKUP(E$3,'Static Parameters'!$A$3:$B$9,2)*VLOOKUP($A9,'Growth Scenarios'!$E$3:$I$80,MATCH('Scenario Picker'!$B$3,'Growth Scenarios'!$F$2:$I$2,0)+1)/1000000000*VLOOKUP($A9,'Growth Scenarios'!$A$3:$D$80,MATCH('Scenario Picker'!$B$2,'Growth Scenarios'!$B$2:$D$2,0)+1)</f>
        <v>50.119735818338683</v>
      </c>
      <c r="F9" s="21">
        <f ca="1">'Electrification Scenario'!F15*(1-'Electrification Scenario'!F$8*('Electrification Scenario'!F15-'Electrification Scenario'!F$4)/('Electrification Scenario'!F$5-'Electrification Scenario'!F$4))*VLOOKUP(F$3,'Static Parameters'!$A$3:$B$9,2)*VLOOKUP($A9,'Growth Scenarios'!$E$3:$I$80,MATCH('Scenario Picker'!$B$3,'Growth Scenarios'!$F$2:$I$2,0)+1)/1000000000*VLOOKUP($A9,'Growth Scenarios'!$A$3:$D$80,MATCH('Scenario Picker'!$B$2,'Growth Scenarios'!$B$2:$D$2,0)+1)</f>
        <v>4.0530668051124472</v>
      </c>
      <c r="G9" s="21">
        <f ca="1">'Electrification Scenario'!G15*(1-'Electrification Scenario'!G$8*('Electrification Scenario'!G15-'Electrification Scenario'!G$4)/('Electrification Scenario'!G$5-'Electrification Scenario'!G$4))*VLOOKUP(G$3,'Static Parameters'!$A$3:$B$9,2)*VLOOKUP($A9,'Growth Scenarios'!$E$3:$I$80,MATCH('Scenario Picker'!$B$3,'Growth Scenarios'!$F$2:$I$2,0)+1)/1000000000*VLOOKUP($A9,'Growth Scenarios'!$A$3:$D$80,MATCH('Scenario Picker'!$B$2,'Growth Scenarios'!$B$2:$D$2,0)+1)</f>
        <v>32.753502250024937</v>
      </c>
      <c r="H9" s="21">
        <f ca="1">'Electrification Scenario'!H15*(1-'Electrification Scenario'!H$8*('Electrification Scenario'!H15-'Electrification Scenario'!H$4)/('Electrification Scenario'!H$5-'Electrification Scenario'!H$4))*VLOOKUP(H$3,'Static Parameters'!$A$3:$B$9,2)*VLOOKUP($A9,'Growth Scenarios'!$E$3:$I$80,MATCH('Scenario Picker'!$B$3,'Growth Scenarios'!$F$2:$I$2,0)+1)/1000000000*VLOOKUP($A9,'Growth Scenarios'!$A$3:$D$80,MATCH('Scenario Picker'!$B$2,'Growth Scenarios'!$B$2:$D$2,0)+1)</f>
        <v>13.533147269709922</v>
      </c>
      <c r="I9" s="28">
        <f t="shared" ca="1" si="0"/>
        <v>123.44392862588285</v>
      </c>
      <c r="J9" s="25">
        <f ca="1">(1-'Electrification Scenario'!B15)*VLOOKUP(B$3,'Static Parameters'!$A$3:$B$9,2)*VLOOKUP($A9,'Growth Scenarios'!$E$3:$I$80,MATCH('Scenario Picker'!$B$3,'Growth Scenarios'!$F$2:$I$2,0)+1)/1000000000*VLOOKUP($A9,'Growth Scenarios'!$A$3:$D$80,MATCH('Scenario Picker'!$B$2,'Growth Scenarios'!$B$2:$D$2,0)+1)</f>
        <v>5.9532966552684581</v>
      </c>
      <c r="K9" s="21">
        <f ca="1">(1-'Electrification Scenario'!C15)*VLOOKUP(C$3,'Static Parameters'!$A$3:$B$9,2)*VLOOKUP($A9,'Growth Scenarios'!$E$3:$I$80,MATCH('Scenario Picker'!$B$3,'Growth Scenarios'!$F$2:$I$2,0)+1)/1000000000*VLOOKUP($A9,'Growth Scenarios'!$A$3:$D$80,MATCH('Scenario Picker'!$B$2,'Growth Scenarios'!$B$2:$D$2,0)+1)</f>
        <v>13.451091807116292</v>
      </c>
      <c r="L9" s="21">
        <f ca="1">(1-'Electrification Scenario'!D15)*VLOOKUP(D$3,'Static Parameters'!$A$3:$B$9,2)*VLOOKUP($A9,'Growth Scenarios'!$E$3:$I$80,MATCH('Scenario Picker'!$B$3,'Growth Scenarios'!$F$2:$I$2,0)+1)/1000000000*VLOOKUP($A9,'Growth Scenarios'!$A$3:$D$80,MATCH('Scenario Picker'!$B$2,'Growth Scenarios'!$B$2:$D$2,0)+1)</f>
        <v>0.31309799155389834</v>
      </c>
      <c r="M9" s="21">
        <f ca="1">(1-'Electrification Scenario'!E15)*VLOOKUP(E$3,'Static Parameters'!$A$3:$B$9,2)*VLOOKUP($A9,'Growth Scenarios'!$E$3:$I$80,MATCH('Scenario Picker'!$B$3,'Growth Scenarios'!$F$2:$I$2,0)+1)/1000000000*VLOOKUP($A9,'Growth Scenarios'!$A$3:$D$80,MATCH('Scenario Picker'!$B$2,'Growth Scenarios'!$B$2:$D$2,0)+1)</f>
        <v>77.815346631738791</v>
      </c>
      <c r="N9" s="21">
        <f ca="1">(1-'Electrification Scenario'!F15)*VLOOKUP(F$3,'Static Parameters'!$A$3:$B$9,2)*VLOOKUP($A9,'Growth Scenarios'!$E$3:$I$80,MATCH('Scenario Picker'!$B$3,'Growth Scenarios'!$F$2:$I$2,0)+1)/1000000000*VLOOKUP($A9,'Growth Scenarios'!$A$3:$D$80,MATCH('Scenario Picker'!$B$2,'Growth Scenarios'!$B$2:$D$2,0)+1)</f>
        <v>2.3522262708241879</v>
      </c>
      <c r="O9" s="21">
        <f ca="1">(1-'Electrification Scenario'!G15)*VLOOKUP(G$3,'Static Parameters'!$A$3:$B$9,2)*VLOOKUP($A9,'Growth Scenarios'!$E$3:$I$80,MATCH('Scenario Picker'!$B$3,'Growth Scenarios'!$F$2:$I$2,0)+1)/1000000000*VLOOKUP($A9,'Growth Scenarios'!$A$3:$D$80,MATCH('Scenario Picker'!$B$2,'Growth Scenarios'!$B$2:$D$2,0)+1)</f>
        <v>52.685611043347194</v>
      </c>
      <c r="P9" s="21">
        <f ca="1">(1-'Electrification Scenario'!H15)*VLOOKUP(H$3,'Static Parameters'!$A$3:$B$9,2)*VLOOKUP($A9,'Growth Scenarios'!$E$3:$I$80,MATCH('Scenario Picker'!$B$3,'Growth Scenarios'!$F$2:$I$2,0)+1)/1000000000*VLOOKUP($A9,'Growth Scenarios'!$A$3:$D$80,MATCH('Scenario Picker'!$B$2,'Growth Scenarios'!$B$2:$D$2,0)+1)</f>
        <v>103.71910539471781</v>
      </c>
      <c r="Q9" s="28">
        <f t="shared" ca="1" si="1"/>
        <v>256.28977579456665</v>
      </c>
      <c r="R9" s="28">
        <f t="shared" ca="1" si="2"/>
        <v>379.7337044204495</v>
      </c>
    </row>
    <row r="10" spans="1:18" ht="15" x14ac:dyDescent="0.35">
      <c r="A10" s="31">
        <v>2028</v>
      </c>
      <c r="B10" s="25">
        <f ca="1">'Electrification Scenario'!B16*(1-'Electrification Scenario'!B$8*('Electrification Scenario'!B16-'Electrification Scenario'!B$4)/('Electrification Scenario'!B$5-'Electrification Scenario'!B$4))*VLOOKUP(B$3,'Static Parameters'!$A$3:$B$9,2)*VLOOKUP($A10,'Growth Scenarios'!$E$3:$I$80,MATCH('Scenario Picker'!$B$3,'Growth Scenarios'!$F$2:$I$2,0)+1)/1000000000*VLOOKUP($A10,'Growth Scenarios'!$A$3:$D$80,MATCH('Scenario Picker'!$B$2,'Growth Scenarios'!$B$2:$D$2,0)+1)</f>
        <v>3.261847440535758</v>
      </c>
      <c r="C10" s="21">
        <f ca="1">'Electrification Scenario'!C16*(1-'Electrification Scenario'!C$8*('Electrification Scenario'!C16-'Electrification Scenario'!C$4)/('Electrification Scenario'!C$5-'Electrification Scenario'!C$4))*VLOOKUP(C$3,'Static Parameters'!$A$3:$B$9,2)*VLOOKUP($A10,'Growth Scenarios'!$E$3:$I$80,MATCH('Scenario Picker'!$B$3,'Growth Scenarios'!$F$2:$I$2,0)+1)/1000000000*VLOOKUP($A10,'Growth Scenarios'!$A$3:$D$80,MATCH('Scenario Picker'!$B$2,'Growth Scenarios'!$B$2:$D$2,0)+1)</f>
        <v>20.285649890440222</v>
      </c>
      <c r="D10" s="21">
        <f ca="1">'Electrification Scenario'!D16*(1-'Electrification Scenario'!D$8*('Electrification Scenario'!D16-'Electrification Scenario'!D$4)/('Electrification Scenario'!D$5-'Electrification Scenario'!D$4))*VLOOKUP(D$3,'Static Parameters'!$A$3:$B$9,2)*VLOOKUP($A10,'Growth Scenarios'!$E$3:$I$80,MATCH('Scenario Picker'!$B$3,'Growth Scenarios'!$F$2:$I$2,0)+1)/1000000000*VLOOKUP($A10,'Growth Scenarios'!$A$3:$D$80,MATCH('Scenario Picker'!$B$2,'Growth Scenarios'!$B$2:$D$2,0)+1)</f>
        <v>7.588682925536662E-2</v>
      </c>
      <c r="E10" s="21">
        <f ca="1">'Electrification Scenario'!E16*(1-'Electrification Scenario'!E$8*('Electrification Scenario'!E16-'Electrification Scenario'!E$4)/('Electrification Scenario'!E$5-'Electrification Scenario'!E$4))*VLOOKUP(E$3,'Static Parameters'!$A$3:$B$9,2)*VLOOKUP($A10,'Growth Scenarios'!$E$3:$I$80,MATCH('Scenario Picker'!$B$3,'Growth Scenarios'!$F$2:$I$2,0)+1)/1000000000*VLOOKUP($A10,'Growth Scenarios'!$A$3:$D$80,MATCH('Scenario Picker'!$B$2,'Growth Scenarios'!$B$2:$D$2,0)+1)</f>
        <v>53.41132270827859</v>
      </c>
      <c r="F10" s="21">
        <f ca="1">'Electrification Scenario'!F16*(1-'Electrification Scenario'!F$8*('Electrification Scenario'!F16-'Electrification Scenario'!F$4)/('Electrification Scenario'!F$5-'Electrification Scenario'!F$4))*VLOOKUP(F$3,'Static Parameters'!$A$3:$B$9,2)*VLOOKUP($A10,'Growth Scenarios'!$E$3:$I$80,MATCH('Scenario Picker'!$B$3,'Growth Scenarios'!$F$2:$I$2,0)+1)/1000000000*VLOOKUP($A10,'Growth Scenarios'!$A$3:$D$80,MATCH('Scenario Picker'!$B$2,'Growth Scenarios'!$B$2:$D$2,0)+1)</f>
        <v>4.074308126631351</v>
      </c>
      <c r="G10" s="21">
        <f ca="1">'Electrification Scenario'!G16*(1-'Electrification Scenario'!G$8*('Electrification Scenario'!G16-'Electrification Scenario'!G$4)/('Electrification Scenario'!G$5-'Electrification Scenario'!G$4))*VLOOKUP(G$3,'Static Parameters'!$A$3:$B$9,2)*VLOOKUP($A10,'Growth Scenarios'!$E$3:$I$80,MATCH('Scenario Picker'!$B$3,'Growth Scenarios'!$F$2:$I$2,0)+1)/1000000000*VLOOKUP($A10,'Growth Scenarios'!$A$3:$D$80,MATCH('Scenario Picker'!$B$2,'Growth Scenarios'!$B$2:$D$2,0)+1)</f>
        <v>34.985114504169026</v>
      </c>
      <c r="H10" s="21">
        <f ca="1">'Electrification Scenario'!H16*(1-'Electrification Scenario'!H$8*('Electrification Scenario'!H16-'Electrification Scenario'!H$4)/('Electrification Scenario'!H$5-'Electrification Scenario'!H$4))*VLOOKUP(H$3,'Static Parameters'!$A$3:$B$9,2)*VLOOKUP($A10,'Growth Scenarios'!$E$3:$I$80,MATCH('Scenario Picker'!$B$3,'Growth Scenarios'!$F$2:$I$2,0)+1)/1000000000*VLOOKUP($A10,'Growth Scenarios'!$A$3:$D$80,MATCH('Scenario Picker'!$B$2,'Growth Scenarios'!$B$2:$D$2,0)+1)</f>
        <v>16.384969685840755</v>
      </c>
      <c r="I10" s="28">
        <f t="shared" ca="1" si="0"/>
        <v>132.47909918515109</v>
      </c>
      <c r="J10" s="25">
        <f ca="1">(1-'Electrification Scenario'!B16)*VLOOKUP(B$3,'Static Parameters'!$A$3:$B$9,2)*VLOOKUP($A10,'Growth Scenarios'!$E$3:$I$80,MATCH('Scenario Picker'!$B$3,'Growth Scenarios'!$F$2:$I$2,0)+1)/1000000000*VLOOKUP($A10,'Growth Scenarios'!$A$3:$D$80,MATCH('Scenario Picker'!$B$2,'Growth Scenarios'!$B$2:$D$2,0)+1)</f>
        <v>5.8821639186342853</v>
      </c>
      <c r="K10" s="21">
        <f ca="1">(1-'Electrification Scenario'!C16)*VLOOKUP(C$3,'Static Parameters'!$A$3:$B$9,2)*VLOOKUP($A10,'Growth Scenarios'!$E$3:$I$80,MATCH('Scenario Picker'!$B$3,'Growth Scenarios'!$F$2:$I$2,0)+1)/1000000000*VLOOKUP($A10,'Growth Scenarios'!$A$3:$D$80,MATCH('Scenario Picker'!$B$2,'Growth Scenarios'!$B$2:$D$2,0)+1)</f>
        <v>12.909370055510896</v>
      </c>
      <c r="L10" s="21">
        <f ca="1">(1-'Electrification Scenario'!D16)*VLOOKUP(D$3,'Static Parameters'!$A$3:$B$9,2)*VLOOKUP($A10,'Growth Scenarios'!$E$3:$I$80,MATCH('Scenario Picker'!$B$3,'Growth Scenarios'!$F$2:$I$2,0)+1)/1000000000*VLOOKUP($A10,'Growth Scenarios'!$A$3:$D$80,MATCH('Scenario Picker'!$B$2,'Growth Scenarios'!$B$2:$D$2,0)+1)</f>
        <v>0.30751458327406339</v>
      </c>
      <c r="M10" s="21">
        <f ca="1">(1-'Electrification Scenario'!E16)*VLOOKUP(E$3,'Static Parameters'!$A$3:$B$9,2)*VLOOKUP($A10,'Growth Scenarios'!$E$3:$I$80,MATCH('Scenario Picker'!$B$3,'Growth Scenarios'!$F$2:$I$2,0)+1)/1000000000*VLOOKUP($A10,'Growth Scenarios'!$A$3:$D$80,MATCH('Scenario Picker'!$B$2,'Growth Scenarios'!$B$2:$D$2,0)+1)</f>
        <v>74.681454864170533</v>
      </c>
      <c r="N10" s="21">
        <f ca="1">(1-'Electrification Scenario'!F16)*VLOOKUP(F$3,'Static Parameters'!$A$3:$B$9,2)*VLOOKUP($A10,'Growth Scenarios'!$E$3:$I$80,MATCH('Scenario Picker'!$B$3,'Growth Scenarios'!$F$2:$I$2,0)+1)/1000000000*VLOOKUP($A10,'Growth Scenarios'!$A$3:$D$80,MATCH('Scenario Picker'!$B$2,'Growth Scenarios'!$B$2:$D$2,0)+1)</f>
        <v>2.3321466051973556</v>
      </c>
      <c r="O10" s="21">
        <f ca="1">(1-'Electrification Scenario'!G16)*VLOOKUP(G$3,'Static Parameters'!$A$3:$B$9,2)*VLOOKUP($A10,'Growth Scenarios'!$E$3:$I$80,MATCH('Scenario Picker'!$B$3,'Growth Scenarios'!$F$2:$I$2,0)+1)/1000000000*VLOOKUP($A10,'Growth Scenarios'!$A$3:$D$80,MATCH('Scenario Picker'!$B$2,'Growth Scenarios'!$B$2:$D$2,0)+1)</f>
        <v>50.563780198084288</v>
      </c>
      <c r="P10" s="21">
        <f ca="1">(1-'Electrification Scenario'!H16)*VLOOKUP(H$3,'Static Parameters'!$A$3:$B$9,2)*VLOOKUP($A10,'Growth Scenarios'!$E$3:$I$80,MATCH('Scenario Picker'!$B$3,'Growth Scenarios'!$F$2:$I$2,0)+1)/1000000000*VLOOKUP($A10,'Growth Scenarios'!$A$3:$D$80,MATCH('Scenario Picker'!$B$2,'Growth Scenarios'!$B$2:$D$2,0)+1)</f>
        <v>100.8945092281774</v>
      </c>
      <c r="Q10" s="28">
        <f t="shared" ca="1" si="1"/>
        <v>247.57093945304882</v>
      </c>
      <c r="R10" s="28">
        <f t="shared" ca="1" si="2"/>
        <v>380.05003863819991</v>
      </c>
    </row>
    <row r="11" spans="1:18" ht="15" x14ac:dyDescent="0.35">
      <c r="A11" s="31">
        <v>2029</v>
      </c>
      <c r="B11" s="25">
        <f ca="1">'Electrification Scenario'!B17*(1-'Electrification Scenario'!B$8*('Electrification Scenario'!B17-'Electrification Scenario'!B$4)/('Electrification Scenario'!B$5-'Electrification Scenario'!B$4))*VLOOKUP(B$3,'Static Parameters'!$A$3:$B$9,2)*VLOOKUP($A11,'Growth Scenarios'!$E$3:$I$80,MATCH('Scenario Picker'!$B$3,'Growth Scenarios'!$F$2:$I$2,0)+1)/1000000000*VLOOKUP($A11,'Growth Scenarios'!$A$3:$D$80,MATCH('Scenario Picker'!$B$2,'Growth Scenarios'!$B$2:$D$2,0)+1)</f>
        <v>3.3511710531143519</v>
      </c>
      <c r="C11" s="21">
        <f ca="1">'Electrification Scenario'!C17*(1-'Electrification Scenario'!C$8*('Electrification Scenario'!C17-'Electrification Scenario'!C$4)/('Electrification Scenario'!C$5-'Electrification Scenario'!C$4))*VLOOKUP(C$3,'Static Parameters'!$A$3:$B$9,2)*VLOOKUP($A11,'Growth Scenarios'!$E$3:$I$80,MATCH('Scenario Picker'!$B$3,'Growth Scenarios'!$F$2:$I$2,0)+1)/1000000000*VLOOKUP($A11,'Growth Scenarios'!$A$3:$D$80,MATCH('Scenario Picker'!$B$2,'Growth Scenarios'!$B$2:$D$2,0)+1)</f>
        <v>20.813735860499349</v>
      </c>
      <c r="D11" s="21">
        <f ca="1">'Electrification Scenario'!D17*(1-'Electrification Scenario'!D$8*('Electrification Scenario'!D17-'Electrification Scenario'!D$4)/('Electrification Scenario'!D$5-'Electrification Scenario'!D$4))*VLOOKUP(D$3,'Static Parameters'!$A$3:$B$9,2)*VLOOKUP($A11,'Growth Scenarios'!$E$3:$I$80,MATCH('Scenario Picker'!$B$3,'Growth Scenarios'!$F$2:$I$2,0)+1)/1000000000*VLOOKUP($A11,'Growth Scenarios'!$A$3:$D$80,MATCH('Scenario Picker'!$B$2,'Growth Scenarios'!$B$2:$D$2,0)+1)</f>
        <v>8.263942222816005E-2</v>
      </c>
      <c r="E11" s="21">
        <f ca="1">'Electrification Scenario'!E17*(1-'Electrification Scenario'!E$8*('Electrification Scenario'!E17-'Electrification Scenario'!E$4)/('Electrification Scenario'!E$5-'Electrification Scenario'!E$4))*VLOOKUP(E$3,'Static Parameters'!$A$3:$B$9,2)*VLOOKUP($A11,'Growth Scenarios'!$E$3:$I$80,MATCH('Scenario Picker'!$B$3,'Growth Scenarios'!$F$2:$I$2,0)+1)/1000000000*VLOOKUP($A11,'Growth Scenarios'!$A$3:$D$80,MATCH('Scenario Picker'!$B$2,'Growth Scenarios'!$B$2:$D$2,0)+1)</f>
        <v>56.659297660776076</v>
      </c>
      <c r="F11" s="21">
        <f ca="1">'Electrification Scenario'!F17*(1-'Electrification Scenario'!F$8*('Electrification Scenario'!F17-'Electrification Scenario'!F$4)/('Electrification Scenario'!F$5-'Electrification Scenario'!F$4))*VLOOKUP(F$3,'Static Parameters'!$A$3:$B$9,2)*VLOOKUP($A11,'Growth Scenarios'!$E$3:$I$80,MATCH('Scenario Picker'!$B$3,'Growth Scenarios'!$F$2:$I$2,0)+1)/1000000000*VLOOKUP($A11,'Growth Scenarios'!$A$3:$D$80,MATCH('Scenario Picker'!$B$2,'Growth Scenarios'!$B$2:$D$2,0)+1)</f>
        <v>4.09350103554317</v>
      </c>
      <c r="G11" s="21">
        <f ca="1">'Electrification Scenario'!G17*(1-'Electrification Scenario'!G$8*('Electrification Scenario'!G17-'Electrification Scenario'!G$4)/('Electrification Scenario'!G$5-'Electrification Scenario'!G$4))*VLOOKUP(G$3,'Static Parameters'!$A$3:$B$9,2)*VLOOKUP($A11,'Growth Scenarios'!$E$3:$I$80,MATCH('Scenario Picker'!$B$3,'Growth Scenarios'!$F$2:$I$2,0)+1)/1000000000*VLOOKUP($A11,'Growth Scenarios'!$A$3:$D$80,MATCH('Scenario Picker'!$B$2,'Growth Scenarios'!$B$2:$D$2,0)+1)</f>
        <v>37.187740002672022</v>
      </c>
      <c r="H11" s="21">
        <f ca="1">'Electrification Scenario'!H17*(1-'Electrification Scenario'!H$8*('Electrification Scenario'!H17-'Electrification Scenario'!H$4)/('Electrification Scenario'!H$5-'Electrification Scenario'!H$4))*VLOOKUP(H$3,'Static Parameters'!$A$3:$B$9,2)*VLOOKUP($A11,'Growth Scenarios'!$E$3:$I$80,MATCH('Scenario Picker'!$B$3,'Growth Scenarios'!$F$2:$I$2,0)+1)/1000000000*VLOOKUP($A11,'Growth Scenarios'!$A$3:$D$80,MATCH('Scenario Picker'!$B$2,'Growth Scenarios'!$B$2:$D$2,0)+1)</f>
        <v>19.128636229158396</v>
      </c>
      <c r="I11" s="28">
        <f t="shared" ca="1" si="0"/>
        <v>141.31672126399152</v>
      </c>
      <c r="J11" s="25">
        <f ca="1">(1-'Electrification Scenario'!B17)*VLOOKUP(B$3,'Static Parameters'!$A$3:$B$9,2)*VLOOKUP($A11,'Growth Scenarios'!$E$3:$I$80,MATCH('Scenario Picker'!$B$3,'Growth Scenarios'!$F$2:$I$2,0)+1)/1000000000*VLOOKUP($A11,'Growth Scenarios'!$A$3:$D$80,MATCH('Scenario Picker'!$B$2,'Growth Scenarios'!$B$2:$D$2,0)+1)</f>
        <v>5.8077404854006147</v>
      </c>
      <c r="K11" s="21">
        <f ca="1">(1-'Electrification Scenario'!C17)*VLOOKUP(C$3,'Static Parameters'!$A$3:$B$9,2)*VLOOKUP($A11,'Growth Scenarios'!$E$3:$I$80,MATCH('Scenario Picker'!$B$3,'Growth Scenarios'!$F$2:$I$2,0)+1)/1000000000*VLOOKUP($A11,'Growth Scenarios'!$A$3:$D$80,MATCH('Scenario Picker'!$B$2,'Growth Scenarios'!$B$2:$D$2,0)+1)</f>
        <v>12.356386135605419</v>
      </c>
      <c r="L11" s="21">
        <f ca="1">(1-'Electrification Scenario'!D17)*VLOOKUP(D$3,'Static Parameters'!$A$3:$B$9,2)*VLOOKUP($A11,'Growth Scenarios'!$E$3:$I$80,MATCH('Scenario Picker'!$B$3,'Growth Scenarios'!$F$2:$I$2,0)+1)/1000000000*VLOOKUP($A11,'Growth Scenarios'!$A$3:$D$80,MATCH('Scenario Picker'!$B$2,'Growth Scenarios'!$B$2:$D$2,0)+1)</f>
        <v>0.30173960340815947</v>
      </c>
      <c r="M11" s="21">
        <f ca="1">(1-'Electrification Scenario'!E17)*VLOOKUP(E$3,'Static Parameters'!$A$3:$B$9,2)*VLOOKUP($A11,'Growth Scenarios'!$E$3:$I$80,MATCH('Scenario Picker'!$B$3,'Growth Scenarios'!$F$2:$I$2,0)+1)/1000000000*VLOOKUP($A11,'Growth Scenarios'!$A$3:$D$80,MATCH('Scenario Picker'!$B$2,'Growth Scenarios'!$B$2:$D$2,0)+1)</f>
        <v>71.482410799475588</v>
      </c>
      <c r="N11" s="21">
        <f ca="1">(1-'Electrification Scenario'!F17)*VLOOKUP(F$3,'Static Parameters'!$A$3:$B$9,2)*VLOOKUP($A11,'Growth Scenarios'!$E$3:$I$80,MATCH('Scenario Picker'!$B$3,'Growth Scenarios'!$F$2:$I$2,0)+1)/1000000000*VLOOKUP($A11,'Growth Scenarios'!$A$3:$D$80,MATCH('Scenario Picker'!$B$2,'Growth Scenarios'!$B$2:$D$2,0)+1)</f>
        <v>2.3108473587743701</v>
      </c>
      <c r="O11" s="21">
        <f ca="1">(1-'Electrification Scenario'!G17)*VLOOKUP(G$3,'Static Parameters'!$A$3:$B$9,2)*VLOOKUP($A11,'Growth Scenarios'!$E$3:$I$80,MATCH('Scenario Picker'!$B$3,'Growth Scenarios'!$F$2:$I$2,0)+1)/1000000000*VLOOKUP($A11,'Growth Scenarios'!$A$3:$D$80,MATCH('Scenario Picker'!$B$2,'Growth Scenarios'!$B$2:$D$2,0)+1)</f>
        <v>48.397837378338458</v>
      </c>
      <c r="P11" s="21">
        <f ca="1">(1-'Electrification Scenario'!H17)*VLOOKUP(H$3,'Static Parameters'!$A$3:$B$9,2)*VLOOKUP($A11,'Growth Scenarios'!$E$3:$I$80,MATCH('Scenario Picker'!$B$3,'Growth Scenarios'!$F$2:$I$2,0)+1)/1000000000*VLOOKUP($A11,'Growth Scenarios'!$A$3:$D$80,MATCH('Scenario Picker'!$B$2,'Growth Scenarios'!$B$2:$D$2,0)+1)</f>
        <v>97.996658128657899</v>
      </c>
      <c r="Q11" s="28">
        <f t="shared" ca="1" si="1"/>
        <v>238.65361988966049</v>
      </c>
      <c r="R11" s="28">
        <f t="shared" ca="1" si="2"/>
        <v>379.97034115365204</v>
      </c>
    </row>
    <row r="12" spans="1:18" ht="15" x14ac:dyDescent="0.35">
      <c r="A12" s="31">
        <v>2030</v>
      </c>
      <c r="B12" s="25">
        <f ca="1">'Electrification Scenario'!B18*(1-'Electrification Scenario'!B$8*('Electrification Scenario'!B18-'Electrification Scenario'!B$4)/('Electrification Scenario'!B$5-'Electrification Scenario'!B$4))*VLOOKUP(B$3,'Static Parameters'!$A$3:$B$9,2)*VLOOKUP($A12,'Growth Scenarios'!$E$3:$I$80,MATCH('Scenario Picker'!$B$3,'Growth Scenarios'!$F$2:$I$2,0)+1)/1000000000*VLOOKUP($A12,'Growth Scenarios'!$A$3:$D$80,MATCH('Scenario Picker'!$B$2,'Growth Scenarios'!$B$2:$D$2,0)+1)</f>
        <v>3.4383018570163686</v>
      </c>
      <c r="C12" s="21">
        <f ca="1">'Electrification Scenario'!C18*(1-'Electrification Scenario'!C$8*('Electrification Scenario'!C18-'Electrification Scenario'!C$4)/('Electrification Scenario'!C$5-'Electrification Scenario'!C$4))*VLOOKUP(C$3,'Static Parameters'!$A$3:$B$9,2)*VLOOKUP($A12,'Growth Scenarios'!$E$3:$I$80,MATCH('Scenario Picker'!$B$3,'Growth Scenarios'!$F$2:$I$2,0)+1)/1000000000*VLOOKUP($A12,'Growth Scenarios'!$A$3:$D$80,MATCH('Scenario Picker'!$B$2,'Growth Scenarios'!$B$2:$D$2,0)+1)</f>
        <v>21.328375939608964</v>
      </c>
      <c r="D12" s="21">
        <f ca="1">'Electrification Scenario'!D18*(1-'Electrification Scenario'!D$8*('Electrification Scenario'!D18-'Electrification Scenario'!D$4)/('Electrification Scenario'!D$5-'Electrification Scenario'!D$4))*VLOOKUP(D$3,'Static Parameters'!$A$3:$B$9,2)*VLOOKUP($A12,'Growth Scenarios'!$E$3:$I$80,MATCH('Scenario Picker'!$B$3,'Growth Scenarios'!$F$2:$I$2,0)+1)/1000000000*VLOOKUP($A12,'Growth Scenarios'!$A$3:$D$80,MATCH('Scenario Picker'!$B$2,'Growth Scenarios'!$B$2:$D$2,0)+1)</f>
        <v>8.9308385698021783E-2</v>
      </c>
      <c r="E12" s="21">
        <f ca="1">'Electrification Scenario'!E18*(1-'Electrification Scenario'!E$8*('Electrification Scenario'!E18-'Electrification Scenario'!E$4)/('Electrification Scenario'!E$5-'Electrification Scenario'!E$4))*VLOOKUP(E$3,'Static Parameters'!$A$3:$B$9,2)*VLOOKUP($A12,'Growth Scenarios'!$E$3:$I$80,MATCH('Scenario Picker'!$B$3,'Growth Scenarios'!$F$2:$I$2,0)+1)/1000000000*VLOOKUP($A12,'Growth Scenarios'!$A$3:$D$80,MATCH('Scenario Picker'!$B$2,'Growth Scenarios'!$B$2:$D$2,0)+1)</f>
        <v>59.85891001792038</v>
      </c>
      <c r="F12" s="21">
        <f ca="1">'Electrification Scenario'!F18*(1-'Electrification Scenario'!F$8*('Electrification Scenario'!F18-'Electrification Scenario'!F$4)/('Electrification Scenario'!F$5-'Electrification Scenario'!F$4))*VLOOKUP(F$3,'Static Parameters'!$A$3:$B$9,2)*VLOOKUP($A12,'Growth Scenarios'!$E$3:$I$80,MATCH('Scenario Picker'!$B$3,'Growth Scenarios'!$F$2:$I$2,0)+1)/1000000000*VLOOKUP($A12,'Growth Scenarios'!$A$3:$D$80,MATCH('Scenario Picker'!$B$2,'Growth Scenarios'!$B$2:$D$2,0)+1)</f>
        <v>4.1105994822630034</v>
      </c>
      <c r="G12" s="21">
        <f ca="1">'Electrification Scenario'!G18*(1-'Electrification Scenario'!G$8*('Electrification Scenario'!G18-'Electrification Scenario'!G$4)/('Electrification Scenario'!G$5-'Electrification Scenario'!G$4))*VLOOKUP(G$3,'Static Parameters'!$A$3:$B$9,2)*VLOOKUP($A12,'Growth Scenarios'!$E$3:$I$80,MATCH('Scenario Picker'!$B$3,'Growth Scenarios'!$F$2:$I$2,0)+1)/1000000000*VLOOKUP($A12,'Growth Scenarios'!$A$3:$D$80,MATCH('Scenario Picker'!$B$2,'Growth Scenarios'!$B$2:$D$2,0)+1)</f>
        <v>39.358162981703721</v>
      </c>
      <c r="H12" s="21">
        <f ca="1">'Electrification Scenario'!H18*(1-'Electrification Scenario'!H$8*('Electrification Scenario'!H18-'Electrification Scenario'!H$4)/('Electrification Scenario'!H$5-'Electrification Scenario'!H$4))*VLOOKUP(H$3,'Static Parameters'!$A$3:$B$9,2)*VLOOKUP($A12,'Growth Scenarios'!$E$3:$I$80,MATCH('Scenario Picker'!$B$3,'Growth Scenarios'!$F$2:$I$2,0)+1)/1000000000*VLOOKUP($A12,'Growth Scenarios'!$A$3:$D$80,MATCH('Scenario Picker'!$B$2,'Growth Scenarios'!$B$2:$D$2,0)+1)</f>
        <v>21.758984412649209</v>
      </c>
      <c r="I12" s="28">
        <f t="shared" ca="1" si="0"/>
        <v>149.94264307685967</v>
      </c>
      <c r="J12" s="25">
        <f ca="1">(1-'Electrification Scenario'!B18)*VLOOKUP(B$3,'Static Parameters'!$A$3:$B$9,2)*VLOOKUP($A12,'Growth Scenarios'!$E$3:$I$80,MATCH('Scenario Picker'!$B$3,'Growth Scenarios'!$F$2:$I$2,0)+1)/1000000000*VLOOKUP($A12,'Growth Scenarios'!$A$3:$D$80,MATCH('Scenario Picker'!$B$2,'Growth Scenarios'!$B$2:$D$2,0)+1)</f>
        <v>5.7300875300079399</v>
      </c>
      <c r="K12" s="21">
        <f ca="1">(1-'Electrification Scenario'!C18)*VLOOKUP(C$3,'Static Parameters'!$A$3:$B$9,2)*VLOOKUP($A12,'Growth Scenarios'!$E$3:$I$80,MATCH('Scenario Picker'!$B$3,'Growth Scenarios'!$F$2:$I$2,0)+1)/1000000000*VLOOKUP($A12,'Growth Scenarios'!$A$3:$D$80,MATCH('Scenario Picker'!$B$2,'Growth Scenarios'!$B$2:$D$2,0)+1)</f>
        <v>11.792719423270059</v>
      </c>
      <c r="L12" s="21">
        <f ca="1">(1-'Electrification Scenario'!D18)*VLOOKUP(D$3,'Static Parameters'!$A$3:$B$9,2)*VLOOKUP($A12,'Growth Scenarios'!$E$3:$I$80,MATCH('Scenario Picker'!$B$3,'Growth Scenarios'!$F$2:$I$2,0)+1)/1000000000*VLOOKUP($A12,'Growth Scenarios'!$A$3:$D$80,MATCH('Scenario Picker'!$B$2,'Growth Scenarios'!$B$2:$D$2,0)+1)</f>
        <v>0.2957784025153376</v>
      </c>
      <c r="M12" s="21">
        <f ca="1">(1-'Electrification Scenario'!E18)*VLOOKUP(E$3,'Static Parameters'!$A$3:$B$9,2)*VLOOKUP($A12,'Growth Scenarios'!$E$3:$I$80,MATCH('Scenario Picker'!$B$3,'Growth Scenarios'!$F$2:$I$2,0)+1)/1000000000*VLOOKUP($A12,'Growth Scenarios'!$A$3:$D$80,MATCH('Scenario Picker'!$B$2,'Growth Scenarios'!$B$2:$D$2,0)+1)</f>
        <v>68.221566160682485</v>
      </c>
      <c r="N12" s="21">
        <f ca="1">(1-'Electrification Scenario'!F18)*VLOOKUP(F$3,'Static Parameters'!$A$3:$B$9,2)*VLOOKUP($A12,'Growth Scenarios'!$E$3:$I$80,MATCH('Scenario Picker'!$B$3,'Growth Scenarios'!$F$2:$I$2,0)+1)/1000000000*VLOOKUP($A12,'Growth Scenarios'!$A$3:$D$80,MATCH('Scenario Picker'!$B$2,'Growth Scenarios'!$B$2:$D$2,0)+1)</f>
        <v>2.2883434094147042</v>
      </c>
      <c r="O12" s="21">
        <f ca="1">(1-'Electrification Scenario'!G18)*VLOOKUP(G$3,'Static Parameters'!$A$3:$B$9,2)*VLOOKUP($A12,'Growth Scenarios'!$E$3:$I$80,MATCH('Scenario Picker'!$B$3,'Growth Scenarios'!$F$2:$I$2,0)+1)/1000000000*VLOOKUP($A12,'Growth Scenarios'!$A$3:$D$80,MATCH('Scenario Picker'!$B$2,'Growth Scenarios'!$B$2:$D$2,0)+1)</f>
        <v>46.190051899655458</v>
      </c>
      <c r="P12" s="21">
        <f ca="1">(1-'Electrification Scenario'!H18)*VLOOKUP(H$3,'Static Parameters'!$A$3:$B$9,2)*VLOOKUP($A12,'Growth Scenarios'!$E$3:$I$80,MATCH('Scenario Picker'!$B$3,'Growth Scenarios'!$F$2:$I$2,0)+1)/1000000000*VLOOKUP($A12,'Growth Scenarios'!$A$3:$D$80,MATCH('Scenario Picker'!$B$2,'Growth Scenarios'!$B$2:$D$2,0)+1)</f>
        <v>95.028453493674533</v>
      </c>
      <c r="Q12" s="28">
        <f t="shared" ca="1" si="1"/>
        <v>229.5470003192205</v>
      </c>
      <c r="R12" s="28">
        <f t="shared" ca="1" si="2"/>
        <v>379.48964339608017</v>
      </c>
    </row>
    <row r="13" spans="1:18" ht="15" x14ac:dyDescent="0.35">
      <c r="A13" s="31">
        <v>2031</v>
      </c>
      <c r="B13" s="25">
        <f ca="1">'Electrification Scenario'!B19*(1-'Electrification Scenario'!B$8*('Electrification Scenario'!B19-'Electrification Scenario'!B$4)/('Electrification Scenario'!B$5-'Electrification Scenario'!B$4))*VLOOKUP(B$3,'Static Parameters'!$A$3:$B$9,2)*VLOOKUP($A13,'Growth Scenarios'!$E$3:$I$80,MATCH('Scenario Picker'!$B$3,'Growth Scenarios'!$F$2:$I$2,0)+1)/1000000000*VLOOKUP($A13,'Growth Scenarios'!$A$3:$D$80,MATCH('Scenario Picker'!$B$2,'Growth Scenarios'!$B$2:$D$2,0)+1)</f>
        <v>3.5230877857222005</v>
      </c>
      <c r="C13" s="21">
        <f ca="1">'Electrification Scenario'!C19*(1-'Electrification Scenario'!C$8*('Electrification Scenario'!C19-'Electrification Scenario'!C$4)/('Electrification Scenario'!C$5-'Electrification Scenario'!C$4))*VLOOKUP(C$3,'Static Parameters'!$A$3:$B$9,2)*VLOOKUP($A13,'Growth Scenarios'!$E$3:$I$80,MATCH('Scenario Picker'!$B$3,'Growth Scenarios'!$F$2:$I$2,0)+1)/1000000000*VLOOKUP($A13,'Growth Scenarios'!$A$3:$D$80,MATCH('Scenario Picker'!$B$2,'Growth Scenarios'!$B$2:$D$2,0)+1)</f>
        <v>21.828662728877376</v>
      </c>
      <c r="D13" s="21">
        <f ca="1">'Electrification Scenario'!D19*(1-'Electrification Scenario'!D$8*('Electrification Scenario'!D19-'Electrification Scenario'!D$4)/('Electrification Scenario'!D$5-'Electrification Scenario'!D$4))*VLOOKUP(D$3,'Static Parameters'!$A$3:$B$9,2)*VLOOKUP($A13,'Growth Scenarios'!$E$3:$I$80,MATCH('Scenario Picker'!$B$3,'Growth Scenarios'!$F$2:$I$2,0)+1)/1000000000*VLOOKUP($A13,'Growth Scenarios'!$A$3:$D$80,MATCH('Scenario Picker'!$B$2,'Growth Scenarios'!$B$2:$D$2,0)+1)</f>
        <v>9.588365120101365E-2</v>
      </c>
      <c r="E13" s="21">
        <f ca="1">'Electrification Scenario'!E19*(1-'Electrification Scenario'!E$8*('Electrification Scenario'!E19-'Electrification Scenario'!E$4)/('Electrification Scenario'!E$5-'Electrification Scenario'!E$4))*VLOOKUP(E$3,'Static Parameters'!$A$3:$B$9,2)*VLOOKUP($A13,'Growth Scenarios'!$E$3:$I$80,MATCH('Scenario Picker'!$B$3,'Growth Scenarios'!$F$2:$I$2,0)+1)/1000000000*VLOOKUP($A13,'Growth Scenarios'!$A$3:$D$80,MATCH('Scenario Picker'!$B$2,'Growth Scenarios'!$B$2:$D$2,0)+1)</f>
        <v>63.005175488448955</v>
      </c>
      <c r="F13" s="21">
        <f ca="1">'Electrification Scenario'!F19*(1-'Electrification Scenario'!F$8*('Electrification Scenario'!F19-'Electrification Scenario'!F$4)/('Electrification Scenario'!F$5-'Electrification Scenario'!F$4))*VLOOKUP(F$3,'Static Parameters'!$A$3:$B$9,2)*VLOOKUP($A13,'Growth Scenarios'!$E$3:$I$80,MATCH('Scenario Picker'!$B$3,'Growth Scenarios'!$F$2:$I$2,0)+1)/1000000000*VLOOKUP($A13,'Growth Scenarios'!$A$3:$D$80,MATCH('Scenario Picker'!$B$2,'Growth Scenarios'!$B$2:$D$2,0)+1)</f>
        <v>4.1255425853037915</v>
      </c>
      <c r="G13" s="21">
        <f ca="1">'Electrification Scenario'!G19*(1-'Electrification Scenario'!G$8*('Electrification Scenario'!G19-'Electrification Scenario'!G$4)/('Electrification Scenario'!G$5-'Electrification Scenario'!G$4))*VLOOKUP(G$3,'Static Parameters'!$A$3:$B$9,2)*VLOOKUP($A13,'Growth Scenarios'!$E$3:$I$80,MATCH('Scenario Picker'!$B$3,'Growth Scenarios'!$F$2:$I$2,0)+1)/1000000000*VLOOKUP($A13,'Growth Scenarios'!$A$3:$D$80,MATCH('Scenario Picker'!$B$2,'Growth Scenarios'!$B$2:$D$2,0)+1)</f>
        <v>41.493013661323609</v>
      </c>
      <c r="H13" s="21">
        <f ca="1">'Electrification Scenario'!H19*(1-'Electrification Scenario'!H$8*('Electrification Scenario'!H19-'Electrification Scenario'!H$4)/('Electrification Scenario'!H$5-'Electrification Scenario'!H$4))*VLOOKUP(H$3,'Static Parameters'!$A$3:$B$9,2)*VLOOKUP($A13,'Growth Scenarios'!$E$3:$I$80,MATCH('Scenario Picker'!$B$3,'Growth Scenarios'!$F$2:$I$2,0)+1)/1000000000*VLOOKUP($A13,'Growth Scenarios'!$A$3:$D$80,MATCH('Scenario Picker'!$B$2,'Growth Scenarios'!$B$2:$D$2,0)+1)</f>
        <v>24.270957825120071</v>
      </c>
      <c r="I13" s="28">
        <f t="shared" ca="1" si="0"/>
        <v>158.34232372599701</v>
      </c>
      <c r="J13" s="25">
        <f ca="1">(1-'Electrification Scenario'!B19)*VLOOKUP(B$3,'Static Parameters'!$A$3:$B$9,2)*VLOOKUP($A13,'Growth Scenarios'!$E$3:$I$80,MATCH('Scenario Picker'!$B$3,'Growth Scenarios'!$F$2:$I$2,0)+1)/1000000000*VLOOKUP($A13,'Growth Scenarios'!$A$3:$D$80,MATCH('Scenario Picker'!$B$2,'Growth Scenarios'!$B$2:$D$2,0)+1)</f>
        <v>5.6492482846011409</v>
      </c>
      <c r="K13" s="21">
        <f ca="1">(1-'Electrification Scenario'!C19)*VLOOKUP(C$3,'Static Parameters'!$A$3:$B$9,2)*VLOOKUP($A13,'Growth Scenarios'!$E$3:$I$80,MATCH('Scenario Picker'!$B$3,'Growth Scenarios'!$F$2:$I$2,0)+1)/1000000000*VLOOKUP($A13,'Growth Scenarios'!$A$3:$D$80,MATCH('Scenario Picker'!$B$2,'Growth Scenarios'!$B$2:$D$2,0)+1)</f>
        <v>11.218929691954378</v>
      </c>
      <c r="L13" s="21">
        <f ca="1">(1-'Electrification Scenario'!D19)*VLOOKUP(D$3,'Static Parameters'!$A$3:$B$9,2)*VLOOKUP($A13,'Growth Scenarios'!$E$3:$I$80,MATCH('Scenario Picker'!$B$3,'Growth Scenarios'!$F$2:$I$2,0)+1)/1000000000*VLOOKUP($A13,'Growth Scenarios'!$A$3:$D$80,MATCH('Scenario Picker'!$B$2,'Growth Scenarios'!$B$2:$D$2,0)+1)</f>
        <v>0.28963548876983014</v>
      </c>
      <c r="M13" s="21">
        <f ca="1">(1-'Electrification Scenario'!E19)*VLOOKUP(E$3,'Static Parameters'!$A$3:$B$9,2)*VLOOKUP($A13,'Growth Scenarios'!$E$3:$I$80,MATCH('Scenario Picker'!$B$3,'Growth Scenarios'!$F$2:$I$2,0)+1)/1000000000*VLOOKUP($A13,'Growth Scenarios'!$A$3:$D$80,MATCH('Scenario Picker'!$B$2,'Growth Scenarios'!$B$2:$D$2,0)+1)</f>
        <v>64.902159269679032</v>
      </c>
      <c r="N13" s="21">
        <f ca="1">(1-'Electrification Scenario'!F19)*VLOOKUP(F$3,'Static Parameters'!$A$3:$B$9,2)*VLOOKUP($A13,'Growth Scenarios'!$E$3:$I$80,MATCH('Scenario Picker'!$B$3,'Growth Scenarios'!$F$2:$I$2,0)+1)/1000000000*VLOOKUP($A13,'Growth Scenarios'!$A$3:$D$80,MATCH('Scenario Picker'!$B$2,'Growth Scenarios'!$B$2:$D$2,0)+1)</f>
        <v>2.2646421046997953</v>
      </c>
      <c r="O13" s="21">
        <f ca="1">(1-'Electrification Scenario'!G19)*VLOOKUP(G$3,'Static Parameters'!$A$3:$B$9,2)*VLOOKUP($A13,'Growth Scenarios'!$E$3:$I$80,MATCH('Scenario Picker'!$B$3,'Growth Scenarios'!$F$2:$I$2,0)+1)/1000000000*VLOOKUP($A13,'Growth Scenarios'!$A$3:$D$80,MATCH('Scenario Picker'!$B$2,'Growth Scenarios'!$B$2:$D$2,0)+1)</f>
        <v>43.942616298273911</v>
      </c>
      <c r="P13" s="21">
        <f ca="1">(1-'Electrification Scenario'!H19)*VLOOKUP(H$3,'Static Parameters'!$A$3:$B$9,2)*VLOOKUP($A13,'Growth Scenarios'!$E$3:$I$80,MATCH('Scenario Picker'!$B$3,'Growth Scenarios'!$F$2:$I$2,0)+1)/1000000000*VLOOKUP($A13,'Growth Scenarios'!$A$3:$D$80,MATCH('Scenario Picker'!$B$2,'Growth Scenarios'!$B$2:$D$2,0)+1)</f>
        <v>91.992571244784315</v>
      </c>
      <c r="Q13" s="28">
        <f t="shared" ca="1" si="1"/>
        <v>220.25980238276242</v>
      </c>
      <c r="R13" s="28">
        <f t="shared" ca="1" si="2"/>
        <v>378.60212610875942</v>
      </c>
    </row>
    <row r="14" spans="1:18" ht="15" x14ac:dyDescent="0.35">
      <c r="A14" s="31">
        <v>2032</v>
      </c>
      <c r="B14" s="25">
        <f ca="1">'Electrification Scenario'!B20*(1-'Electrification Scenario'!B$8*('Electrification Scenario'!B20-'Electrification Scenario'!B$4)/('Electrification Scenario'!B$5-'Electrification Scenario'!B$4))*VLOOKUP(B$3,'Static Parameters'!$A$3:$B$9,2)*VLOOKUP($A14,'Growth Scenarios'!$E$3:$I$80,MATCH('Scenario Picker'!$B$3,'Growth Scenarios'!$F$2:$I$2,0)+1)/1000000000*VLOOKUP($A14,'Growth Scenarios'!$A$3:$D$80,MATCH('Scenario Picker'!$B$2,'Growth Scenarios'!$B$2:$D$2,0)+1)</f>
        <v>3.6053506928540164</v>
      </c>
      <c r="C14" s="21">
        <f ca="1">'Electrification Scenario'!C20*(1-'Electrification Scenario'!C$8*('Electrification Scenario'!C20-'Electrification Scenario'!C$4)/('Electrification Scenario'!C$5-'Electrification Scenario'!C$4))*VLOOKUP(C$3,'Static Parameters'!$A$3:$B$9,2)*VLOOKUP($A14,'Growth Scenarios'!$E$3:$I$80,MATCH('Scenario Picker'!$B$3,'Growth Scenarios'!$F$2:$I$2,0)+1)/1000000000*VLOOKUP($A14,'Growth Scenarios'!$A$3:$D$80,MATCH('Scenario Picker'!$B$2,'Growth Scenarios'!$B$2:$D$2,0)+1)</f>
        <v>22.31352782759479</v>
      </c>
      <c r="D14" s="21">
        <f ca="1">'Electrification Scenario'!D20*(1-'Electrification Scenario'!D$8*('Electrification Scenario'!D20-'Electrification Scenario'!D$4)/('Electrification Scenario'!D$5-'Electrification Scenario'!D$4))*VLOOKUP(D$3,'Static Parameters'!$A$3:$B$9,2)*VLOOKUP($A14,'Growth Scenarios'!$E$3:$I$80,MATCH('Scenario Picker'!$B$3,'Growth Scenarios'!$F$2:$I$2,0)+1)/1000000000*VLOOKUP($A14,'Growth Scenarios'!$A$3:$D$80,MATCH('Scenario Picker'!$B$2,'Growth Scenarios'!$B$2:$D$2,0)+1)</f>
        <v>0.10235434058516361</v>
      </c>
      <c r="E14" s="21">
        <f ca="1">'Electrification Scenario'!E20*(1-'Electrification Scenario'!E$8*('Electrification Scenario'!E20-'Electrification Scenario'!E$4)/('Electrification Scenario'!E$5-'Electrification Scenario'!E$4))*VLOOKUP(E$3,'Static Parameters'!$A$3:$B$9,2)*VLOOKUP($A14,'Growth Scenarios'!$E$3:$I$80,MATCH('Scenario Picker'!$B$3,'Growth Scenarios'!$F$2:$I$2,0)+1)/1000000000*VLOOKUP($A14,'Growth Scenarios'!$A$3:$D$80,MATCH('Scenario Picker'!$B$2,'Growth Scenarios'!$B$2:$D$2,0)+1)</f>
        <v>66.09260522508913</v>
      </c>
      <c r="F14" s="21">
        <f ca="1">'Electrification Scenario'!F20*(1-'Electrification Scenario'!F$8*('Electrification Scenario'!F20-'Electrification Scenario'!F$4)/('Electrification Scenario'!F$5-'Electrification Scenario'!F$4))*VLOOKUP(F$3,'Static Parameters'!$A$3:$B$9,2)*VLOOKUP($A14,'Growth Scenarios'!$E$3:$I$80,MATCH('Scenario Picker'!$B$3,'Growth Scenarios'!$F$2:$I$2,0)+1)/1000000000*VLOOKUP($A14,'Growth Scenarios'!$A$3:$D$80,MATCH('Scenario Picker'!$B$2,'Growth Scenarios'!$B$2:$D$2,0)+1)</f>
        <v>4.1382408979638443</v>
      </c>
      <c r="G14" s="21">
        <f ca="1">'Electrification Scenario'!G20*(1-'Electrification Scenario'!G$8*('Electrification Scenario'!G20-'Electrification Scenario'!G$4)/('Electrification Scenario'!G$5-'Electrification Scenario'!G$4))*VLOOKUP(G$3,'Static Parameters'!$A$3:$B$9,2)*VLOOKUP($A14,'Growth Scenarios'!$E$3:$I$80,MATCH('Scenario Picker'!$B$3,'Growth Scenarios'!$F$2:$I$2,0)+1)/1000000000*VLOOKUP($A14,'Growth Scenarios'!$A$3:$D$80,MATCH('Scenario Picker'!$B$2,'Growth Scenarios'!$B$2:$D$2,0)+1)</f>
        <v>43.588588507794583</v>
      </c>
      <c r="H14" s="21">
        <f ca="1">'Electrification Scenario'!H20*(1-'Electrification Scenario'!H$8*('Electrification Scenario'!H20-'Electrification Scenario'!H$4)/('Electrification Scenario'!H$5-'Electrification Scenario'!H$4))*VLOOKUP(H$3,'Static Parameters'!$A$3:$B$9,2)*VLOOKUP($A14,'Growth Scenarios'!$E$3:$I$80,MATCH('Scenario Picker'!$B$3,'Growth Scenarios'!$F$2:$I$2,0)+1)/1000000000*VLOOKUP($A14,'Growth Scenarios'!$A$3:$D$80,MATCH('Scenario Picker'!$B$2,'Growth Scenarios'!$B$2:$D$2,0)+1)</f>
        <v>26.659485193403658</v>
      </c>
      <c r="I14" s="28">
        <f t="shared" ca="1" si="0"/>
        <v>166.50015268528517</v>
      </c>
      <c r="J14" s="25">
        <f ca="1">(1-'Electrification Scenario'!B20)*VLOOKUP(B$3,'Static Parameters'!$A$3:$B$9,2)*VLOOKUP($A14,'Growth Scenarios'!$E$3:$I$80,MATCH('Scenario Picker'!$B$3,'Growth Scenarios'!$F$2:$I$2,0)+1)/1000000000*VLOOKUP($A14,'Growth Scenarios'!$A$3:$D$80,MATCH('Scenario Picker'!$B$2,'Growth Scenarios'!$B$2:$D$2,0)+1)</f>
        <v>5.5652314714064852</v>
      </c>
      <c r="K14" s="21">
        <f ca="1">(1-'Electrification Scenario'!C20)*VLOOKUP(C$3,'Static Parameters'!$A$3:$B$9,2)*VLOOKUP($A14,'Growth Scenarios'!$E$3:$I$80,MATCH('Scenario Picker'!$B$3,'Growth Scenarios'!$F$2:$I$2,0)+1)/1000000000*VLOOKUP($A14,'Growth Scenarios'!$A$3:$D$80,MATCH('Scenario Picker'!$B$2,'Growth Scenarios'!$B$2:$D$2,0)+1)</f>
        <v>10.635533681711587</v>
      </c>
      <c r="L14" s="21">
        <f ca="1">(1-'Electrification Scenario'!D20)*VLOOKUP(D$3,'Static Parameters'!$A$3:$B$9,2)*VLOOKUP($A14,'Growth Scenarios'!$E$3:$I$80,MATCH('Scenario Picker'!$B$3,'Growth Scenarios'!$F$2:$I$2,0)+1)/1000000000*VLOOKUP($A14,'Growth Scenarios'!$A$3:$D$80,MATCH('Scenario Picker'!$B$2,'Growth Scenarios'!$B$2:$D$2,0)+1)</f>
        <v>0.28331372434073571</v>
      </c>
      <c r="M14" s="21">
        <f ca="1">(1-'Electrification Scenario'!E20)*VLOOKUP(E$3,'Static Parameters'!$A$3:$B$9,2)*VLOOKUP($A14,'Growth Scenarios'!$E$3:$I$80,MATCH('Scenario Picker'!$B$3,'Growth Scenarios'!$F$2:$I$2,0)+1)/1000000000*VLOOKUP($A14,'Growth Scenarios'!$A$3:$D$80,MATCH('Scenario Picker'!$B$2,'Growth Scenarios'!$B$2:$D$2,0)+1)</f>
        <v>61.527179497657919</v>
      </c>
      <c r="N14" s="21">
        <f ca="1">(1-'Electrification Scenario'!F20)*VLOOKUP(F$3,'Static Parameters'!$A$3:$B$9,2)*VLOOKUP($A14,'Growth Scenarios'!$E$3:$I$80,MATCH('Scenario Picker'!$B$3,'Growth Scenarios'!$F$2:$I$2,0)+1)/1000000000*VLOOKUP($A14,'Growth Scenarios'!$A$3:$D$80,MATCH('Scenario Picker'!$B$2,'Growth Scenarios'!$B$2:$D$2,0)+1)</f>
        <v>2.2397364208826867</v>
      </c>
      <c r="O14" s="21">
        <f ca="1">(1-'Electrification Scenario'!G20)*VLOOKUP(G$3,'Static Parameters'!$A$3:$B$9,2)*VLOOKUP($A14,'Growth Scenarios'!$E$3:$I$80,MATCH('Scenario Picker'!$B$3,'Growth Scenarios'!$F$2:$I$2,0)+1)/1000000000*VLOOKUP($A14,'Growth Scenarios'!$A$3:$D$80,MATCH('Scenario Picker'!$B$2,'Growth Scenarios'!$B$2:$D$2,0)+1)</f>
        <v>41.657554556027009</v>
      </c>
      <c r="P14" s="21">
        <f ca="1">(1-'Electrification Scenario'!H20)*VLOOKUP(H$3,'Static Parameters'!$A$3:$B$9,2)*VLOOKUP($A14,'Growth Scenarios'!$E$3:$I$80,MATCH('Scenario Picker'!$B$3,'Growth Scenarios'!$F$2:$I$2,0)+1)/1000000000*VLOOKUP($A14,'Growth Scenarios'!$A$3:$D$80,MATCH('Scenario Picker'!$B$2,'Growth Scenarios'!$B$2:$D$2,0)+1)</f>
        <v>88.891231447396734</v>
      </c>
      <c r="Q14" s="28">
        <f t="shared" ca="1" si="1"/>
        <v>210.79978079942316</v>
      </c>
      <c r="R14" s="28">
        <f t="shared" ca="1" si="2"/>
        <v>377.29993348470833</v>
      </c>
    </row>
    <row r="15" spans="1:18" ht="15" x14ac:dyDescent="0.35">
      <c r="A15" s="31">
        <v>2033</v>
      </c>
      <c r="B15" s="25">
        <f ca="1">'Electrification Scenario'!B21*(1-'Electrification Scenario'!B$8*('Electrification Scenario'!B21-'Electrification Scenario'!B$4)/('Electrification Scenario'!B$5-'Electrification Scenario'!B$4))*VLOOKUP(B$3,'Static Parameters'!$A$3:$B$9,2)*VLOOKUP($A15,'Growth Scenarios'!$E$3:$I$80,MATCH('Scenario Picker'!$B$3,'Growth Scenarios'!$F$2:$I$2,0)+1)/1000000000*VLOOKUP($A15,'Growth Scenarios'!$A$3:$D$80,MATCH('Scenario Picker'!$B$2,'Growth Scenarios'!$B$2:$D$2,0)+1)</f>
        <v>3.684922719176666</v>
      </c>
      <c r="C15" s="21">
        <f ca="1">'Electrification Scenario'!C21*(1-'Electrification Scenario'!C$8*('Electrification Scenario'!C21-'Electrification Scenario'!C$4)/('Electrification Scenario'!C$5-'Electrification Scenario'!C$4))*VLOOKUP(C$3,'Static Parameters'!$A$3:$B$9,2)*VLOOKUP($A15,'Growth Scenarios'!$E$3:$I$80,MATCH('Scenario Picker'!$B$3,'Growth Scenarios'!$F$2:$I$2,0)+1)/1000000000*VLOOKUP($A15,'Growth Scenarios'!$A$3:$D$80,MATCH('Scenario Picker'!$B$2,'Growth Scenarios'!$B$2:$D$2,0)+1)</f>
        <v>22.781967468194427</v>
      </c>
      <c r="D15" s="21">
        <f ca="1">'Electrification Scenario'!D21*(1-'Electrification Scenario'!D$8*('Electrification Scenario'!D21-'Electrification Scenario'!D$4)/('Electrification Scenario'!D$5-'Electrification Scenario'!D$4))*VLOOKUP(D$3,'Static Parameters'!$A$3:$B$9,2)*VLOOKUP($A15,'Growth Scenarios'!$E$3:$I$80,MATCH('Scenario Picker'!$B$3,'Growth Scenarios'!$F$2:$I$2,0)+1)/1000000000*VLOOKUP($A15,'Growth Scenarios'!$A$3:$D$80,MATCH('Scenario Picker'!$B$2,'Growth Scenarios'!$B$2:$D$2,0)+1)</f>
        <v>0.10870970309006588</v>
      </c>
      <c r="E15" s="21">
        <f ca="1">'Electrification Scenario'!E21*(1-'Electrification Scenario'!E$8*('Electrification Scenario'!E21-'Electrification Scenario'!E$4)/('Electrification Scenario'!E$5-'Electrification Scenario'!E$4))*VLOOKUP(E$3,'Static Parameters'!$A$3:$B$9,2)*VLOOKUP($A15,'Growth Scenarios'!$E$3:$I$80,MATCH('Scenario Picker'!$B$3,'Growth Scenarios'!$F$2:$I$2,0)+1)/1000000000*VLOOKUP($A15,'Growth Scenarios'!$A$3:$D$80,MATCH('Scenario Picker'!$B$2,'Growth Scenarios'!$B$2:$D$2,0)+1)</f>
        <v>69.115836074922214</v>
      </c>
      <c r="F15" s="21">
        <f ca="1">'Electrification Scenario'!F21*(1-'Electrification Scenario'!F$8*('Electrification Scenario'!F21-'Electrification Scenario'!F$4)/('Electrification Scenario'!F$5-'Electrification Scenario'!F$4))*VLOOKUP(F$3,'Static Parameters'!$A$3:$B$9,2)*VLOOKUP($A15,'Growth Scenarios'!$E$3:$I$80,MATCH('Scenario Picker'!$B$3,'Growth Scenarios'!$F$2:$I$2,0)+1)/1000000000*VLOOKUP($A15,'Growth Scenarios'!$A$3:$D$80,MATCH('Scenario Picker'!$B$2,'Growth Scenarios'!$B$2:$D$2,0)+1)</f>
        <v>4.1486200351922822</v>
      </c>
      <c r="G15" s="21">
        <f ca="1">'Electrification Scenario'!G21*(1-'Electrification Scenario'!G$8*('Electrification Scenario'!G21-'Electrification Scenario'!G$4)/('Electrification Scenario'!G$5-'Electrification Scenario'!G$4))*VLOOKUP(G$3,'Static Parameters'!$A$3:$B$9,2)*VLOOKUP($A15,'Growth Scenarios'!$E$3:$I$80,MATCH('Scenario Picker'!$B$3,'Growth Scenarios'!$F$2:$I$2,0)+1)/1000000000*VLOOKUP($A15,'Growth Scenarios'!$A$3:$D$80,MATCH('Scenario Picker'!$B$2,'Growth Scenarios'!$B$2:$D$2,0)+1)</f>
        <v>45.641264518999307</v>
      </c>
      <c r="H15" s="21">
        <f ca="1">'Electrification Scenario'!H21*(1-'Electrification Scenario'!H$8*('Electrification Scenario'!H21-'Electrification Scenario'!H$4)/('Electrification Scenario'!H$5-'Electrification Scenario'!H$4))*VLOOKUP(H$3,'Static Parameters'!$A$3:$B$9,2)*VLOOKUP($A15,'Growth Scenarios'!$E$3:$I$80,MATCH('Scenario Picker'!$B$3,'Growth Scenarios'!$F$2:$I$2,0)+1)/1000000000*VLOOKUP($A15,'Growth Scenarios'!$A$3:$D$80,MATCH('Scenario Picker'!$B$2,'Growth Scenarios'!$B$2:$D$2,0)+1)</f>
        <v>28.919722908252492</v>
      </c>
      <c r="I15" s="28">
        <f t="shared" ca="1" si="0"/>
        <v>174.40104342782746</v>
      </c>
      <c r="J15" s="25">
        <f ca="1">(1-'Electrification Scenario'!B21)*VLOOKUP(B$3,'Static Parameters'!$A$3:$B$9,2)*VLOOKUP($A15,'Growth Scenarios'!$E$3:$I$80,MATCH('Scenario Picker'!$B$3,'Growth Scenarios'!$F$2:$I$2,0)+1)/1000000000*VLOOKUP($A15,'Growth Scenarios'!$A$3:$D$80,MATCH('Scenario Picker'!$B$2,'Growth Scenarios'!$B$2:$D$2,0)+1)</f>
        <v>5.478072460868475</v>
      </c>
      <c r="K15" s="21">
        <f ca="1">(1-'Electrification Scenario'!C21)*VLOOKUP(C$3,'Static Parameters'!$A$3:$B$9,2)*VLOOKUP($A15,'Growth Scenarios'!$E$3:$I$80,MATCH('Scenario Picker'!$B$3,'Growth Scenarios'!$F$2:$I$2,0)+1)/1000000000*VLOOKUP($A15,'Growth Scenarios'!$A$3:$D$80,MATCH('Scenario Picker'!$B$2,'Growth Scenarios'!$B$2:$D$2,0)+1)</f>
        <v>10.043132844925534</v>
      </c>
      <c r="L15" s="21">
        <f ca="1">(1-'Electrification Scenario'!D21)*VLOOKUP(D$3,'Static Parameters'!$A$3:$B$9,2)*VLOOKUP($A15,'Growth Scenarios'!$E$3:$I$80,MATCH('Scenario Picker'!$B$3,'Growth Scenarios'!$F$2:$I$2,0)+1)/1000000000*VLOOKUP($A15,'Growth Scenarios'!$A$3:$D$80,MATCH('Scenario Picker'!$B$2,'Growth Scenarios'!$B$2:$D$2,0)+1)</f>
        <v>0.27681749137367295</v>
      </c>
      <c r="M15" s="21">
        <f ca="1">(1-'Electrification Scenario'!E21)*VLOOKUP(E$3,'Static Parameters'!$A$3:$B$9,2)*VLOOKUP($A15,'Growth Scenarios'!$E$3:$I$80,MATCH('Scenario Picker'!$B$3,'Growth Scenarios'!$F$2:$I$2,0)+1)/1000000000*VLOOKUP($A15,'Growth Scenarios'!$A$3:$D$80,MATCH('Scenario Picker'!$B$2,'Growth Scenarios'!$B$2:$D$2,0)+1)</f>
        <v>58.100106281560301</v>
      </c>
      <c r="N15" s="21">
        <f ca="1">(1-'Electrification Scenario'!F21)*VLOOKUP(F$3,'Static Parameters'!$A$3:$B$9,2)*VLOOKUP($A15,'Growth Scenarios'!$E$3:$I$80,MATCH('Scenario Picker'!$B$3,'Growth Scenarios'!$F$2:$I$2,0)+1)/1000000000*VLOOKUP($A15,'Growth Scenarios'!$A$3:$D$80,MATCH('Scenario Picker'!$B$2,'Growth Scenarios'!$B$2:$D$2,0)+1)</f>
        <v>2.2136293471361803</v>
      </c>
      <c r="O15" s="21">
        <f ca="1">(1-'Electrification Scenario'!G21)*VLOOKUP(G$3,'Static Parameters'!$A$3:$B$9,2)*VLOOKUP($A15,'Growth Scenarios'!$E$3:$I$80,MATCH('Scenario Picker'!$B$3,'Growth Scenarios'!$F$2:$I$2,0)+1)/1000000000*VLOOKUP($A15,'Growth Scenarios'!$A$3:$D$80,MATCH('Scenario Picker'!$B$2,'Growth Scenarios'!$B$2:$D$2,0)+1)</f>
        <v>39.337222458364046</v>
      </c>
      <c r="P15" s="21">
        <f ca="1">(1-'Electrification Scenario'!H21)*VLOOKUP(H$3,'Static Parameters'!$A$3:$B$9,2)*VLOOKUP($A15,'Growth Scenarios'!$E$3:$I$80,MATCH('Scenario Picker'!$B$3,'Growth Scenarios'!$F$2:$I$2,0)+1)/1000000000*VLOOKUP($A15,'Growth Scenarios'!$A$3:$D$80,MATCH('Scenario Picker'!$B$2,'Growth Scenarios'!$B$2:$D$2,0)+1)</f>
        <v>85.727220387735386</v>
      </c>
      <c r="Q15" s="28">
        <f t="shared" ca="1" si="1"/>
        <v>201.17620127196358</v>
      </c>
      <c r="R15" s="28">
        <f t="shared" ca="1" si="2"/>
        <v>375.57724469979104</v>
      </c>
    </row>
    <row r="16" spans="1:18" ht="15" x14ac:dyDescent="0.35">
      <c r="A16" s="31">
        <v>2034</v>
      </c>
      <c r="B16" s="25">
        <f ca="1">'Electrification Scenario'!B22*(1-'Electrification Scenario'!B$8*('Electrification Scenario'!B22-'Electrification Scenario'!B$4)/('Electrification Scenario'!B$5-'Electrification Scenario'!B$4))*VLOOKUP(B$3,'Static Parameters'!$A$3:$B$9,2)*VLOOKUP($A16,'Growth Scenarios'!$E$3:$I$80,MATCH('Scenario Picker'!$B$3,'Growth Scenarios'!$F$2:$I$2,0)+1)/1000000000*VLOOKUP($A16,'Growth Scenarios'!$A$3:$D$80,MATCH('Scenario Picker'!$B$2,'Growth Scenarios'!$B$2:$D$2,0)+1)</f>
        <v>3.7616545500945988</v>
      </c>
      <c r="C16" s="21">
        <f ca="1">'Electrification Scenario'!C22*(1-'Electrification Scenario'!C$8*('Electrification Scenario'!C22-'Electrification Scenario'!C$4)/('Electrification Scenario'!C$5-'Electrification Scenario'!C$4))*VLOOKUP(C$3,'Static Parameters'!$A$3:$B$9,2)*VLOOKUP($A16,'Growth Scenarios'!$E$3:$I$80,MATCH('Scenario Picker'!$B$3,'Growth Scenarios'!$F$2:$I$2,0)+1)/1000000000*VLOOKUP($A16,'Growth Scenarios'!$A$3:$D$80,MATCH('Scenario Picker'!$B$2,'Growth Scenarios'!$B$2:$D$2,0)+1)</f>
        <v>23.233093065695382</v>
      </c>
      <c r="D16" s="21">
        <f ca="1">'Electrification Scenario'!D22*(1-'Electrification Scenario'!D$8*('Electrification Scenario'!D22-'Electrification Scenario'!D$4)/('Electrification Scenario'!D$5-'Electrification Scenario'!D$4))*VLOOKUP(D$3,'Static Parameters'!$A$3:$B$9,2)*VLOOKUP($A16,'Growth Scenarios'!$E$3:$I$80,MATCH('Scenario Picker'!$B$3,'Growth Scenarios'!$F$2:$I$2,0)+1)/1000000000*VLOOKUP($A16,'Growth Scenarios'!$A$3:$D$80,MATCH('Scenario Picker'!$B$2,'Growth Scenarios'!$B$2:$D$2,0)+1)</f>
        <v>0.11493944458622384</v>
      </c>
      <c r="E16" s="21">
        <f ca="1">'Electrification Scenario'!E22*(1-'Electrification Scenario'!E$8*('Electrification Scenario'!E22-'Electrification Scenario'!E$4)/('Electrification Scenario'!E$5-'Electrification Scenario'!E$4))*VLOOKUP(E$3,'Static Parameters'!$A$3:$B$9,2)*VLOOKUP($A16,'Growth Scenarios'!$E$3:$I$80,MATCH('Scenario Picker'!$B$3,'Growth Scenarios'!$F$2:$I$2,0)+1)/1000000000*VLOOKUP($A16,'Growth Scenarios'!$A$3:$D$80,MATCH('Scenario Picker'!$B$2,'Growth Scenarios'!$B$2:$D$2,0)+1)</f>
        <v>72.069818166340198</v>
      </c>
      <c r="F16" s="21">
        <f ca="1">'Electrification Scenario'!F22*(1-'Electrification Scenario'!F$8*('Electrification Scenario'!F22-'Electrification Scenario'!F$4)/('Electrification Scenario'!F$5-'Electrification Scenario'!F$4))*VLOOKUP(F$3,'Static Parameters'!$A$3:$B$9,2)*VLOOKUP($A16,'Growth Scenarios'!$E$3:$I$80,MATCH('Scenario Picker'!$B$3,'Growth Scenarios'!$F$2:$I$2,0)+1)/1000000000*VLOOKUP($A16,'Growth Scenarios'!$A$3:$D$80,MATCH('Scenario Picker'!$B$2,'Growth Scenarios'!$B$2:$D$2,0)+1)</f>
        <v>4.1566282778545309</v>
      </c>
      <c r="G16" s="21">
        <f ca="1">'Electrification Scenario'!G22*(1-'Electrification Scenario'!G$8*('Electrification Scenario'!G22-'Electrification Scenario'!G$4)/('Electrification Scenario'!G$5-'Electrification Scenario'!G$4))*VLOOKUP(G$3,'Static Parameters'!$A$3:$B$9,2)*VLOOKUP($A16,'Growth Scenarios'!$E$3:$I$80,MATCH('Scenario Picker'!$B$3,'Growth Scenarios'!$F$2:$I$2,0)+1)/1000000000*VLOOKUP($A16,'Growth Scenarios'!$A$3:$D$80,MATCH('Scenario Picker'!$B$2,'Growth Scenarios'!$B$2:$D$2,0)+1)</f>
        <v>47.647624301198242</v>
      </c>
      <c r="H16" s="21">
        <f ca="1">'Electrification Scenario'!H22*(1-'Electrification Scenario'!H$8*('Electrification Scenario'!H22-'Electrification Scenario'!H$4)/('Electrification Scenario'!H$5-'Electrification Scenario'!H$4))*VLOOKUP(H$3,'Static Parameters'!$A$3:$B$9,2)*VLOOKUP($A16,'Growth Scenarios'!$E$3:$I$80,MATCH('Scenario Picker'!$B$3,'Growth Scenarios'!$F$2:$I$2,0)+1)/1000000000*VLOOKUP($A16,'Growth Scenarios'!$A$3:$D$80,MATCH('Scenario Picker'!$B$2,'Growth Scenarios'!$B$2:$D$2,0)+1)</f>
        <v>31.047172325878819</v>
      </c>
      <c r="I16" s="28">
        <f t="shared" ca="1" si="0"/>
        <v>182.03093013164801</v>
      </c>
      <c r="J16" s="25">
        <f ca="1">(1-'Electrification Scenario'!B22)*VLOOKUP(B$3,'Static Parameters'!$A$3:$B$9,2)*VLOOKUP($A16,'Growth Scenarios'!$E$3:$I$80,MATCH('Scenario Picker'!$B$3,'Growth Scenarios'!$F$2:$I$2,0)+1)/1000000000*VLOOKUP($A16,'Growth Scenarios'!$A$3:$D$80,MATCH('Scenario Picker'!$B$2,'Growth Scenarios'!$B$2:$D$2,0)+1)</f>
        <v>5.3878413443931974</v>
      </c>
      <c r="K16" s="21">
        <f ca="1">(1-'Electrification Scenario'!C22)*VLOOKUP(C$3,'Static Parameters'!$A$3:$B$9,2)*VLOOKUP($A16,'Growth Scenarios'!$E$3:$I$80,MATCH('Scenario Picker'!$B$3,'Growth Scenarios'!$F$2:$I$2,0)+1)/1000000000*VLOOKUP($A16,'Growth Scenarios'!$A$3:$D$80,MATCH('Scenario Picker'!$B$2,'Growth Scenarios'!$B$2:$D$2,0)+1)</f>
        <v>9.4424202544111253</v>
      </c>
      <c r="L16" s="21">
        <f ca="1">(1-'Electrification Scenario'!D22)*VLOOKUP(D$3,'Static Parameters'!$A$3:$B$9,2)*VLOOKUP($A16,'Growth Scenarios'!$E$3:$I$80,MATCH('Scenario Picker'!$B$3,'Growth Scenarios'!$F$2:$I$2,0)+1)/1000000000*VLOOKUP($A16,'Growth Scenarios'!$A$3:$D$80,MATCH('Scenario Picker'!$B$2,'Growth Scenarios'!$B$2:$D$2,0)+1)</f>
        <v>0.27015306175982839</v>
      </c>
      <c r="M16" s="21">
        <f ca="1">(1-'Electrification Scenario'!E22)*VLOOKUP(E$3,'Static Parameters'!$A$3:$B$9,2)*VLOOKUP($A16,'Growth Scenarios'!$E$3:$I$80,MATCH('Scenario Picker'!$B$3,'Growth Scenarios'!$F$2:$I$2,0)+1)/1000000000*VLOOKUP($A16,'Growth Scenarios'!$A$3:$D$80,MATCH('Scenario Picker'!$B$2,'Growth Scenarios'!$B$2:$D$2,0)+1)</f>
        <v>54.624949087837315</v>
      </c>
      <c r="N16" s="21">
        <f ca="1">(1-'Electrification Scenario'!F22)*VLOOKUP(F$3,'Static Parameters'!$A$3:$B$9,2)*VLOOKUP($A16,'Growth Scenarios'!$E$3:$I$80,MATCH('Scenario Picker'!$B$3,'Growth Scenarios'!$F$2:$I$2,0)+1)/1000000000*VLOOKUP($A16,'Growth Scenarios'!$A$3:$D$80,MATCH('Scenario Picker'!$B$2,'Growth Scenarios'!$B$2:$D$2,0)+1)</f>
        <v>2.1863373139041884</v>
      </c>
      <c r="O16" s="21">
        <f ca="1">(1-'Electrification Scenario'!G22)*VLOOKUP(G$3,'Static Parameters'!$A$3:$B$9,2)*VLOOKUP($A16,'Growth Scenarios'!$E$3:$I$80,MATCH('Scenario Picker'!$B$3,'Growth Scenarios'!$F$2:$I$2,0)+1)/1000000000*VLOOKUP($A16,'Growth Scenarios'!$A$3:$D$80,MATCH('Scenario Picker'!$B$2,'Growth Scenarios'!$B$2:$D$2,0)+1)</f>
        <v>36.98433465219059</v>
      </c>
      <c r="P16" s="21">
        <f ca="1">(1-'Electrification Scenario'!H22)*VLOOKUP(H$3,'Static Parameters'!$A$3:$B$9,2)*VLOOKUP($A16,'Growth Scenarios'!$E$3:$I$80,MATCH('Scenario Picker'!$B$3,'Growth Scenarios'!$F$2:$I$2,0)+1)/1000000000*VLOOKUP($A16,'Growth Scenarios'!$A$3:$D$80,MATCH('Scenario Picker'!$B$2,'Growth Scenarios'!$B$2:$D$2,0)+1)</f>
        <v>82.503984066911414</v>
      </c>
      <c r="Q16" s="28">
        <f t="shared" ca="1" si="1"/>
        <v>191.40001978140765</v>
      </c>
      <c r="R16" s="28">
        <f t="shared" ca="1" si="2"/>
        <v>373.43094991305566</v>
      </c>
    </row>
    <row r="17" spans="1:18" ht="15" x14ac:dyDescent="0.35">
      <c r="A17" s="31">
        <v>2035</v>
      </c>
      <c r="B17" s="25">
        <f ca="1">'Electrification Scenario'!B23*(1-'Electrification Scenario'!B$8*('Electrification Scenario'!B23-'Electrification Scenario'!B$4)/('Electrification Scenario'!B$5-'Electrification Scenario'!B$4))*VLOOKUP(B$3,'Static Parameters'!$A$3:$B$9,2)*VLOOKUP($A17,'Growth Scenarios'!$E$3:$I$80,MATCH('Scenario Picker'!$B$3,'Growth Scenarios'!$F$2:$I$2,0)+1)/1000000000*VLOOKUP($A17,'Growth Scenarios'!$A$3:$D$80,MATCH('Scenario Picker'!$B$2,'Growth Scenarios'!$B$2:$D$2,0)+1)</f>
        <v>3.8353967771280111</v>
      </c>
      <c r="C17" s="21">
        <f ca="1">'Electrification Scenario'!C23*(1-'Electrification Scenario'!C$8*('Electrification Scenario'!C23-'Electrification Scenario'!C$4)/('Electrification Scenario'!C$5-'Electrification Scenario'!C$4))*VLOOKUP(C$3,'Static Parameters'!$A$3:$B$9,2)*VLOOKUP($A17,'Growth Scenarios'!$E$3:$I$80,MATCH('Scenario Picker'!$B$3,'Growth Scenarios'!$F$2:$I$2,0)+1)/1000000000*VLOOKUP($A17,'Growth Scenarios'!$A$3:$D$80,MATCH('Scenario Picker'!$B$2,'Growth Scenarios'!$B$2:$D$2,0)+1)</f>
        <v>23.666015584346788</v>
      </c>
      <c r="D17" s="21">
        <f ca="1">'Electrification Scenario'!D23*(1-'Electrification Scenario'!D$8*('Electrification Scenario'!D23-'Electrification Scenario'!D$4)/('Electrification Scenario'!D$5-'Electrification Scenario'!D$4))*VLOOKUP(D$3,'Static Parameters'!$A$3:$B$9,2)*VLOOKUP($A17,'Growth Scenarios'!$E$3:$I$80,MATCH('Scenario Picker'!$B$3,'Growth Scenarios'!$F$2:$I$2,0)+1)/1000000000*VLOOKUP($A17,'Growth Scenarios'!$A$3:$D$80,MATCH('Scenario Picker'!$B$2,'Growth Scenarios'!$B$2:$D$2,0)+1)</f>
        <v>0.12103324607199169</v>
      </c>
      <c r="E17" s="21">
        <f ca="1">'Electrification Scenario'!E23*(1-'Electrification Scenario'!E$8*('Electrification Scenario'!E23-'Electrification Scenario'!E$4)/('Electrification Scenario'!E$5-'Electrification Scenario'!E$4))*VLOOKUP(E$3,'Static Parameters'!$A$3:$B$9,2)*VLOOKUP($A17,'Growth Scenarios'!$E$3:$I$80,MATCH('Scenario Picker'!$B$3,'Growth Scenarios'!$F$2:$I$2,0)+1)/1000000000*VLOOKUP($A17,'Growth Scenarios'!$A$3:$D$80,MATCH('Scenario Picker'!$B$2,'Growth Scenarios'!$B$2:$D$2,0)+1)</f>
        <v>74.949491425143577</v>
      </c>
      <c r="F17" s="21">
        <f ca="1">'Electrification Scenario'!F23*(1-'Electrification Scenario'!F$8*('Electrification Scenario'!F23-'Electrification Scenario'!F$4)/('Electrification Scenario'!F$5-'Electrification Scenario'!F$4))*VLOOKUP(F$3,'Static Parameters'!$A$3:$B$9,2)*VLOOKUP($A17,'Growth Scenarios'!$E$3:$I$80,MATCH('Scenario Picker'!$B$3,'Growth Scenarios'!$F$2:$I$2,0)+1)/1000000000*VLOOKUP($A17,'Growth Scenarios'!$A$3:$D$80,MATCH('Scenario Picker'!$B$2,'Growth Scenarios'!$B$2:$D$2,0)+1)</f>
        <v>4.1622142379173717</v>
      </c>
      <c r="G17" s="21">
        <f ca="1">'Electrification Scenario'!G23*(1-'Electrification Scenario'!G$8*('Electrification Scenario'!G23-'Electrification Scenario'!G$4)/('Electrification Scenario'!G$5-'Electrification Scenario'!G$4))*VLOOKUP(G$3,'Static Parameters'!$A$3:$B$9,2)*VLOOKUP($A17,'Growth Scenarios'!$E$3:$I$80,MATCH('Scenario Picker'!$B$3,'Growth Scenarios'!$F$2:$I$2,0)+1)/1000000000*VLOOKUP($A17,'Growth Scenarios'!$A$3:$D$80,MATCH('Scenario Picker'!$B$2,'Growth Scenarios'!$B$2:$D$2,0)+1)</f>
        <v>49.604243413029096</v>
      </c>
      <c r="H17" s="21">
        <f ca="1">'Electrification Scenario'!H23*(1-'Electrification Scenario'!H$8*('Electrification Scenario'!H23-'Electrification Scenario'!H$4)/('Electrification Scenario'!H$5-'Electrification Scenario'!H$4))*VLOOKUP(H$3,'Static Parameters'!$A$3:$B$9,2)*VLOOKUP($A17,'Growth Scenarios'!$E$3:$I$80,MATCH('Scenario Picker'!$B$3,'Growth Scenarios'!$F$2:$I$2,0)+1)/1000000000*VLOOKUP($A17,'Growth Scenarios'!$A$3:$D$80,MATCH('Scenario Picker'!$B$2,'Growth Scenarios'!$B$2:$D$2,0)+1)</f>
        <v>33.037574339893069</v>
      </c>
      <c r="I17" s="28">
        <f t="shared" ca="1" si="0"/>
        <v>189.3759690235299</v>
      </c>
      <c r="J17" s="25">
        <f ca="1">(1-'Electrification Scenario'!B23)*VLOOKUP(B$3,'Static Parameters'!$A$3:$B$9,2)*VLOOKUP($A17,'Growth Scenarios'!$E$3:$I$80,MATCH('Scenario Picker'!$B$3,'Growth Scenarios'!$F$2:$I$2,0)+1)/1000000000*VLOOKUP($A17,'Growth Scenarios'!$A$3:$D$80,MATCH('Scenario Picker'!$B$2,'Growth Scenarios'!$B$2:$D$2,0)+1)</f>
        <v>5.294611859740062</v>
      </c>
      <c r="K17" s="21">
        <f ca="1">(1-'Electrification Scenario'!C23)*VLOOKUP(C$3,'Static Parameters'!$A$3:$B$9,2)*VLOOKUP($A17,'Growth Scenarios'!$E$3:$I$80,MATCH('Scenario Picker'!$B$3,'Growth Scenarios'!$F$2:$I$2,0)+1)/1000000000*VLOOKUP($A17,'Growth Scenarios'!$A$3:$D$80,MATCH('Scenario Picker'!$B$2,'Growth Scenarios'!$B$2:$D$2,0)+1)</f>
        <v>8.8341172523740337</v>
      </c>
      <c r="L17" s="21">
        <f ca="1">(1-'Electrification Scenario'!D23)*VLOOKUP(D$3,'Static Parameters'!$A$3:$B$9,2)*VLOOKUP($A17,'Growth Scenarios'!$E$3:$I$80,MATCH('Scenario Picker'!$B$3,'Growth Scenarios'!$F$2:$I$2,0)+1)/1000000000*VLOOKUP($A17,'Growth Scenarios'!$A$3:$D$80,MATCH('Scenario Picker'!$B$2,'Growth Scenarios'!$B$2:$D$2,0)+1)</f>
        <v>0.26332699602095849</v>
      </c>
      <c r="M17" s="21">
        <f ca="1">(1-'Electrification Scenario'!E23)*VLOOKUP(E$3,'Static Parameters'!$A$3:$B$9,2)*VLOOKUP($A17,'Growth Scenarios'!$E$3:$I$80,MATCH('Scenario Picker'!$B$3,'Growth Scenarios'!$F$2:$I$2,0)+1)/1000000000*VLOOKUP($A17,'Growth Scenarios'!$A$3:$D$80,MATCH('Scenario Picker'!$B$2,'Growth Scenarios'!$B$2:$D$2,0)+1)</f>
        <v>51.105880923006168</v>
      </c>
      <c r="N17" s="21">
        <f ca="1">(1-'Electrification Scenario'!F23)*VLOOKUP(F$3,'Static Parameters'!$A$3:$B$9,2)*VLOOKUP($A17,'Growth Scenarios'!$E$3:$I$80,MATCH('Scenario Picker'!$B$3,'Growth Scenarios'!$F$2:$I$2,0)+1)/1000000000*VLOOKUP($A17,'Growth Scenarios'!$A$3:$D$80,MATCH('Scenario Picker'!$B$2,'Growth Scenarios'!$B$2:$D$2,0)+1)</f>
        <v>2.1578777704058152</v>
      </c>
      <c r="O17" s="21">
        <f ca="1">(1-'Electrification Scenario'!G23)*VLOOKUP(G$3,'Static Parameters'!$A$3:$B$9,2)*VLOOKUP($A17,'Growth Scenarios'!$E$3:$I$80,MATCH('Scenario Picker'!$B$3,'Growth Scenarios'!$F$2:$I$2,0)+1)/1000000000*VLOOKUP($A17,'Growth Scenarios'!$A$3:$D$80,MATCH('Scenario Picker'!$B$2,'Growth Scenarios'!$B$2:$D$2,0)+1)</f>
        <v>34.601716510749355</v>
      </c>
      <c r="P17" s="21">
        <f ca="1">(1-'Electrification Scenario'!H23)*VLOOKUP(H$3,'Static Parameters'!$A$3:$B$9,2)*VLOOKUP($A17,'Growth Scenarios'!$E$3:$I$80,MATCH('Scenario Picker'!$B$3,'Growth Scenarios'!$F$2:$I$2,0)+1)/1000000000*VLOOKUP($A17,'Growth Scenarios'!$A$3:$D$80,MATCH('Scenario Picker'!$B$2,'Growth Scenarios'!$B$2:$D$2,0)+1)</f>
        <v>79.225115359056474</v>
      </c>
      <c r="Q17" s="28">
        <f t="shared" ca="1" si="1"/>
        <v>181.48264667135288</v>
      </c>
      <c r="R17" s="28">
        <f t="shared" ca="1" si="2"/>
        <v>370.85861569488281</v>
      </c>
    </row>
    <row r="18" spans="1:18" ht="15" x14ac:dyDescent="0.35">
      <c r="A18" s="31">
        <v>2036</v>
      </c>
      <c r="B18" s="25">
        <f ca="1">'Electrification Scenario'!B24*(1-'Electrification Scenario'!B$8*('Electrification Scenario'!B24-'Electrification Scenario'!B$4)/('Electrification Scenario'!B$5-'Electrification Scenario'!B$4))*VLOOKUP(B$3,'Static Parameters'!$A$3:$B$9,2)*VLOOKUP($A18,'Growth Scenarios'!$E$3:$I$80,MATCH('Scenario Picker'!$B$3,'Growth Scenarios'!$F$2:$I$2,0)+1)/1000000000*VLOOKUP($A18,'Growth Scenarios'!$A$3:$D$80,MATCH('Scenario Picker'!$B$2,'Growth Scenarios'!$B$2:$D$2,0)+1)</f>
        <v>3.9059780056212094</v>
      </c>
      <c r="C18" s="21">
        <f ca="1">'Electrification Scenario'!C24*(1-'Electrification Scenario'!C$8*('Electrification Scenario'!C24-'Electrification Scenario'!C$4)/('Electrification Scenario'!C$5-'Electrification Scenario'!C$4))*VLOOKUP(C$3,'Static Parameters'!$A$3:$B$9,2)*VLOOKUP($A18,'Growth Scenarios'!$E$3:$I$80,MATCH('Scenario Picker'!$B$3,'Growth Scenarios'!$F$2:$I$2,0)+1)/1000000000*VLOOKUP($A18,'Growth Scenarios'!$A$3:$D$80,MATCH('Scenario Picker'!$B$2,'Growth Scenarios'!$B$2:$D$2,0)+1)</f>
        <v>24.079710562126358</v>
      </c>
      <c r="D18" s="21">
        <f ca="1">'Electrification Scenario'!D24*(1-'Electrification Scenario'!D$8*('Electrification Scenario'!D24-'Electrification Scenario'!D$4)/('Electrification Scenario'!D$5-'Electrification Scenario'!D$4))*VLOOKUP(D$3,'Static Parameters'!$A$3:$B$9,2)*VLOOKUP($A18,'Growth Scenarios'!$E$3:$I$80,MATCH('Scenario Picker'!$B$3,'Growth Scenarios'!$F$2:$I$2,0)+1)/1000000000*VLOOKUP($A18,'Growth Scenarios'!$A$3:$D$80,MATCH('Scenario Picker'!$B$2,'Growth Scenarios'!$B$2:$D$2,0)+1)</f>
        <v>0.12698005421204481</v>
      </c>
      <c r="E18" s="21">
        <f ca="1">'Electrification Scenario'!E24*(1-'Electrification Scenario'!E$8*('Electrification Scenario'!E24-'Electrification Scenario'!E$4)/('Electrification Scenario'!E$5-'Electrification Scenario'!E$4))*VLOOKUP(E$3,'Static Parameters'!$A$3:$B$9,2)*VLOOKUP($A18,'Growth Scenarios'!$E$3:$I$80,MATCH('Scenario Picker'!$B$3,'Growth Scenarios'!$F$2:$I$2,0)+1)/1000000000*VLOOKUP($A18,'Growth Scenarios'!$A$3:$D$80,MATCH('Scenario Picker'!$B$2,'Growth Scenarios'!$B$2:$D$2,0)+1)</f>
        <v>77.749350658594693</v>
      </c>
      <c r="F18" s="21">
        <f ca="1">'Electrification Scenario'!F24*(1-'Electrification Scenario'!F$8*('Electrification Scenario'!F24-'Electrification Scenario'!F$4)/('Electrification Scenario'!F$5-'Electrification Scenario'!F$4))*VLOOKUP(F$3,'Static Parameters'!$A$3:$B$9,2)*VLOOKUP($A18,'Growth Scenarios'!$E$3:$I$80,MATCH('Scenario Picker'!$B$3,'Growth Scenarios'!$F$2:$I$2,0)+1)/1000000000*VLOOKUP($A18,'Growth Scenarios'!$A$3:$D$80,MATCH('Scenario Picker'!$B$2,'Growth Scenarios'!$B$2:$D$2,0)+1)</f>
        <v>4.1653034684486245</v>
      </c>
      <c r="G18" s="21">
        <f ca="1">'Electrification Scenario'!G24*(1-'Electrification Scenario'!G$8*('Electrification Scenario'!G24-'Electrification Scenario'!G$4)/('Electrification Scenario'!G$5-'Electrification Scenario'!G$4))*VLOOKUP(G$3,'Static Parameters'!$A$3:$B$9,2)*VLOOKUP($A18,'Growth Scenarios'!$E$3:$I$80,MATCH('Scenario Picker'!$B$3,'Growth Scenarios'!$F$2:$I$2,0)+1)/1000000000*VLOOKUP($A18,'Growth Scenarios'!$A$3:$D$80,MATCH('Scenario Picker'!$B$2,'Growth Scenarios'!$B$2:$D$2,0)+1)</f>
        <v>51.507402271928044</v>
      </c>
      <c r="H18" s="21">
        <f ca="1">'Electrification Scenario'!H24*(1-'Electrification Scenario'!H$8*('Electrification Scenario'!H24-'Electrification Scenario'!H$4)/('Electrification Scenario'!H$5-'Electrification Scenario'!H$4))*VLOOKUP(H$3,'Static Parameters'!$A$3:$B$9,2)*VLOOKUP($A18,'Growth Scenarios'!$E$3:$I$80,MATCH('Scenario Picker'!$B$3,'Growth Scenarios'!$F$2:$I$2,0)+1)/1000000000*VLOOKUP($A18,'Growth Scenarios'!$A$3:$D$80,MATCH('Scenario Picker'!$B$2,'Growth Scenarios'!$B$2:$D$2,0)+1)</f>
        <v>34.886726631403114</v>
      </c>
      <c r="I18" s="28">
        <f t="shared" ca="1" si="0"/>
        <v>196.4214516523341</v>
      </c>
      <c r="J18" s="25">
        <f ca="1">(1-'Electrification Scenario'!B24)*VLOOKUP(B$3,'Static Parameters'!$A$3:$B$9,2)*VLOOKUP($A18,'Growth Scenarios'!$E$3:$I$80,MATCH('Scenario Picker'!$B$3,'Growth Scenarios'!$F$2:$I$2,0)+1)/1000000000*VLOOKUP($A18,'Growth Scenarios'!$A$3:$D$80,MATCH('Scenario Picker'!$B$2,'Growth Scenarios'!$B$2:$D$2,0)+1)</f>
        <v>5.1984322663334783</v>
      </c>
      <c r="K18" s="21">
        <f ca="1">(1-'Electrification Scenario'!C24)*VLOOKUP(C$3,'Static Parameters'!$A$3:$B$9,2)*VLOOKUP($A18,'Growth Scenarios'!$E$3:$I$80,MATCH('Scenario Picker'!$B$3,'Growth Scenarios'!$F$2:$I$2,0)+1)/1000000000*VLOOKUP($A18,'Growth Scenarios'!$A$3:$D$80,MATCH('Scenario Picker'!$B$2,'Growth Scenarios'!$B$2:$D$2,0)+1)</f>
        <v>8.2189280785761696</v>
      </c>
      <c r="L18" s="21">
        <f ca="1">(1-'Electrification Scenario'!D24)*VLOOKUP(D$3,'Static Parameters'!$A$3:$B$9,2)*VLOOKUP($A18,'Growth Scenarios'!$E$3:$I$80,MATCH('Scenario Picker'!$B$3,'Growth Scenarios'!$F$2:$I$2,0)+1)/1000000000*VLOOKUP($A18,'Growth Scenarios'!$A$3:$D$80,MATCH('Scenario Picker'!$B$2,'Growth Scenarios'!$B$2:$D$2,0)+1)</f>
        <v>0.25634471038112333</v>
      </c>
      <c r="M18" s="21">
        <f ca="1">(1-'Electrification Scenario'!E24)*VLOOKUP(E$3,'Static Parameters'!$A$3:$B$9,2)*VLOOKUP($A18,'Growth Scenarios'!$E$3:$I$80,MATCH('Scenario Picker'!$B$3,'Growth Scenarios'!$F$2:$I$2,0)+1)/1000000000*VLOOKUP($A18,'Growth Scenarios'!$A$3:$D$80,MATCH('Scenario Picker'!$B$2,'Growth Scenarios'!$B$2:$D$2,0)+1)</f>
        <v>47.54697585495456</v>
      </c>
      <c r="N18" s="21">
        <f ca="1">(1-'Electrification Scenario'!F24)*VLOOKUP(F$3,'Static Parameters'!$A$3:$B$9,2)*VLOOKUP($A18,'Growth Scenarios'!$E$3:$I$80,MATCH('Scenario Picker'!$B$3,'Growth Scenarios'!$F$2:$I$2,0)+1)/1000000000*VLOOKUP($A18,'Growth Scenarios'!$A$3:$D$80,MATCH('Scenario Picker'!$B$2,'Growth Scenarios'!$B$2:$D$2,0)+1)</f>
        <v>2.128257246652582</v>
      </c>
      <c r="O18" s="21">
        <f ca="1">(1-'Electrification Scenario'!G24)*VLOOKUP(G$3,'Static Parameters'!$A$3:$B$9,2)*VLOOKUP($A18,'Growth Scenarios'!$E$3:$I$80,MATCH('Scenario Picker'!$B$3,'Growth Scenarios'!$F$2:$I$2,0)+1)/1000000000*VLOOKUP($A18,'Growth Scenarios'!$A$3:$D$80,MATCH('Scenario Picker'!$B$2,'Growth Scenarios'!$B$2:$D$2,0)+1)</f>
        <v>32.192126419955024</v>
      </c>
      <c r="P18" s="21">
        <f ca="1">(1-'Electrification Scenario'!H24)*VLOOKUP(H$3,'Static Parameters'!$A$3:$B$9,2)*VLOOKUP($A18,'Growth Scenarios'!$E$3:$I$80,MATCH('Scenario Picker'!$B$3,'Growth Scenarios'!$F$2:$I$2,0)+1)/1000000000*VLOOKUP($A18,'Growth Scenarios'!$A$3:$D$80,MATCH('Scenario Picker'!$B$2,'Growth Scenarios'!$B$2:$D$2,0)+1)</f>
        <v>75.893931619192728</v>
      </c>
      <c r="Q18" s="28">
        <f t="shared" ca="1" si="1"/>
        <v>171.43499619604566</v>
      </c>
      <c r="R18" s="28">
        <f t="shared" ca="1" si="2"/>
        <v>367.85644784837973</v>
      </c>
    </row>
    <row r="19" spans="1:18" ht="15" x14ac:dyDescent="0.35">
      <c r="A19" s="31">
        <v>2037</v>
      </c>
      <c r="B19" s="25">
        <f ca="1">'Electrification Scenario'!B25*(1-'Electrification Scenario'!B$8*('Electrification Scenario'!B25-'Electrification Scenario'!B$4)/('Electrification Scenario'!B$5-'Electrification Scenario'!B$4))*VLOOKUP(B$3,'Static Parameters'!$A$3:$B$9,2)*VLOOKUP($A19,'Growth Scenarios'!$E$3:$I$80,MATCH('Scenario Picker'!$B$3,'Growth Scenarios'!$F$2:$I$2,0)+1)/1000000000*VLOOKUP($A19,'Growth Scenarios'!$A$3:$D$80,MATCH('Scenario Picker'!$B$2,'Growth Scenarios'!$B$2:$D$2,0)+1)</f>
        <v>3.9732485070256778</v>
      </c>
      <c r="C19" s="21">
        <f ca="1">'Electrification Scenario'!C25*(1-'Electrification Scenario'!C$8*('Electrification Scenario'!C25-'Electrification Scenario'!C$4)/('Electrification Scenario'!C$5-'Electrification Scenario'!C$4))*VLOOKUP(C$3,'Static Parameters'!$A$3:$B$9,2)*VLOOKUP($A19,'Growth Scenarios'!$E$3:$I$80,MATCH('Scenario Picker'!$B$3,'Growth Scenarios'!$F$2:$I$2,0)+1)/1000000000*VLOOKUP($A19,'Growth Scenarios'!$A$3:$D$80,MATCH('Scenario Picker'!$B$2,'Growth Scenarios'!$B$2:$D$2,0)+1)</f>
        <v>24.473287558676315</v>
      </c>
      <c r="D19" s="21">
        <f ca="1">'Electrification Scenario'!D25*(1-'Electrification Scenario'!D$8*('Electrification Scenario'!D25-'Electrification Scenario'!D$4)/('Electrification Scenario'!D$5-'Electrification Scenario'!D$4))*VLOOKUP(D$3,'Static Parameters'!$A$3:$B$9,2)*VLOOKUP($A19,'Growth Scenarios'!$E$3:$I$80,MATCH('Scenario Picker'!$B$3,'Growth Scenarios'!$F$2:$I$2,0)+1)/1000000000*VLOOKUP($A19,'Growth Scenarios'!$A$3:$D$80,MATCH('Scenario Picker'!$B$2,'Growth Scenarios'!$B$2:$D$2,0)+1)</f>
        <v>0.132769442685264</v>
      </c>
      <c r="E19" s="21">
        <f ca="1">'Electrification Scenario'!E25*(1-'Electrification Scenario'!E$8*('Electrification Scenario'!E25-'Electrification Scenario'!E$4)/('Electrification Scenario'!E$5-'Electrification Scenario'!E$4))*VLOOKUP(E$3,'Static Parameters'!$A$3:$B$9,2)*VLOOKUP($A19,'Growth Scenarios'!$E$3:$I$80,MATCH('Scenario Picker'!$B$3,'Growth Scenarios'!$F$2:$I$2,0)+1)/1000000000*VLOOKUP($A19,'Growth Scenarios'!$A$3:$D$80,MATCH('Scenario Picker'!$B$2,'Growth Scenarios'!$B$2:$D$2,0)+1)</f>
        <v>80.464292406650813</v>
      </c>
      <c r="F19" s="21">
        <f ca="1">'Electrification Scenario'!F25*(1-'Electrification Scenario'!F$8*('Electrification Scenario'!F25-'Electrification Scenario'!F$4)/('Electrification Scenario'!F$5-'Electrification Scenario'!F$4))*VLOOKUP(F$3,'Static Parameters'!$A$3:$B$9,2)*VLOOKUP($A19,'Growth Scenarios'!$E$3:$I$80,MATCH('Scenario Picker'!$B$3,'Growth Scenarios'!$F$2:$I$2,0)+1)/1000000000*VLOOKUP($A19,'Growth Scenarios'!$A$3:$D$80,MATCH('Scenario Picker'!$B$2,'Growth Scenarios'!$B$2:$D$2,0)+1)</f>
        <v>4.1658461553654131</v>
      </c>
      <c r="G19" s="21">
        <f ca="1">'Electrification Scenario'!G25*(1-'Electrification Scenario'!G$8*('Electrification Scenario'!G25-'Electrification Scenario'!G$4)/('Electrification Scenario'!G$5-'Electrification Scenario'!G$4))*VLOOKUP(G$3,'Static Parameters'!$A$3:$B$9,2)*VLOOKUP($A19,'Growth Scenarios'!$E$3:$I$80,MATCH('Scenario Picker'!$B$3,'Growth Scenarios'!$F$2:$I$2,0)+1)/1000000000*VLOOKUP($A19,'Growth Scenarios'!$A$3:$D$80,MATCH('Scenario Picker'!$B$2,'Growth Scenarios'!$B$2:$D$2,0)+1)</f>
        <v>53.353646412411635</v>
      </c>
      <c r="H19" s="21">
        <f ca="1">'Electrification Scenario'!H25*(1-'Electrification Scenario'!H$8*('Electrification Scenario'!H25-'Electrification Scenario'!H$4)/('Electrification Scenario'!H$5-'Electrification Scenario'!H$4))*VLOOKUP(H$3,'Static Parameters'!$A$3:$B$9,2)*VLOOKUP($A19,'Growth Scenarios'!$E$3:$I$80,MATCH('Scenario Picker'!$B$3,'Growth Scenarios'!$F$2:$I$2,0)+1)/1000000000*VLOOKUP($A19,'Growth Scenarios'!$A$3:$D$80,MATCH('Scenario Picker'!$B$2,'Growth Scenarios'!$B$2:$D$2,0)+1)</f>
        <v>36.590868404418693</v>
      </c>
      <c r="I19" s="28">
        <f t="shared" ca="1" si="0"/>
        <v>203.15395888723381</v>
      </c>
      <c r="J19" s="25">
        <f ca="1">(1-'Electrification Scenario'!B25)*VLOOKUP(B$3,'Static Parameters'!$A$3:$B$9,2)*VLOOKUP($A19,'Growth Scenarios'!$E$3:$I$80,MATCH('Scenario Picker'!$B$3,'Growth Scenarios'!$F$2:$I$2,0)+1)/1000000000*VLOOKUP($A19,'Growth Scenarios'!$A$3:$D$80,MATCH('Scenario Picker'!$B$2,'Growth Scenarios'!$B$2:$D$2,0)+1)</f>
        <v>5.0993865981543287</v>
      </c>
      <c r="K19" s="21">
        <f ca="1">(1-'Electrification Scenario'!C25)*VLOOKUP(C$3,'Static Parameters'!$A$3:$B$9,2)*VLOOKUP($A19,'Growth Scenarios'!$E$3:$I$80,MATCH('Scenario Picker'!$B$3,'Growth Scenarios'!$F$2:$I$2,0)+1)/1000000000*VLOOKUP($A19,'Growth Scenarios'!$A$3:$D$80,MATCH('Scenario Picker'!$B$2,'Growth Scenarios'!$B$2:$D$2,0)+1)</f>
        <v>7.5976451620916112</v>
      </c>
      <c r="L19" s="21">
        <f ca="1">(1-'Electrification Scenario'!D25)*VLOOKUP(D$3,'Static Parameters'!$A$3:$B$9,2)*VLOOKUP($A19,'Growth Scenarios'!$E$3:$I$80,MATCH('Scenario Picker'!$B$3,'Growth Scenarios'!$F$2:$I$2,0)+1)/1000000000*VLOOKUP($A19,'Growth Scenarios'!$A$3:$D$80,MATCH('Scenario Picker'!$B$2,'Growth Scenarios'!$B$2:$D$2,0)+1)</f>
        <v>0.24921353811825311</v>
      </c>
      <c r="M19" s="21">
        <f ca="1">(1-'Electrification Scenario'!E25)*VLOOKUP(E$3,'Static Parameters'!$A$3:$B$9,2)*VLOOKUP($A19,'Growth Scenarios'!$E$3:$I$80,MATCH('Scenario Picker'!$B$3,'Growth Scenarios'!$F$2:$I$2,0)+1)/1000000000*VLOOKUP($A19,'Growth Scenarios'!$A$3:$D$80,MATCH('Scenario Picker'!$B$2,'Growth Scenarios'!$B$2:$D$2,0)+1)</f>
        <v>43.952818131858301</v>
      </c>
      <c r="N19" s="21">
        <f ca="1">(1-'Electrification Scenario'!F25)*VLOOKUP(F$3,'Static Parameters'!$A$3:$B$9,2)*VLOOKUP($A19,'Growth Scenarios'!$E$3:$I$80,MATCH('Scenario Picker'!$B$3,'Growth Scenarios'!$F$2:$I$2,0)+1)/1000000000*VLOOKUP($A19,'Growth Scenarios'!$A$3:$D$80,MATCH('Scenario Picker'!$B$2,'Growth Scenarios'!$B$2:$D$2,0)+1)</f>
        <v>2.0974962526390075</v>
      </c>
      <c r="O19" s="21">
        <f ca="1">(1-'Electrification Scenario'!G25)*VLOOKUP(G$3,'Static Parameters'!$A$3:$B$9,2)*VLOOKUP($A19,'Growth Scenarios'!$E$3:$I$80,MATCH('Scenario Picker'!$B$3,'Growth Scenarios'!$F$2:$I$2,0)+1)/1000000000*VLOOKUP($A19,'Growth Scenarios'!$A$3:$D$80,MATCH('Scenario Picker'!$B$2,'Growth Scenarios'!$B$2:$D$2,0)+1)</f>
        <v>29.758668188076417</v>
      </c>
      <c r="P19" s="21">
        <f ca="1">(1-'Electrification Scenario'!H25)*VLOOKUP(H$3,'Static Parameters'!$A$3:$B$9,2)*VLOOKUP($A19,'Growth Scenarios'!$E$3:$I$80,MATCH('Scenario Picker'!$B$3,'Growth Scenarios'!$F$2:$I$2,0)+1)/1000000000*VLOOKUP($A19,'Growth Scenarios'!$A$3:$D$80,MATCH('Scenario Picker'!$B$2,'Growth Scenarios'!$B$2:$D$2,0)+1)</f>
        <v>72.514404091381422</v>
      </c>
      <c r="Q19" s="28">
        <f t="shared" ca="1" si="1"/>
        <v>161.26963196231935</v>
      </c>
      <c r="R19" s="28">
        <f t="shared" ca="1" si="2"/>
        <v>364.42359084955319</v>
      </c>
    </row>
    <row r="20" spans="1:18" ht="15" x14ac:dyDescent="0.35">
      <c r="A20" s="31">
        <v>2038</v>
      </c>
      <c r="B20" s="25">
        <f ca="1">'Electrification Scenario'!B26*(1-'Electrification Scenario'!B$8*('Electrification Scenario'!B26-'Electrification Scenario'!B$4)/('Electrification Scenario'!B$5-'Electrification Scenario'!B$4))*VLOOKUP(B$3,'Static Parameters'!$A$3:$B$9,2)*VLOOKUP($A20,'Growth Scenarios'!$E$3:$I$80,MATCH('Scenario Picker'!$B$3,'Growth Scenarios'!$F$2:$I$2,0)+1)/1000000000*VLOOKUP($A20,'Growth Scenarios'!$A$3:$D$80,MATCH('Scenario Picker'!$B$2,'Growth Scenarios'!$B$2:$D$2,0)+1)</f>
        <v>4.0370272225646229</v>
      </c>
      <c r="C20" s="21">
        <f ca="1">'Electrification Scenario'!C26*(1-'Electrification Scenario'!C$8*('Electrification Scenario'!C26-'Electrification Scenario'!C$4)/('Electrification Scenario'!C$5-'Electrification Scenario'!C$4))*VLOOKUP(C$3,'Static Parameters'!$A$3:$B$9,2)*VLOOKUP($A20,'Growth Scenarios'!$E$3:$I$80,MATCH('Scenario Picker'!$B$3,'Growth Scenarios'!$F$2:$I$2,0)+1)/1000000000*VLOOKUP($A20,'Growth Scenarios'!$A$3:$D$80,MATCH('Scenario Picker'!$B$2,'Growth Scenarios'!$B$2:$D$2,0)+1)</f>
        <v>24.845663376476825</v>
      </c>
      <c r="D20" s="21">
        <f ca="1">'Electrification Scenario'!D26*(1-'Electrification Scenario'!D$8*('Electrification Scenario'!D26-'Electrification Scenario'!D$4)/('Electrification Scenario'!D$5-'Electrification Scenario'!D$4))*VLOOKUP(D$3,'Static Parameters'!$A$3:$B$9,2)*VLOOKUP($A20,'Growth Scenarios'!$E$3:$I$80,MATCH('Scenario Picker'!$B$3,'Growth Scenarios'!$F$2:$I$2,0)+1)/1000000000*VLOOKUP($A20,'Growth Scenarios'!$A$3:$D$80,MATCH('Scenario Picker'!$B$2,'Growth Scenarios'!$B$2:$D$2,0)+1)</f>
        <v>0.13838990042433791</v>
      </c>
      <c r="E20" s="21">
        <f ca="1">'Electrification Scenario'!E26*(1-'Electrification Scenario'!E$8*('Electrification Scenario'!E26-'Electrification Scenario'!E$4)/('Electrification Scenario'!E$5-'Electrification Scenario'!E$4))*VLOOKUP(E$3,'Static Parameters'!$A$3:$B$9,2)*VLOOKUP($A20,'Growth Scenarios'!$E$3:$I$80,MATCH('Scenario Picker'!$B$3,'Growth Scenarios'!$F$2:$I$2,0)+1)/1000000000*VLOOKUP($A20,'Growth Scenarios'!$A$3:$D$80,MATCH('Scenario Picker'!$B$2,'Growth Scenarios'!$B$2:$D$2,0)+1)</f>
        <v>83.08856427994165</v>
      </c>
      <c r="F20" s="21">
        <f ca="1">'Electrification Scenario'!F26*(1-'Electrification Scenario'!F$8*('Electrification Scenario'!F26-'Electrification Scenario'!F$4)/('Electrification Scenario'!F$5-'Electrification Scenario'!F$4))*VLOOKUP(F$3,'Static Parameters'!$A$3:$B$9,2)*VLOOKUP($A20,'Growth Scenarios'!$E$3:$I$80,MATCH('Scenario Picker'!$B$3,'Growth Scenarios'!$F$2:$I$2,0)+1)/1000000000*VLOOKUP($A20,'Growth Scenarios'!$A$3:$D$80,MATCH('Scenario Picker'!$B$2,'Growth Scenarios'!$B$2:$D$2,0)+1)</f>
        <v>4.1637603830903398</v>
      </c>
      <c r="G20" s="21">
        <f ca="1">'Electrification Scenario'!G26*(1-'Electrification Scenario'!G$8*('Electrification Scenario'!G26-'Electrification Scenario'!G$4)/('Electrification Scenario'!G$5-'Electrification Scenario'!G$4))*VLOOKUP(G$3,'Static Parameters'!$A$3:$B$9,2)*VLOOKUP($A20,'Growth Scenarios'!$E$3:$I$80,MATCH('Scenario Picker'!$B$3,'Growth Scenarios'!$F$2:$I$2,0)+1)/1000000000*VLOOKUP($A20,'Growth Scenarios'!$A$3:$D$80,MATCH('Scenario Picker'!$B$2,'Growth Scenarios'!$B$2:$D$2,0)+1)</f>
        <v>55.139090590225919</v>
      </c>
      <c r="H20" s="21">
        <f ca="1">'Electrification Scenario'!H26*(1-'Electrification Scenario'!H$8*('Electrification Scenario'!H26-'Electrification Scenario'!H$4)/('Electrification Scenario'!H$5-'Electrification Scenario'!H$4))*VLOOKUP(H$3,'Static Parameters'!$A$3:$B$9,2)*VLOOKUP($A20,'Growth Scenarios'!$E$3:$I$80,MATCH('Scenario Picker'!$B$3,'Growth Scenarios'!$F$2:$I$2,0)+1)/1000000000*VLOOKUP($A20,'Growth Scenarios'!$A$3:$D$80,MATCH('Scenario Picker'!$B$2,'Growth Scenarios'!$B$2:$D$2,0)+1)</f>
        <v>38.146227542218149</v>
      </c>
      <c r="I20" s="28">
        <f t="shared" ca="1" si="0"/>
        <v>209.55872329494184</v>
      </c>
      <c r="J20" s="25">
        <f ca="1">(1-'Electrification Scenario'!B26)*VLOOKUP(B$3,'Static Parameters'!$A$3:$B$9,2)*VLOOKUP($A20,'Growth Scenarios'!$E$3:$I$80,MATCH('Scenario Picker'!$B$3,'Growth Scenarios'!$F$2:$I$2,0)+1)/1000000000*VLOOKUP($A20,'Growth Scenarios'!$A$3:$D$80,MATCH('Scenario Picker'!$B$2,'Growth Scenarios'!$B$2:$D$2,0)+1)</f>
        <v>4.9975237319867718</v>
      </c>
      <c r="K20" s="21">
        <f ca="1">(1-'Electrification Scenario'!C26)*VLOOKUP(C$3,'Static Parameters'!$A$3:$B$9,2)*VLOOKUP($A20,'Growth Scenarios'!$E$3:$I$80,MATCH('Scenario Picker'!$B$3,'Growth Scenarios'!$F$2:$I$2,0)+1)/1000000000*VLOOKUP($A20,'Growth Scenarios'!$A$3:$D$80,MATCH('Scenario Picker'!$B$2,'Growth Scenarios'!$B$2:$D$2,0)+1)</f>
        <v>6.9710369055209167</v>
      </c>
      <c r="L20" s="21">
        <f ca="1">(1-'Electrification Scenario'!D26)*VLOOKUP(D$3,'Static Parameters'!$A$3:$B$9,2)*VLOOKUP($A20,'Growth Scenarios'!$E$3:$I$80,MATCH('Scenario Picker'!$B$3,'Growth Scenarios'!$F$2:$I$2,0)+1)/1000000000*VLOOKUP($A20,'Growth Scenarios'!$A$3:$D$80,MATCH('Scenario Picker'!$B$2,'Growth Scenarios'!$B$2:$D$2,0)+1)</f>
        <v>0.24193923144490778</v>
      </c>
      <c r="M20" s="21">
        <f ca="1">(1-'Electrification Scenario'!E26)*VLOOKUP(E$3,'Static Parameters'!$A$3:$B$9,2)*VLOOKUP($A20,'Growth Scenarios'!$E$3:$I$80,MATCH('Scenario Picker'!$B$3,'Growth Scenarios'!$F$2:$I$2,0)+1)/1000000000*VLOOKUP($A20,'Growth Scenarios'!$A$3:$D$80,MATCH('Scenario Picker'!$B$2,'Growth Scenarios'!$B$2:$D$2,0)+1)</f>
        <v>40.327853007349844</v>
      </c>
      <c r="N20" s="21">
        <f ca="1">(1-'Electrification Scenario'!F26)*VLOOKUP(F$3,'Static Parameters'!$A$3:$B$9,2)*VLOOKUP($A20,'Growth Scenarios'!$E$3:$I$80,MATCH('Scenario Picker'!$B$3,'Growth Scenarios'!$F$2:$I$2,0)+1)/1000000000*VLOOKUP($A20,'Growth Scenarios'!$A$3:$D$80,MATCH('Scenario Picker'!$B$2,'Growth Scenarios'!$B$2:$D$2,0)+1)</f>
        <v>2.0656002400942386</v>
      </c>
      <c r="O20" s="21">
        <f ca="1">(1-'Electrification Scenario'!G26)*VLOOKUP(G$3,'Static Parameters'!$A$3:$B$9,2)*VLOOKUP($A20,'Growth Scenarios'!$E$3:$I$80,MATCH('Scenario Picker'!$B$3,'Growth Scenarios'!$F$2:$I$2,0)+1)/1000000000*VLOOKUP($A20,'Growth Scenarios'!$A$3:$D$80,MATCH('Scenario Picker'!$B$2,'Growth Scenarios'!$B$2:$D$2,0)+1)</f>
        <v>27.304351515821764</v>
      </c>
      <c r="P20" s="21">
        <f ca="1">(1-'Electrification Scenario'!H26)*VLOOKUP(H$3,'Static Parameters'!$A$3:$B$9,2)*VLOOKUP($A20,'Growth Scenarios'!$E$3:$I$80,MATCH('Scenario Picker'!$B$3,'Growth Scenarios'!$F$2:$I$2,0)+1)/1000000000*VLOOKUP($A20,'Growth Scenarios'!$A$3:$D$80,MATCH('Scenario Picker'!$B$2,'Growth Scenarios'!$B$2:$D$2,0)+1)</f>
        <v>69.090122057812692</v>
      </c>
      <c r="Q20" s="28">
        <f t="shared" ca="1" si="1"/>
        <v>150.99842669003112</v>
      </c>
      <c r="R20" s="28">
        <f t="shared" ca="1" si="2"/>
        <v>360.55714998497297</v>
      </c>
    </row>
    <row r="21" spans="1:18" ht="15" x14ac:dyDescent="0.35">
      <c r="A21" s="31">
        <v>2039</v>
      </c>
      <c r="B21" s="25">
        <f ca="1">'Electrification Scenario'!B27*(1-'Electrification Scenario'!B$8*('Electrification Scenario'!B27-'Electrification Scenario'!B$4)/('Electrification Scenario'!B$5-'Electrification Scenario'!B$4))*VLOOKUP(B$3,'Static Parameters'!$A$3:$B$9,2)*VLOOKUP($A21,'Growth Scenarios'!$E$3:$I$80,MATCH('Scenario Picker'!$B$3,'Growth Scenarios'!$F$2:$I$2,0)+1)/1000000000*VLOOKUP($A21,'Growth Scenarios'!$A$3:$D$80,MATCH('Scenario Picker'!$B$2,'Growth Scenarios'!$B$2:$D$2,0)+1)</f>
        <v>4.0972017698815941</v>
      </c>
      <c r="C21" s="21">
        <f ca="1">'Electrification Scenario'!C27*(1-'Electrification Scenario'!C$8*('Electrification Scenario'!C27-'Electrification Scenario'!C$4)/('Electrification Scenario'!C$5-'Electrification Scenario'!C$4))*VLOOKUP(C$3,'Static Parameters'!$A$3:$B$9,2)*VLOOKUP($A21,'Growth Scenarios'!$E$3:$I$80,MATCH('Scenario Picker'!$B$3,'Growth Scenarios'!$F$2:$I$2,0)+1)/1000000000*VLOOKUP($A21,'Growth Scenarios'!$A$3:$D$80,MATCH('Scenario Picker'!$B$2,'Growth Scenarios'!$B$2:$D$2,0)+1)</f>
        <v>25.196177813208855</v>
      </c>
      <c r="D21" s="21">
        <f ca="1">'Electrification Scenario'!D27*(1-'Electrification Scenario'!D$8*('Electrification Scenario'!D27-'Electrification Scenario'!D$4)/('Electrification Scenario'!D$5-'Electrification Scenario'!D$4))*VLOOKUP(D$3,'Static Parameters'!$A$3:$B$9,2)*VLOOKUP($A21,'Growth Scenarios'!$E$3:$I$80,MATCH('Scenario Picker'!$B$3,'Growth Scenarios'!$F$2:$I$2,0)+1)/1000000000*VLOOKUP($A21,'Growth Scenarios'!$A$3:$D$80,MATCH('Scenario Picker'!$B$2,'Growth Scenarios'!$B$2:$D$2,0)+1)</f>
        <v>0.14383221436264124</v>
      </c>
      <c r="E21" s="21">
        <f ca="1">'Electrification Scenario'!E27*(1-'Electrification Scenario'!E$8*('Electrification Scenario'!E27-'Electrification Scenario'!E$4)/('Electrification Scenario'!E$5-'Electrification Scenario'!E$4))*VLOOKUP(E$3,'Static Parameters'!$A$3:$B$9,2)*VLOOKUP($A21,'Growth Scenarios'!$E$3:$I$80,MATCH('Scenario Picker'!$B$3,'Growth Scenarios'!$F$2:$I$2,0)+1)/1000000000*VLOOKUP($A21,'Growth Scenarios'!$A$3:$D$80,MATCH('Scenario Picker'!$B$2,'Growth Scenarios'!$B$2:$D$2,0)+1)</f>
        <v>85.61780588224029</v>
      </c>
      <c r="F21" s="21">
        <f ca="1">'Electrification Scenario'!F27*(1-'Electrification Scenario'!F$8*('Electrification Scenario'!F27-'Electrification Scenario'!F$4)/('Electrification Scenario'!F$5-'Electrification Scenario'!F$4))*VLOOKUP(F$3,'Static Parameters'!$A$3:$B$9,2)*VLOOKUP($A21,'Growth Scenarios'!$E$3:$I$80,MATCH('Scenario Picker'!$B$3,'Growth Scenarios'!$F$2:$I$2,0)+1)/1000000000*VLOOKUP($A21,'Growth Scenarios'!$A$3:$D$80,MATCH('Scenario Picker'!$B$2,'Growth Scenarios'!$B$2:$D$2,0)+1)</f>
        <v>4.159036179794505</v>
      </c>
      <c r="G21" s="21">
        <f ca="1">'Electrification Scenario'!G27*(1-'Electrification Scenario'!G$8*('Electrification Scenario'!G27-'Electrification Scenario'!G$4)/('Electrification Scenario'!G$5-'Electrification Scenario'!G$4))*VLOOKUP(G$3,'Static Parameters'!$A$3:$B$9,2)*VLOOKUP($A21,'Growth Scenarios'!$E$3:$I$80,MATCH('Scenario Picker'!$B$3,'Growth Scenarios'!$F$2:$I$2,0)+1)/1000000000*VLOOKUP($A21,'Growth Scenarios'!$A$3:$D$80,MATCH('Scenario Picker'!$B$2,'Growth Scenarios'!$B$2:$D$2,0)+1)</f>
        <v>56.860772593829218</v>
      </c>
      <c r="H21" s="21">
        <f ca="1">'Electrification Scenario'!H27*(1-'Electrification Scenario'!H$8*('Electrification Scenario'!H27-'Electrification Scenario'!H$4)/('Electrification Scenario'!H$5-'Electrification Scenario'!H$4))*VLOOKUP(H$3,'Static Parameters'!$A$3:$B$9,2)*VLOOKUP($A21,'Growth Scenarios'!$E$3:$I$80,MATCH('Scenario Picker'!$B$3,'Growth Scenarios'!$F$2:$I$2,0)+1)/1000000000*VLOOKUP($A21,'Growth Scenarios'!$A$3:$D$80,MATCH('Scenario Picker'!$B$2,'Growth Scenarios'!$B$2:$D$2,0)+1)</f>
        <v>39.549967768324493</v>
      </c>
      <c r="I21" s="28">
        <f t="shared" ca="1" si="0"/>
        <v>215.62479422164159</v>
      </c>
      <c r="J21" s="25">
        <f ca="1">(1-'Electrification Scenario'!B27)*VLOOKUP(B$3,'Static Parameters'!$A$3:$B$9,2)*VLOOKUP($A21,'Growth Scenarios'!$E$3:$I$80,MATCH('Scenario Picker'!$B$3,'Growth Scenarios'!$F$2:$I$2,0)+1)/1000000000*VLOOKUP($A21,'Growth Scenarios'!$A$3:$D$80,MATCH('Scenario Picker'!$B$2,'Growth Scenarios'!$B$2:$D$2,0)+1)</f>
        <v>4.892983740934711</v>
      </c>
      <c r="K21" s="21">
        <f ca="1">(1-'Electrification Scenario'!C27)*VLOOKUP(C$3,'Static Parameters'!$A$3:$B$9,2)*VLOOKUP($A21,'Growth Scenarios'!$E$3:$I$80,MATCH('Scenario Picker'!$B$3,'Growth Scenarios'!$F$2:$I$2,0)+1)/1000000000*VLOOKUP($A21,'Growth Scenarios'!$A$3:$D$80,MATCH('Scenario Picker'!$B$2,'Growth Scenarios'!$B$2:$D$2,0)+1)</f>
        <v>6.3400315640682869</v>
      </c>
      <c r="L21" s="21">
        <f ca="1">(1-'Electrification Scenario'!D27)*VLOOKUP(D$3,'Static Parameters'!$A$3:$B$9,2)*VLOOKUP($A21,'Growth Scenarios'!$E$3:$I$80,MATCH('Scenario Picker'!$B$3,'Growth Scenarios'!$F$2:$I$2,0)+1)/1000000000*VLOOKUP($A21,'Growth Scenarios'!$A$3:$D$80,MATCH('Scenario Picker'!$B$2,'Growth Scenarios'!$B$2:$D$2,0)+1)</f>
        <v>0.23453211540194577</v>
      </c>
      <c r="M21" s="21">
        <f ca="1">(1-'Electrification Scenario'!E27)*VLOOKUP(E$3,'Static Parameters'!$A$3:$B$9,2)*VLOOKUP($A21,'Growth Scenarios'!$E$3:$I$80,MATCH('Scenario Picker'!$B$3,'Growth Scenarios'!$F$2:$I$2,0)+1)/1000000000*VLOOKUP($A21,'Growth Scenarios'!$A$3:$D$80,MATCH('Scenario Picker'!$B$2,'Growth Scenarios'!$B$2:$D$2,0)+1)</f>
        <v>36.677450491649388</v>
      </c>
      <c r="N21" s="21">
        <f ca="1">(1-'Electrification Scenario'!F27)*VLOOKUP(F$3,'Static Parameters'!$A$3:$B$9,2)*VLOOKUP($A21,'Growth Scenarios'!$E$3:$I$80,MATCH('Scenario Picker'!$B$3,'Growth Scenarios'!$F$2:$I$2,0)+1)/1000000000*VLOOKUP($A21,'Growth Scenarios'!$A$3:$D$80,MATCH('Scenario Picker'!$B$2,'Growth Scenarios'!$B$2:$D$2,0)+1)</f>
        <v>2.0326116668168637</v>
      </c>
      <c r="O21" s="21">
        <f ca="1">(1-'Electrification Scenario'!G27)*VLOOKUP(G$3,'Static Parameters'!$A$3:$B$9,2)*VLOOKUP($A21,'Growth Scenarios'!$E$3:$I$80,MATCH('Scenario Picker'!$B$3,'Growth Scenarios'!$F$2:$I$2,0)+1)/1000000000*VLOOKUP($A21,'Growth Scenarios'!$A$3:$D$80,MATCH('Scenario Picker'!$B$2,'Growth Scenarios'!$B$2:$D$2,0)+1)</f>
        <v>24.832812219029542</v>
      </c>
      <c r="P21" s="21">
        <f ca="1">(1-'Electrification Scenario'!H27)*VLOOKUP(H$3,'Static Parameters'!$A$3:$B$9,2)*VLOOKUP($A21,'Growth Scenarios'!$E$3:$I$80,MATCH('Scenario Picker'!$B$3,'Growth Scenarios'!$F$2:$I$2,0)+1)/1000000000*VLOOKUP($A21,'Growth Scenarios'!$A$3:$D$80,MATCH('Scenario Picker'!$B$2,'Growth Scenarios'!$B$2:$D$2,0)+1)</f>
        <v>65.626071402536596</v>
      </c>
      <c r="Q21" s="28">
        <f t="shared" ca="1" si="1"/>
        <v>140.63649320043731</v>
      </c>
      <c r="R21" s="28">
        <f t="shared" ca="1" si="2"/>
        <v>356.26128742207891</v>
      </c>
    </row>
    <row r="22" spans="1:18" ht="15" x14ac:dyDescent="0.35">
      <c r="A22" s="31">
        <v>2040</v>
      </c>
      <c r="B22" s="25">
        <f ca="1">'Electrification Scenario'!B28*(1-'Electrification Scenario'!B$8*('Electrification Scenario'!B28-'Electrification Scenario'!B$4)/('Electrification Scenario'!B$5-'Electrification Scenario'!B$4))*VLOOKUP(B$3,'Static Parameters'!$A$3:$B$9,2)*VLOOKUP($A22,'Growth Scenarios'!$E$3:$I$80,MATCH('Scenario Picker'!$B$3,'Growth Scenarios'!$F$2:$I$2,0)+1)/1000000000*VLOOKUP($A22,'Growth Scenarios'!$A$3:$D$80,MATCH('Scenario Picker'!$B$2,'Growth Scenarios'!$B$2:$D$2,0)+1)</f>
        <v>4.1536220422195615</v>
      </c>
      <c r="C22" s="21">
        <f ca="1">'Electrification Scenario'!C28*(1-'Electrification Scenario'!C$8*('Electrification Scenario'!C28-'Electrification Scenario'!C$4)/('Electrification Scenario'!C$5-'Electrification Scenario'!C$4))*VLOOKUP(C$3,'Static Parameters'!$A$3:$B$9,2)*VLOOKUP($A22,'Growth Scenarios'!$E$3:$I$80,MATCH('Scenario Picker'!$B$3,'Growth Scenarios'!$F$2:$I$2,0)+1)/1000000000*VLOOKUP($A22,'Growth Scenarios'!$A$3:$D$80,MATCH('Scenario Picker'!$B$2,'Growth Scenarios'!$B$2:$D$2,0)+1)</f>
        <v>25.523938169112615</v>
      </c>
      <c r="D22" s="21">
        <f ca="1">'Electrification Scenario'!D28*(1-'Electrification Scenario'!D$8*('Electrification Scenario'!D28-'Electrification Scenario'!D$4)/('Electrification Scenario'!D$5-'Electrification Scenario'!D$4))*VLOOKUP(D$3,'Static Parameters'!$A$3:$B$9,2)*VLOOKUP($A22,'Growth Scenarios'!$E$3:$I$80,MATCH('Scenario Picker'!$B$3,'Growth Scenarios'!$F$2:$I$2,0)+1)/1000000000*VLOOKUP($A22,'Growth Scenarios'!$A$3:$D$80,MATCH('Scenario Picker'!$B$2,'Growth Scenarios'!$B$2:$D$2,0)+1)</f>
        <v>0.14908593357851199</v>
      </c>
      <c r="E22" s="21">
        <f ca="1">'Electrification Scenario'!E28*(1-'Electrification Scenario'!E$8*('Electrification Scenario'!E28-'Electrification Scenario'!E$4)/('Electrification Scenario'!E$5-'Electrification Scenario'!E$4))*VLOOKUP(E$3,'Static Parameters'!$A$3:$B$9,2)*VLOOKUP($A22,'Growth Scenarios'!$E$3:$I$80,MATCH('Scenario Picker'!$B$3,'Growth Scenarios'!$F$2:$I$2,0)+1)/1000000000*VLOOKUP($A22,'Growth Scenarios'!$A$3:$D$80,MATCH('Scenario Picker'!$B$2,'Growth Scenarios'!$B$2:$D$2,0)+1)</f>
        <v>88.046901525375077</v>
      </c>
      <c r="F22" s="21">
        <f ca="1">'Electrification Scenario'!F28*(1-'Electrification Scenario'!F$8*('Electrification Scenario'!F28-'Electrification Scenario'!F$4)/('Electrification Scenario'!F$5-'Electrification Scenario'!F$4))*VLOOKUP(F$3,'Static Parameters'!$A$3:$B$9,2)*VLOOKUP($A22,'Growth Scenarios'!$E$3:$I$80,MATCH('Scenario Picker'!$B$3,'Growth Scenarios'!$F$2:$I$2,0)+1)/1000000000*VLOOKUP($A22,'Growth Scenarios'!$A$3:$D$80,MATCH('Scenario Picker'!$B$2,'Growth Scenarios'!$B$2:$D$2,0)+1)</f>
        <v>4.1516235712600649</v>
      </c>
      <c r="G22" s="21">
        <f ca="1">'Electrification Scenario'!G28*(1-'Electrification Scenario'!G$8*('Electrification Scenario'!G28-'Electrification Scenario'!G$4)/('Electrification Scenario'!G$5-'Electrification Scenario'!G$4))*VLOOKUP(G$3,'Static Parameters'!$A$3:$B$9,2)*VLOOKUP($A22,'Growth Scenarios'!$E$3:$I$80,MATCH('Scenario Picker'!$B$3,'Growth Scenarios'!$F$2:$I$2,0)+1)/1000000000*VLOOKUP($A22,'Growth Scenarios'!$A$3:$D$80,MATCH('Scenario Picker'!$B$2,'Growth Scenarios'!$B$2:$D$2,0)+1)</f>
        <v>58.515229694086216</v>
      </c>
      <c r="H22" s="21">
        <f ca="1">'Electrification Scenario'!H28*(1-'Electrification Scenario'!H$8*('Electrification Scenario'!H28-'Electrification Scenario'!H$4)/('Electrification Scenario'!H$5-'Electrification Scenario'!H$4))*VLOOKUP(H$3,'Static Parameters'!$A$3:$B$9,2)*VLOOKUP($A22,'Growth Scenarios'!$E$3:$I$80,MATCH('Scenario Picker'!$B$3,'Growth Scenarios'!$F$2:$I$2,0)+1)/1000000000*VLOOKUP($A22,'Growth Scenarios'!$A$3:$D$80,MATCH('Scenario Picker'!$B$2,'Growth Scenarios'!$B$2:$D$2,0)+1)</f>
        <v>40.799226777733871</v>
      </c>
      <c r="I22" s="28">
        <f t="shared" ca="1" si="0"/>
        <v>221.33962771336593</v>
      </c>
      <c r="J22" s="25">
        <f ca="1">(1-'Electrification Scenario'!B28)*VLOOKUP(B$3,'Static Parameters'!$A$3:$B$9,2)*VLOOKUP($A22,'Growth Scenarios'!$E$3:$I$80,MATCH('Scenario Picker'!$B$3,'Growth Scenarios'!$F$2:$I$2,0)+1)/1000000000*VLOOKUP($A22,'Growth Scenarios'!$A$3:$D$80,MATCH('Scenario Picker'!$B$2,'Growth Scenarios'!$B$2:$D$2,0)+1)</f>
        <v>4.7858604372362308</v>
      </c>
      <c r="K22" s="21">
        <f ca="1">(1-'Electrification Scenario'!C28)*VLOOKUP(C$3,'Static Parameters'!$A$3:$B$9,2)*VLOOKUP($A22,'Growth Scenarios'!$E$3:$I$80,MATCH('Scenario Picker'!$B$3,'Growth Scenarios'!$F$2:$I$2,0)+1)/1000000000*VLOOKUP($A22,'Growth Scenarios'!$A$3:$D$80,MATCH('Scenario Picker'!$B$2,'Growth Scenarios'!$B$2:$D$2,0)+1)</f>
        <v>5.705510790279317</v>
      </c>
      <c r="L22" s="21">
        <f ca="1">(1-'Electrification Scenario'!D28)*VLOOKUP(D$3,'Static Parameters'!$A$3:$B$9,2)*VLOOKUP($A22,'Growth Scenarios'!$E$3:$I$80,MATCH('Scenario Picker'!$B$3,'Growth Scenarios'!$F$2:$I$2,0)+1)/1000000000*VLOOKUP($A22,'Growth Scenarios'!$A$3:$D$80,MATCH('Scenario Picker'!$B$2,'Growth Scenarios'!$B$2:$D$2,0)+1)</f>
        <v>0.22700036214280225</v>
      </c>
      <c r="M22" s="21">
        <f ca="1">(1-'Electrification Scenario'!E28)*VLOOKUP(E$3,'Static Parameters'!$A$3:$B$9,2)*VLOOKUP($A22,'Growth Scenarios'!$E$3:$I$80,MATCH('Scenario Picker'!$B$3,'Growth Scenarios'!$F$2:$I$2,0)+1)/1000000000*VLOOKUP($A22,'Growth Scenarios'!$A$3:$D$80,MATCH('Scenario Picker'!$B$2,'Growth Scenarios'!$B$2:$D$2,0)+1)</f>
        <v>33.006710995892945</v>
      </c>
      <c r="N22" s="21">
        <f ca="1">(1-'Electrification Scenario'!F28)*VLOOKUP(F$3,'Static Parameters'!$A$3:$B$9,2)*VLOOKUP($A22,'Growth Scenarios'!$E$3:$I$80,MATCH('Scenario Picker'!$B$3,'Growth Scenarios'!$F$2:$I$2,0)+1)/1000000000*VLOOKUP($A22,'Growth Scenarios'!$A$3:$D$80,MATCH('Scenario Picker'!$B$2,'Growth Scenarios'!$B$2:$D$2,0)+1)</f>
        <v>1.9985534922214712</v>
      </c>
      <c r="O22" s="21">
        <f ca="1">(1-'Electrification Scenario'!G28)*VLOOKUP(G$3,'Static Parameters'!$A$3:$B$9,2)*VLOOKUP($A22,'Growth Scenarios'!$E$3:$I$80,MATCH('Scenario Picker'!$B$3,'Growth Scenarios'!$F$2:$I$2,0)+1)/1000000000*VLOOKUP($A22,'Growth Scenarios'!$A$3:$D$80,MATCH('Scenario Picker'!$B$2,'Growth Scenarios'!$B$2:$D$2,0)+1)</f>
        <v>22.347503578947034</v>
      </c>
      <c r="P22" s="21">
        <f ca="1">(1-'Electrification Scenario'!H28)*VLOOKUP(H$3,'Static Parameters'!$A$3:$B$9,2)*VLOOKUP($A22,'Growth Scenarios'!$E$3:$I$80,MATCH('Scenario Picker'!$B$3,'Growth Scenarios'!$F$2:$I$2,0)+1)/1000000000*VLOOKUP($A22,'Growth Scenarios'!$A$3:$D$80,MATCH('Scenario Picker'!$B$2,'Growth Scenarios'!$B$2:$D$2,0)+1)</f>
        <v>62.126673049708138</v>
      </c>
      <c r="Q22" s="28">
        <f t="shared" ca="1" si="1"/>
        <v>130.19781270642792</v>
      </c>
      <c r="R22" s="28">
        <f t="shared" ca="1" si="2"/>
        <v>351.53744041979382</v>
      </c>
    </row>
    <row r="23" spans="1:18" ht="15" x14ac:dyDescent="0.35">
      <c r="A23" s="31">
        <v>2041</v>
      </c>
      <c r="B23" s="25">
        <f ca="1">'Electrification Scenario'!B29*(1-'Electrification Scenario'!B$8*('Electrification Scenario'!B29-'Electrification Scenario'!B$4)/('Electrification Scenario'!B$5-'Electrification Scenario'!B$4))*VLOOKUP(B$3,'Static Parameters'!$A$3:$B$9,2)*VLOOKUP($A23,'Growth Scenarios'!$E$3:$I$80,MATCH('Scenario Picker'!$B$3,'Growth Scenarios'!$F$2:$I$2,0)+1)/1000000000*VLOOKUP($A23,'Growth Scenarios'!$A$3:$D$80,MATCH('Scenario Picker'!$B$2,'Growth Scenarios'!$B$2:$D$2,0)+1)</f>
        <v>4.2061871691667783</v>
      </c>
      <c r="C23" s="21">
        <f ca="1">'Electrification Scenario'!C29*(1-'Electrification Scenario'!C$8*('Electrification Scenario'!C29-'Electrification Scenario'!C$4)/('Electrification Scenario'!C$5-'Electrification Scenario'!C$4))*VLOOKUP(C$3,'Static Parameters'!$A$3:$B$9,2)*VLOOKUP($A23,'Growth Scenarios'!$E$3:$I$80,MATCH('Scenario Picker'!$B$3,'Growth Scenarios'!$F$2:$I$2,0)+1)/1000000000*VLOOKUP($A23,'Growth Scenarios'!$A$3:$D$80,MATCH('Scenario Picker'!$B$2,'Growth Scenarios'!$B$2:$D$2,0)+1)</f>
        <v>25.828354143196801</v>
      </c>
      <c r="D23" s="21">
        <f ca="1">'Electrification Scenario'!D29*(1-'Electrification Scenario'!D$8*('Electrification Scenario'!D29-'Electrification Scenario'!D$4)/('Electrification Scenario'!D$5-'Electrification Scenario'!D$4))*VLOOKUP(D$3,'Static Parameters'!$A$3:$B$9,2)*VLOOKUP($A23,'Growth Scenarios'!$E$3:$I$80,MATCH('Scenario Picker'!$B$3,'Growth Scenarios'!$F$2:$I$2,0)+1)/1000000000*VLOOKUP($A23,'Growth Scenarios'!$A$3:$D$80,MATCH('Scenario Picker'!$B$2,'Growth Scenarios'!$B$2:$D$2,0)+1)</f>
        <v>0.15414240127970624</v>
      </c>
      <c r="E23" s="21">
        <f ca="1">'Electrification Scenario'!E29*(1-'Electrification Scenario'!E$8*('Electrification Scenario'!E29-'Electrification Scenario'!E$4)/('Electrification Scenario'!E$5-'Electrification Scenario'!E$4))*VLOOKUP(E$3,'Static Parameters'!$A$3:$B$9,2)*VLOOKUP($A23,'Growth Scenarios'!$E$3:$I$80,MATCH('Scenario Picker'!$B$3,'Growth Scenarios'!$F$2:$I$2,0)+1)/1000000000*VLOOKUP($A23,'Growth Scenarios'!$A$3:$D$80,MATCH('Scenario Picker'!$B$2,'Growth Scenarios'!$B$2:$D$2,0)+1)</f>
        <v>90.371789484522552</v>
      </c>
      <c r="F23" s="21">
        <f ca="1">'Electrification Scenario'!F29*(1-'Electrification Scenario'!F$8*('Electrification Scenario'!F29-'Electrification Scenario'!F$4)/('Electrification Scenario'!F$5-'Electrification Scenario'!F$4))*VLOOKUP(F$3,'Static Parameters'!$A$3:$B$9,2)*VLOOKUP($A23,'Growth Scenarios'!$E$3:$I$80,MATCH('Scenario Picker'!$B$3,'Growth Scenarios'!$F$2:$I$2,0)+1)/1000000000*VLOOKUP($A23,'Growth Scenarios'!$A$3:$D$80,MATCH('Scenario Picker'!$B$2,'Growth Scenarios'!$B$2:$D$2,0)+1)</f>
        <v>4.1415212645203257</v>
      </c>
      <c r="G23" s="21">
        <f ca="1">'Electrification Scenario'!G29*(1-'Electrification Scenario'!G$8*('Electrification Scenario'!G29-'Electrification Scenario'!G$4)/('Electrification Scenario'!G$5-'Electrification Scenario'!G$4))*VLOOKUP(G$3,'Static Parameters'!$A$3:$B$9,2)*VLOOKUP($A23,'Growth Scenarios'!$E$3:$I$80,MATCH('Scenario Picker'!$B$3,'Growth Scenarios'!$F$2:$I$2,0)+1)/1000000000*VLOOKUP($A23,'Growth Scenarios'!$A$3:$D$80,MATCH('Scenario Picker'!$B$2,'Growth Scenarios'!$B$2:$D$2,0)+1)</f>
        <v>60.099699951008745</v>
      </c>
      <c r="H23" s="21">
        <f ca="1">'Electrification Scenario'!H29*(1-'Electrification Scenario'!H$8*('Electrification Scenario'!H29-'Electrification Scenario'!H$4)/('Electrification Scenario'!H$5-'Electrification Scenario'!H$4))*VLOOKUP(H$3,'Static Parameters'!$A$3:$B$9,2)*VLOOKUP($A23,'Growth Scenarios'!$E$3:$I$80,MATCH('Scenario Picker'!$B$3,'Growth Scenarios'!$F$2:$I$2,0)+1)/1000000000*VLOOKUP($A23,'Growth Scenarios'!$A$3:$D$80,MATCH('Scenario Picker'!$B$2,'Growth Scenarios'!$B$2:$D$2,0)+1)</f>
        <v>41.891958727928383</v>
      </c>
      <c r="I23" s="28">
        <f t="shared" ca="1" si="0"/>
        <v>226.69365314162332</v>
      </c>
      <c r="J23" s="25">
        <f ca="1">(1-'Electrification Scenario'!B29)*VLOOKUP(B$3,'Static Parameters'!$A$3:$B$9,2)*VLOOKUP($A23,'Growth Scenarios'!$E$3:$I$80,MATCH('Scenario Picker'!$B$3,'Growth Scenarios'!$F$2:$I$2,0)+1)/1000000000*VLOOKUP($A23,'Growth Scenarios'!$A$3:$D$80,MATCH('Scenario Picker'!$B$2,'Growth Scenarios'!$B$2:$D$2,0)+1)</f>
        <v>4.6763064106431429</v>
      </c>
      <c r="K23" s="21">
        <f ca="1">(1-'Electrification Scenario'!C29)*VLOOKUP(C$3,'Static Parameters'!$A$3:$B$9,2)*VLOOKUP($A23,'Growth Scenarios'!$E$3:$I$80,MATCH('Scenario Picker'!$B$3,'Growth Scenarios'!$F$2:$I$2,0)+1)/1000000000*VLOOKUP($A23,'Growth Scenarios'!$A$3:$D$80,MATCH('Scenario Picker'!$B$2,'Growth Scenarios'!$B$2:$D$2,0)+1)</f>
        <v>5.0684495058752699</v>
      </c>
      <c r="L23" s="21">
        <f ca="1">(1-'Electrification Scenario'!D29)*VLOOKUP(D$3,'Static Parameters'!$A$3:$B$9,2)*VLOOKUP($A23,'Growth Scenarios'!$E$3:$I$80,MATCH('Scenario Picker'!$B$3,'Growth Scenarios'!$F$2:$I$2,0)+1)/1000000000*VLOOKUP($A23,'Growth Scenarios'!$A$3:$D$80,MATCH('Scenario Picker'!$B$2,'Growth Scenarios'!$B$2:$D$2,0)+1)</f>
        <v>0.21935504389547233</v>
      </c>
      <c r="M23" s="21">
        <f ca="1">(1-'Electrification Scenario'!E29)*VLOOKUP(E$3,'Static Parameters'!$A$3:$B$9,2)*VLOOKUP($A23,'Growth Scenarios'!$E$3:$I$80,MATCH('Scenario Picker'!$B$3,'Growth Scenarios'!$F$2:$I$2,0)+1)/1000000000*VLOOKUP($A23,'Growth Scenarios'!$A$3:$D$80,MATCH('Scenario Picker'!$B$2,'Growth Scenarios'!$B$2:$D$2,0)+1)</f>
        <v>29.321274498809874</v>
      </c>
      <c r="N23" s="21">
        <f ca="1">(1-'Electrification Scenario'!F29)*VLOOKUP(F$3,'Static Parameters'!$A$3:$B$9,2)*VLOOKUP($A23,'Growth Scenarios'!$E$3:$I$80,MATCH('Scenario Picker'!$B$3,'Growth Scenarios'!$F$2:$I$2,0)+1)/1000000000*VLOOKUP($A23,'Growth Scenarios'!$A$3:$D$80,MATCH('Scenario Picker'!$B$2,'Growth Scenarios'!$B$2:$D$2,0)+1)</f>
        <v>1.963472732298998</v>
      </c>
      <c r="O23" s="21">
        <f ca="1">(1-'Electrification Scenario'!G29)*VLOOKUP(G$3,'Static Parameters'!$A$3:$B$9,2)*VLOOKUP($A23,'Growth Scenarios'!$E$3:$I$80,MATCH('Scenario Picker'!$B$3,'Growth Scenarios'!$F$2:$I$2,0)+1)/1000000000*VLOOKUP($A23,'Growth Scenarios'!$A$3:$D$80,MATCH('Scenario Picker'!$B$2,'Growth Scenarios'!$B$2:$D$2,0)+1)</f>
        <v>19.852244196126545</v>
      </c>
      <c r="P23" s="21">
        <f ca="1">(1-'Electrification Scenario'!H29)*VLOOKUP(H$3,'Static Parameters'!$A$3:$B$9,2)*VLOOKUP($A23,'Growth Scenarios'!$E$3:$I$80,MATCH('Scenario Picker'!$B$3,'Growth Scenarios'!$F$2:$I$2,0)+1)/1000000000*VLOOKUP($A23,'Growth Scenarios'!$A$3:$D$80,MATCH('Scenario Picker'!$B$2,'Growth Scenarios'!$B$2:$D$2,0)+1)</f>
        <v>58.59720745223354</v>
      </c>
      <c r="Q23" s="28">
        <f t="shared" ca="1" si="1"/>
        <v>119.69830983988285</v>
      </c>
      <c r="R23" s="28">
        <f t="shared" ca="1" si="2"/>
        <v>346.39196298150614</v>
      </c>
    </row>
    <row r="24" spans="1:18" ht="15" x14ac:dyDescent="0.35">
      <c r="A24" s="31">
        <v>2042</v>
      </c>
      <c r="B24" s="25">
        <f ca="1">'Electrification Scenario'!B30*(1-'Electrification Scenario'!B$8*('Electrification Scenario'!B30-'Electrification Scenario'!B$4)/('Electrification Scenario'!B$5-'Electrification Scenario'!B$4))*VLOOKUP(B$3,'Static Parameters'!$A$3:$B$9,2)*VLOOKUP($A24,'Growth Scenarios'!$E$3:$I$80,MATCH('Scenario Picker'!$B$3,'Growth Scenarios'!$F$2:$I$2,0)+1)/1000000000*VLOOKUP($A24,'Growth Scenarios'!$A$3:$D$80,MATCH('Scenario Picker'!$B$2,'Growth Scenarios'!$B$2:$D$2,0)+1)</f>
        <v>4.2547248007636878</v>
      </c>
      <c r="C24" s="21">
        <f ca="1">'Electrification Scenario'!C30*(1-'Electrification Scenario'!C$8*('Electrification Scenario'!C30-'Electrification Scenario'!C$4)/('Electrification Scenario'!C$5-'Electrification Scenario'!C$4))*VLOOKUP(C$3,'Static Parameters'!$A$3:$B$9,2)*VLOOKUP($A24,'Growth Scenarios'!$E$3:$I$80,MATCH('Scenario Picker'!$B$3,'Growth Scenarios'!$F$2:$I$2,0)+1)/1000000000*VLOOKUP($A24,'Growth Scenarios'!$A$3:$D$80,MATCH('Scenario Picker'!$B$2,'Growth Scenarios'!$B$2:$D$2,0)+1)</f>
        <v>26.108396032394417</v>
      </c>
      <c r="D24" s="21">
        <f ca="1">'Electrification Scenario'!D30*(1-'Electrification Scenario'!D$8*('Electrification Scenario'!D30-'Electrification Scenario'!D$4)/('Electrification Scenario'!D$5-'Electrification Scenario'!D$4))*VLOOKUP(D$3,'Static Parameters'!$A$3:$B$9,2)*VLOOKUP($A24,'Growth Scenarios'!$E$3:$I$80,MATCH('Scenario Picker'!$B$3,'Growth Scenarios'!$F$2:$I$2,0)+1)/1000000000*VLOOKUP($A24,'Growth Scenarios'!$A$3:$D$80,MATCH('Scenario Picker'!$B$2,'Growth Scenarios'!$B$2:$D$2,0)+1)</f>
        <v>0.1589904225782795</v>
      </c>
      <c r="E24" s="21">
        <f ca="1">'Electrification Scenario'!E30*(1-'Electrification Scenario'!E$8*('Electrification Scenario'!E30-'Electrification Scenario'!E$4)/('Electrification Scenario'!E$5-'Electrification Scenario'!E$4))*VLOOKUP(E$3,'Static Parameters'!$A$3:$B$9,2)*VLOOKUP($A24,'Growth Scenarios'!$E$3:$I$80,MATCH('Scenario Picker'!$B$3,'Growth Scenarios'!$F$2:$I$2,0)+1)/1000000000*VLOOKUP($A24,'Growth Scenarios'!$A$3:$D$80,MATCH('Scenario Picker'!$B$2,'Growth Scenarios'!$B$2:$D$2,0)+1)</f>
        <v>92.586903349116739</v>
      </c>
      <c r="F24" s="21">
        <f ca="1">'Electrification Scenario'!F30*(1-'Electrification Scenario'!F$8*('Electrification Scenario'!F30-'Electrification Scenario'!F$4)/('Electrification Scenario'!F$5-'Electrification Scenario'!F$4))*VLOOKUP(F$3,'Static Parameters'!$A$3:$B$9,2)*VLOOKUP($A24,'Growth Scenarios'!$E$3:$I$80,MATCH('Scenario Picker'!$B$3,'Growth Scenarios'!$F$2:$I$2,0)+1)/1000000000*VLOOKUP($A24,'Growth Scenarios'!$A$3:$D$80,MATCH('Scenario Picker'!$B$2,'Growth Scenarios'!$B$2:$D$2,0)+1)</f>
        <v>4.1286559776017819</v>
      </c>
      <c r="G24" s="21">
        <f ca="1">'Electrification Scenario'!G30*(1-'Electrification Scenario'!G$8*('Electrification Scenario'!G30-'Electrification Scenario'!G$4)/('Electrification Scenario'!G$5-'Electrification Scenario'!G$4))*VLOOKUP(G$3,'Static Parameters'!$A$3:$B$9,2)*VLOOKUP($A24,'Growth Scenarios'!$E$3:$I$80,MATCH('Scenario Picker'!$B$3,'Growth Scenarios'!$F$2:$I$2,0)+1)/1000000000*VLOOKUP($A24,'Growth Scenarios'!$A$3:$D$80,MATCH('Scenario Picker'!$B$2,'Growth Scenarios'!$B$2:$D$2,0)+1)</f>
        <v>61.610421764927388</v>
      </c>
      <c r="H24" s="21">
        <f ca="1">'Electrification Scenario'!H30*(1-'Electrification Scenario'!H$8*('Electrification Scenario'!H30-'Electrification Scenario'!H$4)/('Electrification Scenario'!H$5-'Electrification Scenario'!H$4))*VLOOKUP(H$3,'Static Parameters'!$A$3:$B$9,2)*VLOOKUP($A24,'Growth Scenarios'!$E$3:$I$80,MATCH('Scenario Picker'!$B$3,'Growth Scenarios'!$F$2:$I$2,0)+1)/1000000000*VLOOKUP($A24,'Growth Scenarios'!$A$3:$D$80,MATCH('Scenario Picker'!$B$2,'Growth Scenarios'!$B$2:$D$2,0)+1)</f>
        <v>42.825761066620522</v>
      </c>
      <c r="I24" s="28">
        <f t="shared" ca="1" si="0"/>
        <v>231.67385341400282</v>
      </c>
      <c r="J24" s="25">
        <f ca="1">(1-'Electrification Scenario'!B30)*VLOOKUP(B$3,'Static Parameters'!$A$3:$B$9,2)*VLOOKUP($A24,'Growth Scenarios'!$E$3:$I$80,MATCH('Scenario Picker'!$B$3,'Growth Scenarios'!$F$2:$I$2,0)+1)/1000000000*VLOOKUP($A24,'Growth Scenarios'!$A$3:$D$80,MATCH('Scenario Picker'!$B$2,'Growth Scenarios'!$B$2:$D$2,0)+1)</f>
        <v>4.5643940366295839</v>
      </c>
      <c r="K24" s="21">
        <f ca="1">(1-'Electrification Scenario'!C30)*VLOOKUP(C$3,'Static Parameters'!$A$3:$B$9,2)*VLOOKUP($A24,'Growth Scenarios'!$E$3:$I$80,MATCH('Scenario Picker'!$B$3,'Growth Scenarios'!$F$2:$I$2,0)+1)/1000000000*VLOOKUP($A24,'Growth Scenarios'!$A$3:$D$80,MATCH('Scenario Picker'!$B$2,'Growth Scenarios'!$B$2:$D$2,0)+1)</f>
        <v>4.4297511446936051</v>
      </c>
      <c r="L24" s="21">
        <f ca="1">(1-'Electrification Scenario'!D30)*VLOOKUP(D$3,'Static Parameters'!$A$3:$B$9,2)*VLOOKUP($A24,'Growth Scenarios'!$E$3:$I$80,MATCH('Scenario Picker'!$B$3,'Growth Scenarios'!$F$2:$I$2,0)+1)/1000000000*VLOOKUP($A24,'Growth Scenarios'!$A$3:$D$80,MATCH('Scenario Picker'!$B$2,'Growth Scenarios'!$B$2:$D$2,0)+1)</f>
        <v>0.21160354494028943</v>
      </c>
      <c r="M24" s="21">
        <f ca="1">(1-'Electrification Scenario'!E30)*VLOOKUP(E$3,'Static Parameters'!$A$3:$B$9,2)*VLOOKUP($A24,'Growth Scenarios'!$E$3:$I$80,MATCH('Scenario Picker'!$B$3,'Growth Scenarios'!$F$2:$I$2,0)+1)/1000000000*VLOOKUP($A24,'Growth Scenarios'!$A$3:$D$80,MATCH('Scenario Picker'!$B$2,'Growth Scenarios'!$B$2:$D$2,0)+1)</f>
        <v>25.626367417573501</v>
      </c>
      <c r="N24" s="21">
        <f ca="1">(1-'Electrification Scenario'!F30)*VLOOKUP(F$3,'Static Parameters'!$A$3:$B$9,2)*VLOOKUP($A24,'Growth Scenarios'!$E$3:$I$80,MATCH('Scenario Picker'!$B$3,'Growth Scenarios'!$F$2:$I$2,0)+1)/1000000000*VLOOKUP($A24,'Growth Scenarios'!$A$3:$D$80,MATCH('Scenario Picker'!$B$2,'Growth Scenarios'!$B$2:$D$2,0)+1)</f>
        <v>1.9273823974062376</v>
      </c>
      <c r="O24" s="21">
        <f ca="1">(1-'Electrification Scenario'!G30)*VLOOKUP(G$3,'Static Parameters'!$A$3:$B$9,2)*VLOOKUP($A24,'Growth Scenarios'!$E$3:$I$80,MATCH('Scenario Picker'!$B$3,'Growth Scenarios'!$F$2:$I$2,0)+1)/1000000000*VLOOKUP($A24,'Growth Scenarios'!$A$3:$D$80,MATCH('Scenario Picker'!$B$2,'Growth Scenarios'!$B$2:$D$2,0)+1)</f>
        <v>17.350572665385993</v>
      </c>
      <c r="P24" s="21">
        <f ca="1">(1-'Electrification Scenario'!H30)*VLOOKUP(H$3,'Static Parameters'!$A$3:$B$9,2)*VLOOKUP($A24,'Growth Scenarios'!$E$3:$I$80,MATCH('Scenario Picker'!$B$3,'Growth Scenarios'!$F$2:$I$2,0)+1)/1000000000*VLOOKUP($A24,'Growth Scenarios'!$A$3:$D$80,MATCH('Scenario Picker'!$B$2,'Growth Scenarios'!$B$2:$D$2,0)+1)</f>
        <v>55.042014223426953</v>
      </c>
      <c r="Q24" s="28">
        <f t="shared" ca="1" si="1"/>
        <v>109.15208543005616</v>
      </c>
      <c r="R24" s="28">
        <f t="shared" ca="1" si="2"/>
        <v>340.82593884405901</v>
      </c>
    </row>
    <row r="25" spans="1:18" ht="15" x14ac:dyDescent="0.35">
      <c r="A25" s="31">
        <v>2043</v>
      </c>
      <c r="B25" s="25">
        <f ca="1">'Electrification Scenario'!B31*(1-'Electrification Scenario'!B$8*('Electrification Scenario'!B31-'Electrification Scenario'!B$4)/('Electrification Scenario'!B$5-'Electrification Scenario'!B$4))*VLOOKUP(B$3,'Static Parameters'!$A$3:$B$9,2)*VLOOKUP($A25,'Growth Scenarios'!$E$3:$I$80,MATCH('Scenario Picker'!$B$3,'Growth Scenarios'!$F$2:$I$2,0)+1)/1000000000*VLOOKUP($A25,'Growth Scenarios'!$A$3:$D$80,MATCH('Scenario Picker'!$B$2,'Growth Scenarios'!$B$2:$D$2,0)+1)</f>
        <v>4.2991442318504678</v>
      </c>
      <c r="C25" s="21">
        <f ca="1">'Electrification Scenario'!C31*(1-'Electrification Scenario'!C$8*('Electrification Scenario'!C31-'Electrification Scenario'!C$4)/('Electrification Scenario'!C$5-'Electrification Scenario'!C$4))*VLOOKUP(C$3,'Static Parameters'!$A$3:$B$9,2)*VLOOKUP($A25,'Growth Scenarios'!$E$3:$I$80,MATCH('Scenario Picker'!$B$3,'Growth Scenarios'!$F$2:$I$2,0)+1)/1000000000*VLOOKUP($A25,'Growth Scenarios'!$A$3:$D$80,MATCH('Scenario Picker'!$B$2,'Growth Scenarios'!$B$2:$D$2,0)+1)</f>
        <v>26.363535263040706</v>
      </c>
      <c r="D25" s="21">
        <f ca="1">'Electrification Scenario'!D31*(1-'Electrification Scenario'!D$8*('Electrification Scenario'!D31-'Electrification Scenario'!D$4)/('Electrification Scenario'!D$5-'Electrification Scenario'!D$4))*VLOOKUP(D$3,'Static Parameters'!$A$3:$B$9,2)*VLOOKUP($A25,'Growth Scenarios'!$E$3:$I$80,MATCH('Scenario Picker'!$B$3,'Growth Scenarios'!$F$2:$I$2,0)+1)/1000000000*VLOOKUP($A25,'Growth Scenarios'!$A$3:$D$80,MATCH('Scenario Picker'!$B$2,'Growth Scenarios'!$B$2:$D$2,0)+1)</f>
        <v>0.1636218313348573</v>
      </c>
      <c r="E25" s="21">
        <f ca="1">'Electrification Scenario'!E31*(1-'Electrification Scenario'!E$8*('Electrification Scenario'!E31-'Electrification Scenario'!E$4)/('Electrification Scenario'!E$5-'Electrification Scenario'!E$4))*VLOOKUP(E$3,'Static Parameters'!$A$3:$B$9,2)*VLOOKUP($A25,'Growth Scenarios'!$E$3:$I$80,MATCH('Scenario Picker'!$B$3,'Growth Scenarios'!$F$2:$I$2,0)+1)/1000000000*VLOOKUP($A25,'Growth Scenarios'!$A$3:$D$80,MATCH('Scenario Picker'!$B$2,'Growth Scenarios'!$B$2:$D$2,0)+1)</f>
        <v>94.688444917462235</v>
      </c>
      <c r="F25" s="21">
        <f ca="1">'Electrification Scenario'!F31*(1-'Electrification Scenario'!F$8*('Electrification Scenario'!F31-'Electrification Scenario'!F$4)/('Electrification Scenario'!F$5-'Electrification Scenario'!F$4))*VLOOKUP(F$3,'Static Parameters'!$A$3:$B$9,2)*VLOOKUP($A25,'Growth Scenarios'!$E$3:$I$80,MATCH('Scenario Picker'!$B$3,'Growth Scenarios'!$F$2:$I$2,0)+1)/1000000000*VLOOKUP($A25,'Growth Scenarios'!$A$3:$D$80,MATCH('Scenario Picker'!$B$2,'Growth Scenarios'!$B$2:$D$2,0)+1)</f>
        <v>4.1130340919435229</v>
      </c>
      <c r="G25" s="21">
        <f ca="1">'Electrification Scenario'!G31*(1-'Electrification Scenario'!G$8*('Electrification Scenario'!G31-'Electrification Scenario'!G$4)/('Electrification Scenario'!G$5-'Electrification Scenario'!G$4))*VLOOKUP(G$3,'Static Parameters'!$A$3:$B$9,2)*VLOOKUP($A25,'Growth Scenarios'!$E$3:$I$80,MATCH('Scenario Picker'!$B$3,'Growth Scenarios'!$F$2:$I$2,0)+1)/1000000000*VLOOKUP($A25,'Growth Scenarios'!$A$3:$D$80,MATCH('Scenario Picker'!$B$2,'Growth Scenarios'!$B$2:$D$2,0)+1)</f>
        <v>63.044809893478195</v>
      </c>
      <c r="H25" s="21">
        <f ca="1">'Electrification Scenario'!H31*(1-'Electrification Scenario'!H$8*('Electrification Scenario'!H31-'Electrification Scenario'!H$4)/('Electrification Scenario'!H$5-'Electrification Scenario'!H$4))*VLOOKUP(H$3,'Static Parameters'!$A$3:$B$9,2)*VLOOKUP($A25,'Growth Scenarios'!$E$3:$I$80,MATCH('Scenario Picker'!$B$3,'Growth Scenarios'!$F$2:$I$2,0)+1)/1000000000*VLOOKUP($A25,'Growth Scenarios'!$A$3:$D$80,MATCH('Scenario Picker'!$B$2,'Growth Scenarios'!$B$2:$D$2,0)+1)</f>
        <v>43.599402108867373</v>
      </c>
      <c r="I25" s="28">
        <f t="shared" ca="1" si="0"/>
        <v>236.27199233797737</v>
      </c>
      <c r="J25" s="25">
        <f ca="1">(1-'Electrification Scenario'!B31)*VLOOKUP(B$3,'Static Parameters'!$A$3:$B$9,2)*VLOOKUP($A25,'Growth Scenarios'!$E$3:$I$80,MATCH('Scenario Picker'!$B$3,'Growth Scenarios'!$F$2:$I$2,0)+1)/1000000000*VLOOKUP($A25,'Growth Scenarios'!$A$3:$D$80,MATCH('Scenario Picker'!$B$2,'Growth Scenarios'!$B$2:$D$2,0)+1)</f>
        <v>4.4502882242597472</v>
      </c>
      <c r="K25" s="21">
        <f ca="1">(1-'Electrification Scenario'!C31)*VLOOKUP(C$3,'Static Parameters'!$A$3:$B$9,2)*VLOOKUP($A25,'Growth Scenarios'!$E$3:$I$80,MATCH('Scenario Picker'!$B$3,'Growth Scenarios'!$F$2:$I$2,0)+1)/1000000000*VLOOKUP($A25,'Growth Scenarios'!$A$3:$D$80,MATCH('Scenario Picker'!$B$2,'Growth Scenarios'!$B$2:$D$2,0)+1)</f>
        <v>3.7904431827714777</v>
      </c>
      <c r="L25" s="21">
        <f ca="1">(1-'Electrification Scenario'!D31)*VLOOKUP(D$3,'Static Parameters'!$A$3:$B$9,2)*VLOOKUP($A25,'Growth Scenarios'!$E$3:$I$80,MATCH('Scenario Picker'!$B$3,'Growth Scenarios'!$F$2:$I$2,0)+1)/1000000000*VLOOKUP($A25,'Growth Scenarios'!$A$3:$D$80,MATCH('Scenario Picker'!$B$2,'Growth Scenarios'!$B$2:$D$2,0)+1)</f>
        <v>0.20375770494105239</v>
      </c>
      <c r="M25" s="21">
        <f ca="1">(1-'Electrification Scenario'!E31)*VLOOKUP(E$3,'Static Parameters'!$A$3:$B$9,2)*VLOOKUP($A25,'Growth Scenarios'!$E$3:$I$80,MATCH('Scenario Picker'!$B$3,'Growth Scenarios'!$F$2:$I$2,0)+1)/1000000000*VLOOKUP($A25,'Growth Scenarios'!$A$3:$D$80,MATCH('Scenario Picker'!$B$2,'Growth Scenarios'!$B$2:$D$2,0)+1)</f>
        <v>21.927933760680169</v>
      </c>
      <c r="N25" s="21">
        <f ca="1">(1-'Electrification Scenario'!F31)*VLOOKUP(F$3,'Static Parameters'!$A$3:$B$9,2)*VLOOKUP($A25,'Growth Scenarios'!$E$3:$I$80,MATCH('Scenario Picker'!$B$3,'Growth Scenarios'!$F$2:$I$2,0)+1)/1000000000*VLOOKUP($A25,'Growth Scenarios'!$A$3:$D$80,MATCH('Scenario Picker'!$B$2,'Growth Scenarios'!$B$2:$D$2,0)+1)</f>
        <v>1.8903338503376799</v>
      </c>
      <c r="O25" s="21">
        <f ca="1">(1-'Electrification Scenario'!G31)*VLOOKUP(G$3,'Static Parameters'!$A$3:$B$9,2)*VLOOKUP($A25,'Growth Scenarios'!$E$3:$I$80,MATCH('Scenario Picker'!$B$3,'Growth Scenarios'!$F$2:$I$2,0)+1)/1000000000*VLOOKUP($A25,'Growth Scenarios'!$A$3:$D$80,MATCH('Scenario Picker'!$B$2,'Growth Scenarios'!$B$2:$D$2,0)+1)</f>
        <v>14.846513433485971</v>
      </c>
      <c r="P25" s="21">
        <f ca="1">(1-'Electrification Scenario'!H31)*VLOOKUP(H$3,'Static Parameters'!$A$3:$B$9,2)*VLOOKUP($A25,'Growth Scenarios'!$E$3:$I$80,MATCH('Scenario Picker'!$B$3,'Growth Scenarios'!$F$2:$I$2,0)+1)/1000000000*VLOOKUP($A25,'Growth Scenarios'!$A$3:$D$80,MATCH('Scenario Picker'!$B$2,'Growth Scenarios'!$B$2:$D$2,0)+1)</f>
        <v>51.466691300822696</v>
      </c>
      <c r="Q25" s="28">
        <f t="shared" ca="1" si="1"/>
        <v>98.575961457298803</v>
      </c>
      <c r="R25" s="28">
        <f t="shared" ca="1" si="2"/>
        <v>334.84795379527617</v>
      </c>
    </row>
    <row r="26" spans="1:18" ht="15" x14ac:dyDescent="0.35">
      <c r="A26" s="31">
        <v>2044</v>
      </c>
      <c r="B26" s="25">
        <f ca="1">'Electrification Scenario'!B32*(1-'Electrification Scenario'!B$8*('Electrification Scenario'!B32-'Electrification Scenario'!B$4)/('Electrification Scenario'!B$5-'Electrification Scenario'!B$4))*VLOOKUP(B$3,'Static Parameters'!$A$3:$B$9,2)*VLOOKUP($A26,'Growth Scenarios'!$E$3:$I$80,MATCH('Scenario Picker'!$B$3,'Growth Scenarios'!$F$2:$I$2,0)+1)/1000000000*VLOOKUP($A26,'Growth Scenarios'!$A$3:$D$80,MATCH('Scenario Picker'!$B$2,'Growth Scenarios'!$B$2:$D$2,0)+1)</f>
        <v>4.3393702135532077</v>
      </c>
      <c r="C26" s="21">
        <f ca="1">'Electrification Scenario'!C32*(1-'Electrification Scenario'!C$8*('Electrification Scenario'!C32-'Electrification Scenario'!C$4)/('Electrification Scenario'!C$5-'Electrification Scenario'!C$4))*VLOOKUP(C$3,'Static Parameters'!$A$3:$B$9,2)*VLOOKUP($A26,'Growth Scenarios'!$E$3:$I$80,MATCH('Scenario Picker'!$B$3,'Growth Scenarios'!$F$2:$I$2,0)+1)/1000000000*VLOOKUP($A26,'Growth Scenarios'!$A$3:$D$80,MATCH('Scenario Picker'!$B$2,'Growth Scenarios'!$B$2:$D$2,0)+1)</f>
        <v>26.593337127346693</v>
      </c>
      <c r="D26" s="21">
        <f ca="1">'Electrification Scenario'!D32*(1-'Electrification Scenario'!D$8*('Electrification Scenario'!D32-'Electrification Scenario'!D$4)/('Electrification Scenario'!D$5-'Electrification Scenario'!D$4))*VLOOKUP(D$3,'Static Parameters'!$A$3:$B$9,2)*VLOOKUP($A26,'Growth Scenarios'!$E$3:$I$80,MATCH('Scenario Picker'!$B$3,'Growth Scenarios'!$F$2:$I$2,0)+1)/1000000000*VLOOKUP($A26,'Growth Scenarios'!$A$3:$D$80,MATCH('Scenario Picker'!$B$2,'Growth Scenarios'!$B$2:$D$2,0)+1)</f>
        <v>0.16802920585460746</v>
      </c>
      <c r="E26" s="21">
        <f ca="1">'Electrification Scenario'!E32*(1-'Electrification Scenario'!E$8*('Electrification Scenario'!E32-'Electrification Scenario'!E$4)/('Electrification Scenario'!E$5-'Electrification Scenario'!E$4))*VLOOKUP(E$3,'Static Parameters'!$A$3:$B$9,2)*VLOOKUP($A26,'Growth Scenarios'!$E$3:$I$80,MATCH('Scenario Picker'!$B$3,'Growth Scenarios'!$F$2:$I$2,0)+1)/1000000000*VLOOKUP($A26,'Growth Scenarios'!$A$3:$D$80,MATCH('Scenario Picker'!$B$2,'Growth Scenarios'!$B$2:$D$2,0)+1)</f>
        <v>96.673016066457095</v>
      </c>
      <c r="F26" s="21">
        <f ca="1">'Electrification Scenario'!F32*(1-'Electrification Scenario'!F$8*('Electrification Scenario'!F32-'Electrification Scenario'!F$4)/('Electrification Scenario'!F$5-'Electrification Scenario'!F$4))*VLOOKUP(F$3,'Static Parameters'!$A$3:$B$9,2)*VLOOKUP($A26,'Growth Scenarios'!$E$3:$I$80,MATCH('Scenario Picker'!$B$3,'Growth Scenarios'!$F$2:$I$2,0)+1)/1000000000*VLOOKUP($A26,'Growth Scenarios'!$A$3:$D$80,MATCH('Scenario Picker'!$B$2,'Growth Scenarios'!$B$2:$D$2,0)+1)</f>
        <v>4.0946736894379425</v>
      </c>
      <c r="G26" s="21">
        <f ca="1">'Electrification Scenario'!G32*(1-'Electrification Scenario'!G$8*('Electrification Scenario'!G32-'Electrification Scenario'!G$4)/('Electrification Scenario'!G$5-'Electrification Scenario'!G$4))*VLOOKUP(G$3,'Static Parameters'!$A$3:$B$9,2)*VLOOKUP($A26,'Growth Scenarios'!$E$3:$I$80,MATCH('Scenario Picker'!$B$3,'Growth Scenarios'!$F$2:$I$2,0)+1)/1000000000*VLOOKUP($A26,'Growth Scenarios'!$A$3:$D$80,MATCH('Scenario Picker'!$B$2,'Growth Scenarios'!$B$2:$D$2,0)+1)</f>
        <v>64.400547338952208</v>
      </c>
      <c r="H26" s="21">
        <f ca="1">'Electrification Scenario'!H32*(1-'Electrification Scenario'!H$8*('Electrification Scenario'!H32-'Electrification Scenario'!H$4)/('Electrification Scenario'!H$5-'Electrification Scenario'!H$4))*VLOOKUP(H$3,'Static Parameters'!$A$3:$B$9,2)*VLOOKUP($A26,'Growth Scenarios'!$E$3:$I$80,MATCH('Scenario Picker'!$B$3,'Growth Scenarios'!$F$2:$I$2,0)+1)/1000000000*VLOOKUP($A26,'Growth Scenarios'!$A$3:$D$80,MATCH('Scenario Picker'!$B$2,'Growth Scenarios'!$B$2:$D$2,0)+1)</f>
        <v>44.212190233538053</v>
      </c>
      <c r="I26" s="28">
        <f t="shared" ca="1" si="0"/>
        <v>240.4811638751398</v>
      </c>
      <c r="J26" s="25">
        <f ca="1">(1-'Electrification Scenario'!B32)*VLOOKUP(B$3,'Static Parameters'!$A$3:$B$9,2)*VLOOKUP($A26,'Growth Scenarios'!$E$3:$I$80,MATCH('Scenario Picker'!$B$3,'Growth Scenarios'!$F$2:$I$2,0)+1)/1000000000*VLOOKUP($A26,'Growth Scenarios'!$A$3:$D$80,MATCH('Scenario Picker'!$B$2,'Growth Scenarios'!$B$2:$D$2,0)+1)</f>
        <v>4.3341652763501912</v>
      </c>
      <c r="K26" s="21">
        <f ca="1">(1-'Electrification Scenario'!C32)*VLOOKUP(C$3,'Static Parameters'!$A$3:$B$9,2)*VLOOKUP($A26,'Growth Scenarios'!$E$3:$I$80,MATCH('Scenario Picker'!$B$3,'Growth Scenarios'!$F$2:$I$2,0)+1)/1000000000*VLOOKUP($A26,'Growth Scenarios'!$A$3:$D$80,MATCH('Scenario Picker'!$B$2,'Growth Scenarios'!$B$2:$D$2,0)+1)</f>
        <v>3.1515660307637821</v>
      </c>
      <c r="L26" s="21">
        <f ca="1">(1-'Electrification Scenario'!D32)*VLOOKUP(D$3,'Static Parameters'!$A$3:$B$9,2)*VLOOKUP($A26,'Growth Scenarios'!$E$3:$I$80,MATCH('Scenario Picker'!$B$3,'Growth Scenarios'!$F$2:$I$2,0)+1)/1000000000*VLOOKUP($A26,'Growth Scenarios'!$A$3:$D$80,MATCH('Scenario Picker'!$B$2,'Growth Scenarios'!$B$2:$D$2,0)+1)</f>
        <v>0.19582990084774951</v>
      </c>
      <c r="M26" s="21">
        <f ca="1">(1-'Electrification Scenario'!E32)*VLOOKUP(E$3,'Static Parameters'!$A$3:$B$9,2)*VLOOKUP($A26,'Growth Scenarios'!$E$3:$I$80,MATCH('Scenario Picker'!$B$3,'Growth Scenarios'!$F$2:$I$2,0)+1)/1000000000*VLOOKUP($A26,'Growth Scenarios'!$A$3:$D$80,MATCH('Scenario Picker'!$B$2,'Growth Scenarios'!$B$2:$D$2,0)+1)</f>
        <v>18.231992364140471</v>
      </c>
      <c r="N26" s="21">
        <f ca="1">(1-'Electrification Scenario'!F32)*VLOOKUP(F$3,'Static Parameters'!$A$3:$B$9,2)*VLOOKUP($A26,'Growth Scenarios'!$E$3:$I$80,MATCH('Scenario Picker'!$B$3,'Growth Scenarios'!$F$2:$I$2,0)+1)/1000000000*VLOOKUP($A26,'Growth Scenarios'!$A$3:$D$80,MATCH('Scenario Picker'!$B$2,'Growth Scenarios'!$B$2:$D$2,0)+1)</f>
        <v>1.8523832255287123</v>
      </c>
      <c r="O26" s="21">
        <f ca="1">(1-'Electrification Scenario'!G32)*VLOOKUP(G$3,'Static Parameters'!$A$3:$B$9,2)*VLOOKUP($A26,'Growth Scenarios'!$E$3:$I$80,MATCH('Scenario Picker'!$B$3,'Growth Scenarios'!$F$2:$I$2,0)+1)/1000000000*VLOOKUP($A26,'Growth Scenarios'!$A$3:$D$80,MATCH('Scenario Picker'!$B$2,'Growth Scenarios'!$B$2:$D$2,0)+1)</f>
        <v>12.344141609858134</v>
      </c>
      <c r="P26" s="21">
        <f ca="1">(1-'Electrification Scenario'!H32)*VLOOKUP(H$3,'Static Parameters'!$A$3:$B$9,2)*VLOOKUP($A26,'Growth Scenarios'!$E$3:$I$80,MATCH('Scenario Picker'!$B$3,'Growth Scenarios'!$F$2:$I$2,0)+1)/1000000000*VLOOKUP($A26,'Growth Scenarios'!$A$3:$D$80,MATCH('Scenario Picker'!$B$2,'Growth Scenarios'!$B$2:$D$2,0)+1)</f>
        <v>47.876981829049782</v>
      </c>
      <c r="Q26" s="28">
        <f t="shared" ca="1" si="1"/>
        <v>87.987060236538824</v>
      </c>
      <c r="R26" s="28">
        <f t="shared" ca="1" si="2"/>
        <v>328.46822411167864</v>
      </c>
    </row>
    <row r="27" spans="1:18" ht="15" x14ac:dyDescent="0.35">
      <c r="A27" s="31">
        <v>2045</v>
      </c>
      <c r="B27" s="25">
        <f ca="1">'Electrification Scenario'!B33*(1-'Electrification Scenario'!B$8*('Electrification Scenario'!B33-'Electrification Scenario'!B$4)/('Electrification Scenario'!B$5-'Electrification Scenario'!B$4))*VLOOKUP(B$3,'Static Parameters'!$A$3:$B$9,2)*VLOOKUP($A27,'Growth Scenarios'!$E$3:$I$80,MATCH('Scenario Picker'!$B$3,'Growth Scenarios'!$F$2:$I$2,0)+1)/1000000000*VLOOKUP($A27,'Growth Scenarios'!$A$3:$D$80,MATCH('Scenario Picker'!$B$2,'Growth Scenarios'!$B$2:$D$2,0)+1)</f>
        <v>4.3752997166153218</v>
      </c>
      <c r="C27" s="21">
        <f ca="1">'Electrification Scenario'!C33*(1-'Electrification Scenario'!C$8*('Electrification Scenario'!C33-'Electrification Scenario'!C$4)/('Electrification Scenario'!C$5-'Electrification Scenario'!C$4))*VLOOKUP(C$3,'Static Parameters'!$A$3:$B$9,2)*VLOOKUP($A27,'Growth Scenarios'!$E$3:$I$80,MATCH('Scenario Picker'!$B$3,'Growth Scenarios'!$F$2:$I$2,0)+1)/1000000000*VLOOKUP($A27,'Growth Scenarios'!$A$3:$D$80,MATCH('Scenario Picker'!$B$2,'Growth Scenarios'!$B$2:$D$2,0)+1)</f>
        <v>26.797195771292181</v>
      </c>
      <c r="D27" s="21">
        <f ca="1">'Electrification Scenario'!D33*(1-'Electrification Scenario'!D$8*('Electrification Scenario'!D33-'Electrification Scenario'!D$4)/('Electrification Scenario'!D$5-'Electrification Scenario'!D$4))*VLOOKUP(D$3,'Static Parameters'!$A$3:$B$9,2)*VLOOKUP($A27,'Growth Scenarios'!$E$3:$I$80,MATCH('Scenario Picker'!$B$3,'Growth Scenarios'!$F$2:$I$2,0)+1)/1000000000*VLOOKUP($A27,'Growth Scenarios'!$A$3:$D$80,MATCH('Scenario Picker'!$B$2,'Growth Scenarios'!$B$2:$D$2,0)+1)</f>
        <v>0.17220420168118941</v>
      </c>
      <c r="E27" s="21">
        <f ca="1">'Electrification Scenario'!E33*(1-'Electrification Scenario'!E$8*('Electrification Scenario'!E33-'Electrification Scenario'!E$4)/('Electrification Scenario'!E$5-'Electrification Scenario'!E$4))*VLOOKUP(E$3,'Static Parameters'!$A$3:$B$9,2)*VLOOKUP($A27,'Growth Scenarios'!$E$3:$I$80,MATCH('Scenario Picker'!$B$3,'Growth Scenarios'!$F$2:$I$2,0)+1)/1000000000*VLOOKUP($A27,'Growth Scenarios'!$A$3:$D$80,MATCH('Scenario Picker'!$B$2,'Growth Scenarios'!$B$2:$D$2,0)+1)</f>
        <v>98.536658195421467</v>
      </c>
      <c r="F27" s="21">
        <f ca="1">'Electrification Scenario'!F33*(1-'Electrification Scenario'!F$8*('Electrification Scenario'!F33-'Electrification Scenario'!F$4)/('Electrification Scenario'!F$5-'Electrification Scenario'!F$4))*VLOOKUP(F$3,'Static Parameters'!$A$3:$B$9,2)*VLOOKUP($A27,'Growth Scenarios'!$E$3:$I$80,MATCH('Scenario Picker'!$B$3,'Growth Scenarios'!$F$2:$I$2,0)+1)/1000000000*VLOOKUP($A27,'Growth Scenarios'!$A$3:$D$80,MATCH('Scenario Picker'!$B$2,'Growth Scenarios'!$B$2:$D$2,0)+1)</f>
        <v>4.0735636154290749</v>
      </c>
      <c r="G27" s="21">
        <f ca="1">'Electrification Scenario'!G33*(1-'Electrification Scenario'!G$8*('Electrification Scenario'!G33-'Electrification Scenario'!G$4)/('Electrification Scenario'!G$5-'Electrification Scenario'!G$4))*VLOOKUP(G$3,'Static Parameters'!$A$3:$B$9,2)*VLOOKUP($A27,'Growth Scenarios'!$E$3:$I$80,MATCH('Scenario Picker'!$B$3,'Growth Scenarios'!$F$2:$I$2,0)+1)/1000000000*VLOOKUP($A27,'Growth Scenarios'!$A$3:$D$80,MATCH('Scenario Picker'!$B$2,'Growth Scenarios'!$B$2:$D$2,0)+1)</f>
        <v>65.674945538529855</v>
      </c>
      <c r="H27" s="21">
        <f ca="1">'Electrification Scenario'!H33*(1-'Electrification Scenario'!H$8*('Electrification Scenario'!H33-'Electrification Scenario'!H$4)/('Electrification Scenario'!H$5-'Electrification Scenario'!H$4))*VLOOKUP(H$3,'Static Parameters'!$A$3:$B$9,2)*VLOOKUP($A27,'Growth Scenarios'!$E$3:$I$80,MATCH('Scenario Picker'!$B$3,'Growth Scenarios'!$F$2:$I$2,0)+1)/1000000000*VLOOKUP($A27,'Growth Scenarios'!$A$3:$D$80,MATCH('Scenario Picker'!$B$2,'Growth Scenarios'!$B$2:$D$2,0)+1)</f>
        <v>44.663536000555794</v>
      </c>
      <c r="I27" s="28">
        <f t="shared" ca="1" si="0"/>
        <v>244.29340303952489</v>
      </c>
      <c r="J27" s="25">
        <f ca="1">(1-'Electrification Scenario'!B33)*VLOOKUP(B$3,'Static Parameters'!$A$3:$B$9,2)*VLOOKUP($A27,'Growth Scenarios'!$E$3:$I$80,MATCH('Scenario Picker'!$B$3,'Growth Scenarios'!$F$2:$I$2,0)+1)/1000000000*VLOOKUP($A27,'Growth Scenarios'!$A$3:$D$80,MATCH('Scenario Picker'!$B$2,'Growth Scenarios'!$B$2:$D$2,0)+1)</f>
        <v>4.2161693432142631</v>
      </c>
      <c r="K27" s="21">
        <f ca="1">(1-'Electrification Scenario'!C33)*VLOOKUP(C$3,'Static Parameters'!$A$3:$B$9,2)*VLOOKUP($A27,'Growth Scenarios'!$E$3:$I$80,MATCH('Scenario Picker'!$B$3,'Growth Scenarios'!$F$2:$I$2,0)+1)/1000000000*VLOOKUP($A27,'Growth Scenarios'!$A$3:$D$80,MATCH('Scenario Picker'!$B$2,'Growth Scenarios'!$B$2:$D$2,0)+1)</f>
        <v>2.5141401965879742</v>
      </c>
      <c r="L27" s="21">
        <f ca="1">(1-'Electrification Scenario'!D33)*VLOOKUP(D$3,'Static Parameters'!$A$3:$B$9,2)*VLOOKUP($A27,'Growth Scenarios'!$E$3:$I$80,MATCH('Scenario Picker'!$B$3,'Growth Scenarios'!$F$2:$I$2,0)+1)/1000000000*VLOOKUP($A27,'Growth Scenarios'!$A$3:$D$80,MATCH('Scenario Picker'!$B$2,'Growth Scenarios'!$B$2:$D$2,0)+1)</f>
        <v>0.18783107368125826</v>
      </c>
      <c r="M27" s="21">
        <f ca="1">(1-'Electrification Scenario'!E33)*VLOOKUP(E$3,'Static Parameters'!$A$3:$B$9,2)*VLOOKUP($A27,'Growth Scenarios'!$E$3:$I$80,MATCH('Scenario Picker'!$B$3,'Growth Scenarios'!$F$2:$I$2,0)+1)/1000000000*VLOOKUP($A27,'Growth Scenarios'!$A$3:$D$80,MATCH('Scenario Picker'!$B$2,'Growth Scenarios'!$B$2:$D$2,0)+1)</f>
        <v>14.544446925474002</v>
      </c>
      <c r="N27" s="21">
        <f ca="1">(1-'Electrification Scenario'!F33)*VLOOKUP(F$3,'Static Parameters'!$A$3:$B$9,2)*VLOOKUP($A27,'Growth Scenarios'!$E$3:$I$80,MATCH('Scenario Picker'!$B$3,'Growth Scenarios'!$F$2:$I$2,0)+1)/1000000000*VLOOKUP($A27,'Growth Scenarios'!$A$3:$D$80,MATCH('Scenario Picker'!$B$2,'Growth Scenarios'!$B$2:$D$2,0)+1)</f>
        <v>1.8135728424855468</v>
      </c>
      <c r="O27" s="21">
        <f ca="1">(1-'Electrification Scenario'!G33)*VLOOKUP(G$3,'Static Parameters'!$A$3:$B$9,2)*VLOOKUP($A27,'Growth Scenarios'!$E$3:$I$80,MATCH('Scenario Picker'!$B$3,'Growth Scenarios'!$F$2:$I$2,0)+1)/1000000000*VLOOKUP($A27,'Growth Scenarios'!$A$3:$D$80,MATCH('Scenario Picker'!$B$2,'Growth Scenarios'!$B$2:$D$2,0)+1)</f>
        <v>9.8474543483378074</v>
      </c>
      <c r="P27" s="21">
        <f ca="1">(1-'Electrification Scenario'!H33)*VLOOKUP(H$3,'Static Parameters'!$A$3:$B$9,2)*VLOOKUP($A27,'Growth Scenarios'!$E$3:$I$80,MATCH('Scenario Picker'!$B$3,'Growth Scenarios'!$F$2:$I$2,0)+1)/1000000000*VLOOKUP($A27,'Growth Scenarios'!$A$3:$D$80,MATCH('Scenario Picker'!$B$2,'Growth Scenarios'!$B$2:$D$2,0)+1)</f>
        <v>44.278288249482884</v>
      </c>
      <c r="Q27" s="28">
        <f t="shared" ca="1" si="1"/>
        <v>77.401902979263724</v>
      </c>
      <c r="R27" s="28">
        <f t="shared" ca="1" si="2"/>
        <v>321.69530601878864</v>
      </c>
    </row>
    <row r="28" spans="1:18" ht="15" x14ac:dyDescent="0.35">
      <c r="A28" s="31">
        <v>2046</v>
      </c>
      <c r="B28" s="25">
        <f ca="1">'Electrification Scenario'!B34*(1-'Electrification Scenario'!B$8*('Electrification Scenario'!B34-'Electrification Scenario'!B$4)/('Electrification Scenario'!B$5-'Electrification Scenario'!B$4))*VLOOKUP(B$3,'Static Parameters'!$A$3:$B$9,2)*VLOOKUP($A28,'Growth Scenarios'!$E$3:$I$80,MATCH('Scenario Picker'!$B$3,'Growth Scenarios'!$F$2:$I$2,0)+1)/1000000000*VLOOKUP($A28,'Growth Scenarios'!$A$3:$D$80,MATCH('Scenario Picker'!$B$2,'Growth Scenarios'!$B$2:$D$2,0)+1)</f>
        <v>4.4068451341850103</v>
      </c>
      <c r="C28" s="21">
        <f ca="1">'Electrification Scenario'!C34*(1-'Electrification Scenario'!C$8*('Electrification Scenario'!C34-'Electrification Scenario'!C$4)/('Electrification Scenario'!C$5-'Electrification Scenario'!C$4))*VLOOKUP(C$3,'Static Parameters'!$A$3:$B$9,2)*VLOOKUP($A28,'Growth Scenarios'!$E$3:$I$80,MATCH('Scenario Picker'!$B$3,'Growth Scenarios'!$F$2:$I$2,0)+1)/1000000000*VLOOKUP($A28,'Growth Scenarios'!$A$3:$D$80,MATCH('Scenario Picker'!$B$2,'Growth Scenarios'!$B$2:$D$2,0)+1)</f>
        <v>26.974599238418268</v>
      </c>
      <c r="D28" s="21">
        <f ca="1">'Electrification Scenario'!D34*(1-'Electrification Scenario'!D$8*('Electrification Scenario'!D34-'Electrification Scenario'!D$4)/('Electrification Scenario'!D$5-'Electrification Scenario'!D$4))*VLOOKUP(D$3,'Static Parameters'!$A$3:$B$9,2)*VLOOKUP($A28,'Growth Scenarios'!$E$3:$I$80,MATCH('Scenario Picker'!$B$3,'Growth Scenarios'!$F$2:$I$2,0)+1)/1000000000*VLOOKUP($A28,'Growth Scenarios'!$A$3:$D$80,MATCH('Scenario Picker'!$B$2,'Growth Scenarios'!$B$2:$D$2,0)+1)</f>
        <v>0.1761391766973133</v>
      </c>
      <c r="E28" s="21">
        <f ca="1">'Electrification Scenario'!E34*(1-'Electrification Scenario'!E$8*('Electrification Scenario'!E34-'Electrification Scenario'!E$4)/('Electrification Scenario'!E$5-'Electrification Scenario'!E$4))*VLOOKUP(E$3,'Static Parameters'!$A$3:$B$9,2)*VLOOKUP($A28,'Growth Scenarios'!$E$3:$I$80,MATCH('Scenario Picker'!$B$3,'Growth Scenarios'!$F$2:$I$2,0)+1)/1000000000*VLOOKUP($A28,'Growth Scenarios'!$A$3:$D$80,MATCH('Scenario Picker'!$B$2,'Growth Scenarios'!$B$2:$D$2,0)+1)</f>
        <v>100.27579644704603</v>
      </c>
      <c r="F28" s="21">
        <f ca="1">'Electrification Scenario'!F34*(1-'Electrification Scenario'!F$8*('Electrification Scenario'!F34-'Electrification Scenario'!F$4)/('Electrification Scenario'!F$5-'Electrification Scenario'!F$4))*VLOOKUP(F$3,'Static Parameters'!$A$3:$B$9,2)*VLOOKUP($A28,'Growth Scenarios'!$E$3:$I$80,MATCH('Scenario Picker'!$B$3,'Growth Scenarios'!$F$2:$I$2,0)+1)/1000000000*VLOOKUP($A28,'Growth Scenarios'!$A$3:$D$80,MATCH('Scenario Picker'!$B$2,'Growth Scenarios'!$B$2:$D$2,0)+1)</f>
        <v>4.0497051899261267</v>
      </c>
      <c r="G28" s="21">
        <f ca="1">'Electrification Scenario'!G34*(1-'Electrification Scenario'!G$8*('Electrification Scenario'!G34-'Electrification Scenario'!G$4)/('Electrification Scenario'!G$5-'Electrification Scenario'!G$4))*VLOOKUP(G$3,'Static Parameters'!$A$3:$B$9,2)*VLOOKUP($A28,'Growth Scenarios'!$E$3:$I$80,MATCH('Scenario Picker'!$B$3,'Growth Scenarios'!$F$2:$I$2,0)+1)/1000000000*VLOOKUP($A28,'Growth Scenarios'!$A$3:$D$80,MATCH('Scenario Picker'!$B$2,'Growth Scenarios'!$B$2:$D$2,0)+1)</f>
        <v>66.865572809935486</v>
      </c>
      <c r="H28" s="21">
        <f ca="1">'Electrification Scenario'!H34*(1-'Electrification Scenario'!H$8*('Electrification Scenario'!H34-'Electrification Scenario'!H$4)/('Electrification Scenario'!H$5-'Electrification Scenario'!H$4))*VLOOKUP(H$3,'Static Parameters'!$A$3:$B$9,2)*VLOOKUP($A28,'Growth Scenarios'!$E$3:$I$80,MATCH('Scenario Picker'!$B$3,'Growth Scenarios'!$F$2:$I$2,0)+1)/1000000000*VLOOKUP($A28,'Growth Scenarios'!$A$3:$D$80,MATCH('Scenario Picker'!$B$2,'Growth Scenarios'!$B$2:$D$2,0)+1)</f>
        <v>44.953393690397824</v>
      </c>
      <c r="I28" s="28">
        <f t="shared" ca="1" si="0"/>
        <v>247.70205168660607</v>
      </c>
      <c r="J28" s="25">
        <f ca="1">(1-'Electrification Scenario'!B34)*VLOOKUP(B$3,'Static Parameters'!$A$3:$B$9,2)*VLOOKUP($A28,'Growth Scenarios'!$E$3:$I$80,MATCH('Scenario Picker'!$B$3,'Growth Scenarios'!$F$2:$I$2,0)+1)/1000000000*VLOOKUP($A28,'Growth Scenarios'!$A$3:$D$80,MATCH('Scenario Picker'!$B$2,'Growth Scenarios'!$B$2:$D$2,0)+1)</f>
        <v>4.096458245994544</v>
      </c>
      <c r="K28" s="21">
        <f ca="1">(1-'Electrification Scenario'!C34)*VLOOKUP(C$3,'Static Parameters'!$A$3:$B$9,2)*VLOOKUP($A28,'Growth Scenarios'!$E$3:$I$80,MATCH('Scenario Picker'!$B$3,'Growth Scenarios'!$F$2:$I$2,0)+1)/1000000000*VLOOKUP($A28,'Growth Scenarios'!$A$3:$D$80,MATCH('Scenario Picker'!$B$2,'Growth Scenarios'!$B$2:$D$2,0)+1)</f>
        <v>1.8792093284642248</v>
      </c>
      <c r="L28" s="21">
        <f ca="1">(1-'Electrification Scenario'!D34)*VLOOKUP(D$3,'Static Parameters'!$A$3:$B$9,2)*VLOOKUP($A28,'Growth Scenarios'!$E$3:$I$80,MATCH('Scenario Picker'!$B$3,'Growth Scenarios'!$F$2:$I$2,0)+1)/1000000000*VLOOKUP($A28,'Growth Scenarios'!$A$3:$D$80,MATCH('Scenario Picker'!$B$2,'Growth Scenarios'!$B$2:$D$2,0)+1)</f>
        <v>0.17977284597735591</v>
      </c>
      <c r="M28" s="21">
        <f ca="1">(1-'Electrification Scenario'!E34)*VLOOKUP(E$3,'Static Parameters'!$A$3:$B$9,2)*VLOOKUP($A28,'Growth Scenarios'!$E$3:$I$80,MATCH('Scenario Picker'!$B$3,'Growth Scenarios'!$F$2:$I$2,0)+1)/1000000000*VLOOKUP($A28,'Growth Scenarios'!$A$3:$D$80,MATCH('Scenario Picker'!$B$2,'Growth Scenarios'!$B$2:$D$2,0)+1)</f>
        <v>10.871335010194267</v>
      </c>
      <c r="N28" s="21">
        <f ca="1">(1-'Electrification Scenario'!F34)*VLOOKUP(F$3,'Static Parameters'!$A$3:$B$9,2)*VLOOKUP($A28,'Growth Scenarios'!$E$3:$I$80,MATCH('Scenario Picker'!$B$3,'Growth Scenarios'!$F$2:$I$2,0)+1)/1000000000*VLOOKUP($A28,'Growth Scenarios'!$A$3:$D$80,MATCH('Scenario Picker'!$B$2,'Growth Scenarios'!$B$2:$D$2,0)+1)</f>
        <v>1.7739505854530495</v>
      </c>
      <c r="O28" s="21">
        <f ca="1">(1-'Electrification Scenario'!G34)*VLOOKUP(G$3,'Static Parameters'!$A$3:$B$9,2)*VLOOKUP($A28,'Growth Scenarios'!$E$3:$I$80,MATCH('Scenario Picker'!$B$3,'Growth Scenarios'!$F$2:$I$2,0)+1)/1000000000*VLOOKUP($A28,'Growth Scenarios'!$A$3:$D$80,MATCH('Scenario Picker'!$B$2,'Growth Scenarios'!$B$2:$D$2,0)+1)</f>
        <v>7.3605394393424532</v>
      </c>
      <c r="P28" s="21">
        <f ca="1">(1-'Electrification Scenario'!H34)*VLOOKUP(H$3,'Static Parameters'!$A$3:$B$9,2)*VLOOKUP($A28,'Growth Scenarios'!$E$3:$I$80,MATCH('Scenario Picker'!$B$3,'Growth Scenarios'!$F$2:$I$2,0)+1)/1000000000*VLOOKUP($A28,'Growth Scenarios'!$A$3:$D$80,MATCH('Scenario Picker'!$B$2,'Growth Scenarios'!$B$2:$D$2,0)+1)</f>
        <v>40.676218939523444</v>
      </c>
      <c r="Q28" s="28">
        <f t="shared" ca="1" si="1"/>
        <v>66.837484394949342</v>
      </c>
      <c r="R28" s="28">
        <f t="shared" ca="1" si="2"/>
        <v>314.53953608155541</v>
      </c>
    </row>
    <row r="29" spans="1:18" ht="15" x14ac:dyDescent="0.35">
      <c r="A29" s="31">
        <v>2047</v>
      </c>
      <c r="B29" s="25">
        <f ca="1">'Electrification Scenario'!B35*(1-'Electrification Scenario'!B$8*('Electrification Scenario'!B35-'Electrification Scenario'!B$4)/('Electrification Scenario'!B$5-'Electrification Scenario'!B$4))*VLOOKUP(B$3,'Static Parameters'!$A$3:$B$9,2)*VLOOKUP($A29,'Growth Scenarios'!$E$3:$I$80,MATCH('Scenario Picker'!$B$3,'Growth Scenarios'!$F$2:$I$2,0)+1)/1000000000*VLOOKUP($A29,'Growth Scenarios'!$A$3:$D$80,MATCH('Scenario Picker'!$B$2,'Growth Scenarios'!$B$2:$D$2,0)+1)</f>
        <v>4.4339721472445914</v>
      </c>
      <c r="C29" s="21">
        <f ca="1">'Electrification Scenario'!C35*(1-'Electrification Scenario'!C$8*('Electrification Scenario'!C35-'Electrification Scenario'!C$4)/('Electrification Scenario'!C$5-'Electrification Scenario'!C$4))*VLOOKUP(C$3,'Static Parameters'!$A$3:$B$9,2)*VLOOKUP($A29,'Growth Scenarios'!$E$3:$I$80,MATCH('Scenario Picker'!$B$3,'Growth Scenarios'!$F$2:$I$2,0)+1)/1000000000*VLOOKUP($A29,'Growth Scenarios'!$A$3:$D$80,MATCH('Scenario Picker'!$B$2,'Growth Scenarios'!$B$2:$D$2,0)+1)</f>
        <v>27.125360899011181</v>
      </c>
      <c r="D29" s="21">
        <f ca="1">'Electrification Scenario'!D35*(1-'Electrification Scenario'!D$8*('Electrification Scenario'!D35-'Electrification Scenario'!D$4)/('Electrification Scenario'!D$5-'Electrification Scenario'!D$4))*VLOOKUP(D$3,'Static Parameters'!$A$3:$B$9,2)*VLOOKUP($A29,'Growth Scenarios'!$E$3:$I$80,MATCH('Scenario Picker'!$B$3,'Growth Scenarios'!$F$2:$I$2,0)+1)/1000000000*VLOOKUP($A29,'Growth Scenarios'!$A$3:$D$80,MATCH('Scenario Picker'!$B$2,'Growth Scenarios'!$B$2:$D$2,0)+1)</f>
        <v>0.17982876385018839</v>
      </c>
      <c r="E29" s="21">
        <f ca="1">'Electrification Scenario'!E35*(1-'Electrification Scenario'!E$8*('Electrification Scenario'!E35-'Electrification Scenario'!E$4)/('Electrification Scenario'!E$5-'Electrification Scenario'!E$4))*VLOOKUP(E$3,'Static Parameters'!$A$3:$B$9,2)*VLOOKUP($A29,'Growth Scenarios'!$E$3:$I$80,MATCH('Scenario Picker'!$B$3,'Growth Scenarios'!$F$2:$I$2,0)+1)/1000000000*VLOOKUP($A29,'Growth Scenarios'!$A$3:$D$80,MATCH('Scenario Picker'!$B$2,'Growth Scenarios'!$B$2:$D$2,0)+1)</f>
        <v>101.88812395365809</v>
      </c>
      <c r="F29" s="21">
        <f ca="1">'Electrification Scenario'!F35*(1-'Electrification Scenario'!F$8*('Electrification Scenario'!F35-'Electrification Scenario'!F$4)/('Electrification Scenario'!F$5-'Electrification Scenario'!F$4))*VLOOKUP(F$3,'Static Parameters'!$A$3:$B$9,2)*VLOOKUP($A29,'Growth Scenarios'!$E$3:$I$80,MATCH('Scenario Picker'!$B$3,'Growth Scenarios'!$F$2:$I$2,0)+1)/1000000000*VLOOKUP($A29,'Growth Scenarios'!$A$3:$D$80,MATCH('Scenario Picker'!$B$2,'Growth Scenarios'!$B$2:$D$2,0)+1)</f>
        <v>4.0231458331135181</v>
      </c>
      <c r="G29" s="21">
        <f ca="1">'Electrification Scenario'!G35*(1-'Electrification Scenario'!G$8*('Electrification Scenario'!G35-'Electrification Scenario'!G$4)/('Electrification Scenario'!G$5-'Electrification Scenario'!G$4))*VLOOKUP(G$3,'Static Parameters'!$A$3:$B$9,2)*VLOOKUP($A29,'Growth Scenarios'!$E$3:$I$80,MATCH('Scenario Picker'!$B$3,'Growth Scenarios'!$F$2:$I$2,0)+1)/1000000000*VLOOKUP($A29,'Growth Scenarios'!$A$3:$D$80,MATCH('Scenario Picker'!$B$2,'Growth Scenarios'!$B$2:$D$2,0)+1)</f>
        <v>67.970844667314722</v>
      </c>
      <c r="H29" s="21">
        <f ca="1">'Electrification Scenario'!H35*(1-'Electrification Scenario'!H$8*('Electrification Scenario'!H35-'Electrification Scenario'!H$4)/('Electrification Scenario'!H$5-'Electrification Scenario'!H$4))*VLOOKUP(H$3,'Static Parameters'!$A$3:$B$9,2)*VLOOKUP($A29,'Growth Scenarios'!$E$3:$I$80,MATCH('Scenario Picker'!$B$3,'Growth Scenarios'!$F$2:$I$2,0)+1)/1000000000*VLOOKUP($A29,'Growth Scenarios'!$A$3:$D$80,MATCH('Scenario Picker'!$B$2,'Growth Scenarios'!$B$2:$D$2,0)+1)</f>
        <v>45.082652890814686</v>
      </c>
      <c r="I29" s="28">
        <f t="shared" ca="1" si="0"/>
        <v>250.70392915500702</v>
      </c>
      <c r="J29" s="25">
        <f ca="1">(1-'Electrification Scenario'!B35)*VLOOKUP(B$3,'Static Parameters'!$A$3:$B$9,2)*VLOOKUP($A29,'Growth Scenarios'!$E$3:$I$80,MATCH('Scenario Picker'!$B$3,'Growth Scenarios'!$F$2:$I$2,0)+1)/1000000000*VLOOKUP($A29,'Growth Scenarios'!$A$3:$D$80,MATCH('Scenario Picker'!$B$2,'Growth Scenarios'!$B$2:$D$2,0)+1)</f>
        <v>3.9752354363847759</v>
      </c>
      <c r="K29" s="21">
        <f ca="1">(1-'Electrification Scenario'!C35)*VLOOKUP(C$3,'Static Parameters'!$A$3:$B$9,2)*VLOOKUP($A29,'Growth Scenarios'!$E$3:$I$80,MATCH('Scenario Picker'!$B$3,'Growth Scenarios'!$F$2:$I$2,0)+1)/1000000000*VLOOKUP($A29,'Growth Scenarios'!$A$3:$D$80,MATCH('Scenario Picker'!$B$2,'Growth Scenarios'!$B$2:$D$2,0)+1)</f>
        <v>1.2478425747485924</v>
      </c>
      <c r="L29" s="21">
        <f ca="1">(1-'Electrification Scenario'!D35)*VLOOKUP(D$3,'Static Parameters'!$A$3:$B$9,2)*VLOOKUP($A29,'Growth Scenarios'!$E$3:$I$80,MATCH('Scenario Picker'!$B$3,'Growth Scenarios'!$F$2:$I$2,0)+1)/1000000000*VLOOKUP($A29,'Growth Scenarios'!$A$3:$D$80,MATCH('Scenario Picker'!$B$2,'Growth Scenarios'!$B$2:$D$2,0)+1)</f>
        <v>0.17166886485298555</v>
      </c>
      <c r="M29" s="21">
        <f ca="1">(1-'Electrification Scenario'!E35)*VLOOKUP(E$3,'Static Parameters'!$A$3:$B$9,2)*VLOOKUP($A29,'Growth Scenarios'!$E$3:$I$80,MATCH('Scenario Picker'!$B$3,'Growth Scenarios'!$F$2:$I$2,0)+1)/1000000000*VLOOKUP($A29,'Growth Scenarios'!$A$3:$D$80,MATCH('Scenario Picker'!$B$2,'Growth Scenarios'!$B$2:$D$2,0)+1)</f>
        <v>7.2188417035806571</v>
      </c>
      <c r="N29" s="21">
        <f ca="1">(1-'Electrification Scenario'!F35)*VLOOKUP(F$3,'Static Parameters'!$A$3:$B$9,2)*VLOOKUP($A29,'Growth Scenarios'!$E$3:$I$80,MATCH('Scenario Picker'!$B$3,'Growth Scenarios'!$F$2:$I$2,0)+1)/1000000000*VLOOKUP($A29,'Growth Scenarios'!$A$3:$D$80,MATCH('Scenario Picker'!$B$2,'Growth Scenarios'!$B$2:$D$2,0)+1)</f>
        <v>1.7335840025399911</v>
      </c>
      <c r="O29" s="21">
        <f ca="1">(1-'Electrification Scenario'!G35)*VLOOKUP(G$3,'Static Parameters'!$A$3:$B$9,2)*VLOOKUP($A29,'Growth Scenarios'!$E$3:$I$80,MATCH('Scenario Picker'!$B$3,'Growth Scenarios'!$F$2:$I$2,0)+1)/1000000000*VLOOKUP($A29,'Growth Scenarios'!$A$3:$D$80,MATCH('Scenario Picker'!$B$2,'Growth Scenarios'!$B$2:$D$2,0)+1)</f>
        <v>4.8875845529321005</v>
      </c>
      <c r="P29" s="21">
        <f ca="1">(1-'Electrification Scenario'!H35)*VLOOKUP(H$3,'Static Parameters'!$A$3:$B$9,2)*VLOOKUP($A29,'Growth Scenarios'!$E$3:$I$80,MATCH('Scenario Picker'!$B$3,'Growth Scenarios'!$F$2:$I$2,0)+1)/1000000000*VLOOKUP($A29,'Growth Scenarios'!$A$3:$D$80,MATCH('Scenario Picker'!$B$2,'Growth Scenarios'!$B$2:$D$2,0)+1)</f>
        <v>37.076854375242689</v>
      </c>
      <c r="Q29" s="28">
        <f t="shared" ca="1" si="1"/>
        <v>56.311611510281793</v>
      </c>
      <c r="R29" s="28">
        <f t="shared" ca="1" si="2"/>
        <v>307.01554066528882</v>
      </c>
    </row>
    <row r="30" spans="1:18" ht="15" x14ac:dyDescent="0.35">
      <c r="A30" s="31">
        <v>2048</v>
      </c>
      <c r="B30" s="25">
        <f ca="1">'Electrification Scenario'!B36*(1-'Electrification Scenario'!B$8*('Electrification Scenario'!B36-'Electrification Scenario'!B$4)/('Electrification Scenario'!B$5-'Electrification Scenario'!B$4))*VLOOKUP(B$3,'Static Parameters'!$A$3:$B$9,2)*VLOOKUP($A30,'Growth Scenarios'!$E$3:$I$80,MATCH('Scenario Picker'!$B$3,'Growth Scenarios'!$F$2:$I$2,0)+1)/1000000000*VLOOKUP($A30,'Growth Scenarios'!$A$3:$D$80,MATCH('Scenario Picker'!$B$2,'Growth Scenarios'!$B$2:$D$2,0)+1)</f>
        <v>4.4566209826676966</v>
      </c>
      <c r="C30" s="21">
        <f ca="1">'Electrification Scenario'!C36*(1-'Electrification Scenario'!C$8*('Electrification Scenario'!C36-'Electrification Scenario'!C$4)/('Electrification Scenario'!C$5-'Electrification Scenario'!C$4))*VLOOKUP(C$3,'Static Parameters'!$A$3:$B$9,2)*VLOOKUP($A30,'Growth Scenarios'!$E$3:$I$80,MATCH('Scenario Picker'!$B$3,'Growth Scenarios'!$F$2:$I$2,0)+1)/1000000000*VLOOKUP($A30,'Growth Scenarios'!$A$3:$D$80,MATCH('Scenario Picker'!$B$2,'Growth Scenarios'!$B$2:$D$2,0)+1)</f>
        <v>27.249137177499872</v>
      </c>
      <c r="D30" s="21">
        <f ca="1">'Electrification Scenario'!D36*(1-'Electrification Scenario'!D$8*('Electrification Scenario'!D36-'Electrification Scenario'!D$4)/('Electrification Scenario'!D$5-'Electrification Scenario'!D$4))*VLOOKUP(D$3,'Static Parameters'!$A$3:$B$9,2)*VLOOKUP($A30,'Growth Scenarios'!$E$3:$I$80,MATCH('Scenario Picker'!$B$3,'Growth Scenarios'!$F$2:$I$2,0)+1)/1000000000*VLOOKUP($A30,'Growth Scenarios'!$A$3:$D$80,MATCH('Scenario Picker'!$B$2,'Growth Scenarios'!$B$2:$D$2,0)+1)</f>
        <v>0.18326677293737448</v>
      </c>
      <c r="E30" s="21">
        <f ca="1">'Electrification Scenario'!E36*(1-'Electrification Scenario'!E$8*('Electrification Scenario'!E36-'Electrification Scenario'!E$4)/('Electrification Scenario'!E$5-'Electrification Scenario'!E$4))*VLOOKUP(E$3,'Static Parameters'!$A$3:$B$9,2)*VLOOKUP($A30,'Growth Scenarios'!$E$3:$I$80,MATCH('Scenario Picker'!$B$3,'Growth Scenarios'!$F$2:$I$2,0)+1)/1000000000*VLOOKUP($A30,'Growth Scenarios'!$A$3:$D$80,MATCH('Scenario Picker'!$B$2,'Growth Scenarios'!$B$2:$D$2,0)+1)</f>
        <v>103.37082883630377</v>
      </c>
      <c r="F30" s="21">
        <f ca="1">'Electrification Scenario'!F36*(1-'Electrification Scenario'!F$8*('Electrification Scenario'!F36-'Electrification Scenario'!F$4)/('Electrification Scenario'!F$5-'Electrification Scenario'!F$4))*VLOOKUP(F$3,'Static Parameters'!$A$3:$B$9,2)*VLOOKUP($A30,'Growth Scenarios'!$E$3:$I$80,MATCH('Scenario Picker'!$B$3,'Growth Scenarios'!$F$2:$I$2,0)+1)/1000000000*VLOOKUP($A30,'Growth Scenarios'!$A$3:$D$80,MATCH('Scenario Picker'!$B$2,'Growth Scenarios'!$B$2:$D$2,0)+1)</f>
        <v>3.993905735310924</v>
      </c>
      <c r="G30" s="21">
        <f ca="1">'Electrification Scenario'!G36*(1-'Electrification Scenario'!G$8*('Electrification Scenario'!G36-'Electrification Scenario'!G$4)/('Electrification Scenario'!G$5-'Electrification Scenario'!G$4))*VLOOKUP(G$3,'Static Parameters'!$A$3:$B$9,2)*VLOOKUP($A30,'Growth Scenarios'!$E$3:$I$80,MATCH('Scenario Picker'!$B$3,'Growth Scenarios'!$F$2:$I$2,0)+1)/1000000000*VLOOKUP($A30,'Growth Scenarios'!$A$3:$D$80,MATCH('Scenario Picker'!$B$2,'Growth Scenarios'!$B$2:$D$2,0)+1)</f>
        <v>68.988842122288972</v>
      </c>
      <c r="H30" s="21">
        <f ca="1">'Electrification Scenario'!H36*(1-'Electrification Scenario'!H$8*('Electrification Scenario'!H36-'Electrification Scenario'!H$4)/('Electrification Scenario'!H$5-'Electrification Scenario'!H$4))*VLOOKUP(H$3,'Static Parameters'!$A$3:$B$9,2)*VLOOKUP($A30,'Growth Scenarios'!$E$3:$I$80,MATCH('Scenario Picker'!$B$3,'Growth Scenarios'!$F$2:$I$2,0)+1)/1000000000*VLOOKUP($A30,'Growth Scenarios'!$A$3:$D$80,MATCH('Scenario Picker'!$B$2,'Growth Scenarios'!$B$2:$D$2,0)+1)</f>
        <v>45.052333735302369</v>
      </c>
      <c r="I30" s="28">
        <f t="shared" ca="1" si="0"/>
        <v>253.29493536231101</v>
      </c>
      <c r="J30" s="25">
        <f ca="1">(1-'Electrification Scenario'!B36)*VLOOKUP(B$3,'Static Parameters'!$A$3:$B$9,2)*VLOOKUP($A30,'Growth Scenarios'!$E$3:$I$80,MATCH('Scenario Picker'!$B$3,'Growth Scenarios'!$F$2:$I$2,0)+1)/1000000000*VLOOKUP($A30,'Growth Scenarios'!$A$3:$D$80,MATCH('Scenario Picker'!$B$2,'Growth Scenarios'!$B$2:$D$2,0)+1)</f>
        <v>3.8526740565539472</v>
      </c>
      <c r="K30" s="21">
        <f ca="1">(1-'Electrification Scenario'!C36)*VLOOKUP(C$3,'Static Parameters'!$A$3:$B$9,2)*VLOOKUP($A30,'Growth Scenarios'!$E$3:$I$80,MATCH('Scenario Picker'!$B$3,'Growth Scenarios'!$F$2:$I$2,0)+1)/1000000000*VLOOKUP($A30,'Growth Scenarios'!$A$3:$D$80,MATCH('Scenario Picker'!$B$2,'Growth Scenarios'!$B$2:$D$2,0)+1)</f>
        <v>0.62108902003068078</v>
      </c>
      <c r="L30" s="21">
        <f ca="1">(1-'Electrification Scenario'!D36)*VLOOKUP(D$3,'Static Parameters'!$A$3:$B$9,2)*VLOOKUP($A30,'Growth Scenarios'!$E$3:$I$80,MATCH('Scenario Picker'!$B$3,'Growth Scenarios'!$F$2:$I$2,0)+1)/1000000000*VLOOKUP($A30,'Growth Scenarios'!$A$3:$D$80,MATCH('Scenario Picker'!$B$2,'Growth Scenarios'!$B$2:$D$2,0)+1)</f>
        <v>0.16353141750807795</v>
      </c>
      <c r="M30" s="21">
        <f ca="1">(1-'Electrification Scenario'!E36)*VLOOKUP(E$3,'Static Parameters'!$A$3:$B$9,2)*VLOOKUP($A30,'Growth Scenarios'!$E$3:$I$80,MATCH('Scenario Picker'!$B$3,'Growth Scenarios'!$F$2:$I$2,0)+1)/1000000000*VLOOKUP($A30,'Growth Scenarios'!$A$3:$D$80,MATCH('Scenario Picker'!$B$2,'Growth Scenarios'!$B$2:$D$2,0)+1)</f>
        <v>3.5930360208592966</v>
      </c>
      <c r="N30" s="21">
        <f ca="1">(1-'Electrification Scenario'!F36)*VLOOKUP(F$3,'Static Parameters'!$A$3:$B$9,2)*VLOOKUP($A30,'Growth Scenarios'!$E$3:$I$80,MATCH('Scenario Picker'!$B$3,'Growth Scenarios'!$F$2:$I$2,0)+1)/1000000000*VLOOKUP($A30,'Growth Scenarios'!$A$3:$D$80,MATCH('Scenario Picker'!$B$2,'Growth Scenarios'!$B$2:$D$2,0)+1)</f>
        <v>1.6925276462199697</v>
      </c>
      <c r="O30" s="21">
        <f ca="1">(1-'Electrification Scenario'!G36)*VLOOKUP(G$3,'Static Parameters'!$A$3:$B$9,2)*VLOOKUP($A30,'Growth Scenarios'!$E$3:$I$80,MATCH('Scenario Picker'!$B$3,'Growth Scenarios'!$F$2:$I$2,0)+1)/1000000000*VLOOKUP($A30,'Growth Scenarios'!$A$3:$D$80,MATCH('Scenario Picker'!$B$2,'Growth Scenarios'!$B$2:$D$2,0)+1)</f>
        <v>2.4326987728474401</v>
      </c>
      <c r="P30" s="21">
        <f ca="1">(1-'Electrification Scenario'!H36)*VLOOKUP(H$3,'Static Parameters'!$A$3:$B$9,2)*VLOOKUP($A30,'Growth Scenarios'!$E$3:$I$80,MATCH('Scenario Picker'!$B$3,'Growth Scenarios'!$F$2:$I$2,0)+1)/1000000000*VLOOKUP($A30,'Growth Scenarios'!$A$3:$D$80,MATCH('Scenario Picker'!$B$2,'Growth Scenarios'!$B$2:$D$2,0)+1)</f>
        <v>33.485948441654109</v>
      </c>
      <c r="Q30" s="28">
        <f t="shared" ca="1" si="1"/>
        <v>45.84150537567352</v>
      </c>
      <c r="R30" s="28">
        <f t="shared" ca="1" si="2"/>
        <v>299.13644073798451</v>
      </c>
    </row>
    <row r="31" spans="1:18" ht="15" x14ac:dyDescent="0.35">
      <c r="A31" s="31">
        <v>2049</v>
      </c>
      <c r="B31" s="25">
        <f ca="1">'Electrification Scenario'!B37*(1-'Electrification Scenario'!B$8*('Electrification Scenario'!B37-'Electrification Scenario'!B$4)/('Electrification Scenario'!B$5-'Electrification Scenario'!B$4))*VLOOKUP(B$3,'Static Parameters'!$A$3:$B$9,2)*VLOOKUP($A31,'Growth Scenarios'!$E$3:$I$80,MATCH('Scenario Picker'!$B$3,'Growth Scenarios'!$F$2:$I$2,0)+1)/1000000000*VLOOKUP($A31,'Growth Scenarios'!$A$3:$D$80,MATCH('Scenario Picker'!$B$2,'Growth Scenarios'!$B$2:$D$2,0)+1)</f>
        <v>4.4747985342307812</v>
      </c>
      <c r="C31" s="21">
        <f ca="1">'Electrification Scenario'!C37*(1-'Electrification Scenario'!C$8*('Electrification Scenario'!C37-'Electrification Scenario'!C$4)/('Electrification Scenario'!C$5-'Electrification Scenario'!C$4))*VLOOKUP(C$3,'Static Parameters'!$A$3:$B$9,2)*VLOOKUP($A31,'Growth Scenarios'!$E$3:$I$80,MATCH('Scenario Picker'!$B$3,'Growth Scenarios'!$F$2:$I$2,0)+1)/1000000000*VLOOKUP($A31,'Growth Scenarios'!$A$3:$D$80,MATCH('Scenario Picker'!$B$2,'Growth Scenarios'!$B$2:$D$2,0)+1)</f>
        <v>27.345991042521444</v>
      </c>
      <c r="D31" s="21">
        <f ca="1">'Electrification Scenario'!D37*(1-'Electrification Scenario'!D$8*('Electrification Scenario'!D37-'Electrification Scenario'!D$4)/('Electrification Scenario'!D$5-'Electrification Scenario'!D$4))*VLOOKUP(D$3,'Static Parameters'!$A$3:$B$9,2)*VLOOKUP($A31,'Growth Scenarios'!$E$3:$I$80,MATCH('Scenario Picker'!$B$3,'Growth Scenarios'!$F$2:$I$2,0)+1)/1000000000*VLOOKUP($A31,'Growth Scenarios'!$A$3:$D$80,MATCH('Scenario Picker'!$B$2,'Growth Scenarios'!$B$2:$D$2,0)+1)</f>
        <v>0.18644993892628259</v>
      </c>
      <c r="E31" s="21">
        <f ca="1">'Electrification Scenario'!E37*(1-'Electrification Scenario'!E$8*('Electrification Scenario'!E37-'Electrification Scenario'!E$4)/('Electrification Scenario'!E$5-'Electrification Scenario'!E$4))*VLOOKUP(E$3,'Static Parameters'!$A$3:$B$9,2)*VLOOKUP($A31,'Growth Scenarios'!$E$3:$I$80,MATCH('Scenario Picker'!$B$3,'Growth Scenarios'!$F$2:$I$2,0)+1)/1000000000*VLOOKUP($A31,'Growth Scenarios'!$A$3:$D$80,MATCH('Scenario Picker'!$B$2,'Growth Scenarios'!$B$2:$D$2,0)+1)</f>
        <v>104.72271569692872</v>
      </c>
      <c r="F31" s="21">
        <f ca="1">'Electrification Scenario'!F37*(1-'Electrification Scenario'!F$8*('Electrification Scenario'!F37-'Electrification Scenario'!F$4)/('Electrification Scenario'!F$5-'Electrification Scenario'!F$4))*VLOOKUP(F$3,'Static Parameters'!$A$3:$B$9,2)*VLOOKUP($A31,'Growth Scenarios'!$E$3:$I$80,MATCH('Scenario Picker'!$B$3,'Growth Scenarios'!$F$2:$I$2,0)+1)/1000000000*VLOOKUP($A31,'Growth Scenarios'!$A$3:$D$80,MATCH('Scenario Picker'!$B$2,'Growth Scenarios'!$B$2:$D$2,0)+1)</f>
        <v>3.9620612021835058</v>
      </c>
      <c r="G31" s="21">
        <f ca="1">'Electrification Scenario'!G37*(1-'Electrification Scenario'!G$8*('Electrification Scenario'!G37-'Electrification Scenario'!G$4)/('Electrification Scenario'!G$5-'Electrification Scenario'!G$4))*VLOOKUP(G$3,'Static Parameters'!$A$3:$B$9,2)*VLOOKUP($A31,'Growth Scenarios'!$E$3:$I$80,MATCH('Scenario Picker'!$B$3,'Growth Scenarios'!$F$2:$I$2,0)+1)/1000000000*VLOOKUP($A31,'Growth Scenarios'!$A$3:$D$80,MATCH('Scenario Picker'!$B$2,'Growth Scenarios'!$B$2:$D$2,0)+1)</f>
        <v>69.918727097355983</v>
      </c>
      <c r="H31" s="21">
        <f ca="1">'Electrification Scenario'!H37*(1-'Electrification Scenario'!H$8*('Electrification Scenario'!H37-'Electrification Scenario'!H$4)/('Electrification Scenario'!H$5-'Electrification Scenario'!H$4))*VLOOKUP(H$3,'Static Parameters'!$A$3:$B$9,2)*VLOOKUP($A31,'Growth Scenarios'!$E$3:$I$80,MATCH('Scenario Picker'!$B$3,'Growth Scenarios'!$F$2:$I$2,0)+1)/1000000000*VLOOKUP($A31,'Growth Scenarios'!$A$3:$D$80,MATCH('Scenario Picker'!$B$2,'Growth Scenarios'!$B$2:$D$2,0)+1)</f>
        <v>44.864516554136749</v>
      </c>
      <c r="I31" s="28">
        <f t="shared" ca="1" si="0"/>
        <v>255.47526006628345</v>
      </c>
      <c r="J31" s="25">
        <f ca="1">(1-'Electrification Scenario'!B37)*VLOOKUP(B$3,'Static Parameters'!$A$3:$B$9,2)*VLOOKUP($A31,'Growth Scenarios'!$E$3:$I$80,MATCH('Scenario Picker'!$B$3,'Growth Scenarios'!$F$2:$I$2,0)+1)/1000000000*VLOOKUP($A31,'Growth Scenarios'!$A$3:$D$80,MATCH('Scenario Picker'!$B$2,'Growth Scenarios'!$B$2:$D$2,0)+1)</f>
        <v>3.7289987785256522</v>
      </c>
      <c r="K31" s="21">
        <f ca="1">(1-'Electrification Scenario'!C37)*VLOOKUP(C$3,'Static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L31" s="21">
        <f ca="1">(1-'Electrification Scenario'!D37)*VLOOKUP(D$3,'Static Parameters'!$A$3:$B$9,2)*VLOOKUP($A31,'Growth Scenarios'!$E$3:$I$80,MATCH('Scenario Picker'!$B$3,'Growth Scenarios'!$F$2:$I$2,0)+1)/1000000000*VLOOKUP($A31,'Growth Scenarios'!$A$3:$D$80,MATCH('Scenario Picker'!$B$2,'Growth Scenarios'!$B$2:$D$2,0)+1)</f>
        <v>0.1553749491052355</v>
      </c>
      <c r="M31" s="21">
        <f ca="1">(1-'Electrification Scenario'!E37)*VLOOKUP(E$3,'Static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N31" s="21">
        <f ca="1">(1-'Electrification Scenario'!F37)*VLOOKUP(F$3,'Static Parameters'!$A$3:$B$9,2)*VLOOKUP($A31,'Growth Scenarios'!$E$3:$I$80,MATCH('Scenario Picker'!$B$3,'Growth Scenarios'!$F$2:$I$2,0)+1)/1000000000*VLOOKUP($A31,'Growth Scenarios'!$A$3:$D$80,MATCH('Scenario Picker'!$B$2,'Growth Scenarios'!$B$2:$D$2,0)+1)</f>
        <v>1.6508588342431274</v>
      </c>
      <c r="O31" s="21">
        <f ca="1">(1-'Electrification Scenario'!G37)*VLOOKUP(G$3,'Static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P31" s="21">
        <f ca="1">(1-'Electrification Scenario'!H37)*VLOOKUP(H$3,'Static Parameters'!$A$3:$B$9,2)*VLOOKUP($A31,'Growth Scenarios'!$E$3:$I$80,MATCH('Scenario Picker'!$B$3,'Growth Scenarios'!$F$2:$I$2,0)+1)/1000000000*VLOOKUP($A31,'Growth Scenarios'!$A$3:$D$80,MATCH('Scenario Picker'!$B$2,'Growth Scenarios'!$B$2:$D$2,0)+1)</f>
        <v>29.909677702757833</v>
      </c>
      <c r="Q31" s="28">
        <f t="shared" ca="1" si="1"/>
        <v>35.444910264631844</v>
      </c>
      <c r="R31" s="28">
        <f t="shared" ca="1" si="2"/>
        <v>290.92017033091531</v>
      </c>
    </row>
    <row r="32" spans="1:18" ht="15" x14ac:dyDescent="0.35">
      <c r="A32" s="31">
        <v>2050</v>
      </c>
      <c r="B32" s="25">
        <f ca="1">'Electrification Scenario'!B38*(1-'Electrification Scenario'!B$8*('Electrification Scenario'!B38-'Electrification Scenario'!B$4)/('Electrification Scenario'!B$5-'Electrification Scenario'!B$4))*VLOOKUP(B$3,'Static Parameters'!$A$3:$B$9,2)*VLOOKUP($A32,'Growth Scenarios'!$E$3:$I$80,MATCH('Scenario Picker'!$B$3,'Growth Scenarios'!$F$2:$I$2,0)+1)/1000000000*VLOOKUP($A32,'Growth Scenarios'!$A$3:$D$80,MATCH('Scenario Picker'!$B$2,'Growth Scenarios'!$B$2:$D$2,0)+1)</f>
        <v>4.4493822251288151</v>
      </c>
      <c r="C32" s="21">
        <f ca="1">'Electrification Scenario'!C38*(1-'Electrification Scenario'!C$8*('Electrification Scenario'!C38-'Electrification Scenario'!C$4)/('Electrification Scenario'!C$5-'Electrification Scenario'!C$4))*VLOOKUP(C$3,'Static Parameters'!$A$3:$B$9,2)*VLOOKUP($A32,'Growth Scenarios'!$E$3:$I$80,MATCH('Scenario Picker'!$B$3,'Growth Scenarios'!$F$2:$I$2,0)+1)/1000000000*VLOOKUP($A32,'Growth Scenarios'!$A$3:$D$80,MATCH('Scenario Picker'!$B$2,'Growth Scenarios'!$B$2:$D$2,0)+1)</f>
        <v>27.190669153564983</v>
      </c>
      <c r="D32" s="21">
        <f ca="1">'Electrification Scenario'!D38*(1-'Electrification Scenario'!D$8*('Electrification Scenario'!D38-'Electrification Scenario'!D$4)/('Electrification Scenario'!D$5-'Electrification Scenario'!D$4))*VLOOKUP(D$3,'Static Parameters'!$A$3:$B$9,2)*VLOOKUP($A32,'Growth Scenarios'!$E$3:$I$80,MATCH('Scenario Picker'!$B$3,'Growth Scenarios'!$F$2:$I$2,0)+1)/1000000000*VLOOKUP($A32,'Growth Scenarios'!$A$3:$D$80,MATCH('Scenario Picker'!$B$2,'Growth Scenarios'!$B$2:$D$2,0)+1)</f>
        <v>0.18539092604703397</v>
      </c>
      <c r="E32" s="21">
        <f ca="1">'Electrification Scenario'!E38*(1-'Electrification Scenario'!E$8*('Electrification Scenario'!E38-'Electrification Scenario'!E$4)/('Electrification Scenario'!E$5-'Electrification Scenario'!E$4))*VLOOKUP(E$3,'Static Parameters'!$A$3:$B$9,2)*VLOOKUP($A32,'Growth Scenarios'!$E$3:$I$80,MATCH('Scenario Picker'!$B$3,'Growth Scenarios'!$F$2:$I$2,0)+1)/1000000000*VLOOKUP($A32,'Growth Scenarios'!$A$3:$D$80,MATCH('Scenario Picker'!$B$2,'Growth Scenarios'!$B$2:$D$2,0)+1)</f>
        <v>104.12790346308408</v>
      </c>
      <c r="F32" s="21">
        <f ca="1">'Electrification Scenario'!F38*(1-'Electrification Scenario'!F$8*('Electrification Scenario'!F38-'Electrification Scenario'!F$4)/('Electrification Scenario'!F$5-'Electrification Scenario'!F$4))*VLOOKUP(F$3,'Static Parameters'!$A$3:$B$9,2)*VLOOKUP($A32,'Growth Scenarios'!$E$3:$I$80,MATCH('Scenario Picker'!$B$3,'Growth Scenarios'!$F$2:$I$2,0)+1)/1000000000*VLOOKUP($A32,'Growth Scenarios'!$A$3:$D$80,MATCH('Scenario Picker'!$B$2,'Growth Scenarios'!$B$2:$D$2,0)+1)</f>
        <v>3.9395571784994732</v>
      </c>
      <c r="G32" s="21">
        <f ca="1">'Electrification Scenario'!G38*(1-'Electrification Scenario'!G$8*('Electrification Scenario'!G38-'Electrification Scenario'!G$4)/('Electrification Scenario'!G$5-'Electrification Scenario'!G$4))*VLOOKUP(G$3,'Static Parameters'!$A$3:$B$9,2)*VLOOKUP($A32,'Growth Scenarios'!$E$3:$I$80,MATCH('Scenario Picker'!$B$3,'Growth Scenarios'!$F$2:$I$2,0)+1)/1000000000*VLOOKUP($A32,'Growth Scenarios'!$A$3:$D$80,MATCH('Scenario Picker'!$B$2,'Growth Scenarios'!$B$2:$D$2,0)+1)</f>
        <v>69.521597267637745</v>
      </c>
      <c r="H32" s="21">
        <f ca="1">'Electrification Scenario'!H38*(1-'Electrification Scenario'!H$8*('Electrification Scenario'!H38-'Electrification Scenario'!H$4)/('Electrification Scenario'!H$5-'Electrification Scenario'!H$4))*VLOOKUP(H$3,'Static Parameters'!$A$3:$B$9,2)*VLOOKUP($A32,'Growth Scenarios'!$E$3:$I$80,MATCH('Scenario Picker'!$B$3,'Growth Scenarios'!$F$2:$I$2,0)+1)/1000000000*VLOOKUP($A32,'Growth Scenarios'!$A$3:$D$80,MATCH('Scenario Picker'!$B$2,'Growth Scenarios'!$B$2:$D$2,0)+1)</f>
        <v>44.609691580067555</v>
      </c>
      <c r="I32" s="28">
        <f t="shared" ca="1" si="0"/>
        <v>254.02419179402969</v>
      </c>
      <c r="J32" s="25">
        <f ca="1">(1-'Electrification Scenario'!B38)*VLOOKUP(B$3,'Static Parameters'!$A$3:$B$9,2)*VLOOKUP($A32,'Growth Scenarios'!$E$3:$I$80,MATCH('Scenario Picker'!$B$3,'Growth Scenarios'!$F$2:$I$2,0)+1)/1000000000*VLOOKUP($A32,'Growth Scenarios'!$A$3:$D$80,MATCH('Scenario Picker'!$B$2,'Growth Scenarios'!$B$2:$D$2,0)+1)</f>
        <v>3.70781852094068</v>
      </c>
      <c r="K32" s="21">
        <f ca="1">(1-'Electrification Scenario'!C38)*VLOOKUP(C$3,'Static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L32" s="21">
        <f ca="1">(1-'Electrification Scenario'!D38)*VLOOKUP(D$3,'Static Parameters'!$A$3:$B$9,2)*VLOOKUP($A32,'Growth Scenarios'!$E$3:$I$80,MATCH('Scenario Picker'!$B$3,'Growth Scenarios'!$F$2:$I$2,0)+1)/1000000000*VLOOKUP($A32,'Growth Scenarios'!$A$3:$D$80,MATCH('Scenario Picker'!$B$2,'Growth Scenarios'!$B$2:$D$2,0)+1)</f>
        <v>0.1544924383725283</v>
      </c>
      <c r="M32" s="21">
        <f ca="1">(1-'Electrification Scenario'!E38)*VLOOKUP(E$3,'Static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N32" s="21">
        <f ca="1">(1-'Electrification Scenario'!F38)*VLOOKUP(F$3,'Static Parameters'!$A$3:$B$9,2)*VLOOKUP($A32,'Growth Scenarios'!$E$3:$I$80,MATCH('Scenario Picker'!$B$3,'Growth Scenarios'!$F$2:$I$2,0)+1)/1000000000*VLOOKUP($A32,'Growth Scenarios'!$A$3:$D$80,MATCH('Scenario Picker'!$B$2,'Growth Scenarios'!$B$2:$D$2,0)+1)</f>
        <v>1.6414821577081133</v>
      </c>
      <c r="O32" s="21">
        <f ca="1">(1-'Electrification Scenario'!G38)*VLOOKUP(G$3,'Static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P32" s="21">
        <f ca="1">(1-'Electrification Scenario'!H38)*VLOOKUP(H$3,'Static Parameters'!$A$3:$B$9,2)*VLOOKUP($A32,'Growth Scenarios'!$E$3:$I$80,MATCH('Scenario Picker'!$B$3,'Growth Scenarios'!$F$2:$I$2,0)+1)/1000000000*VLOOKUP($A32,'Growth Scenarios'!$A$3:$D$80,MATCH('Scenario Picker'!$B$2,'Growth Scenarios'!$B$2:$D$2,0)+1)</f>
        <v>29.739794386711704</v>
      </c>
      <c r="Q32" s="28">
        <f t="shared" ca="1" si="1"/>
        <v>35.243587503733025</v>
      </c>
      <c r="R32" s="28">
        <f t="shared" ca="1" si="2"/>
        <v>289.26777929776273</v>
      </c>
    </row>
    <row r="33" spans="1:18" ht="15" x14ac:dyDescent="0.35">
      <c r="A33" s="31">
        <v>2051</v>
      </c>
      <c r="B33" s="25">
        <f ca="1">'Electrification Scenario'!B39*(1-'Electrification Scenario'!B$8*('Electrification Scenario'!B39-'Electrification Scenario'!B$4)/('Electrification Scenario'!B$5-'Electrification Scenario'!B$4))*VLOOKUP(B$3,'Static Parameters'!$A$3:$B$9,2)*VLOOKUP($A33,'Growth Scenarios'!$E$3:$I$80,MATCH('Scenario Picker'!$B$3,'Growth Scenarios'!$F$2:$I$2,0)+1)/1000000000*VLOOKUP($A33,'Growth Scenarios'!$A$3:$D$80,MATCH('Scenario Picker'!$B$2,'Growth Scenarios'!$B$2:$D$2,0)+1)</f>
        <v>4.4216253771950873</v>
      </c>
      <c r="C33" s="21">
        <f ca="1">'Electrification Scenario'!C39*(1-'Electrification Scenario'!C$8*('Electrification Scenario'!C39-'Electrification Scenario'!C$4)/('Electrification Scenario'!C$5-'Electrification Scenario'!C$4))*VLOOKUP(C$3,'Static Parameters'!$A$3:$B$9,2)*VLOOKUP($A33,'Growth Scenarios'!$E$3:$I$80,MATCH('Scenario Picker'!$B$3,'Growth Scenarios'!$F$2:$I$2,0)+1)/1000000000*VLOOKUP($A33,'Growth Scenarios'!$A$3:$D$80,MATCH('Scenario Picker'!$B$2,'Growth Scenarios'!$B$2:$D$2,0)+1)</f>
        <v>27.021043971747755</v>
      </c>
      <c r="D33" s="21">
        <f ca="1">'Electrification Scenario'!D39*(1-'Electrification Scenario'!D$8*('Electrification Scenario'!D39-'Electrification Scenario'!D$4)/('Electrification Scenario'!D$5-'Electrification Scenario'!D$4))*VLOOKUP(D$3,'Static Parameters'!$A$3:$B$9,2)*VLOOKUP($A33,'Growth Scenarios'!$E$3:$I$80,MATCH('Scenario Picker'!$B$3,'Growth Scenarios'!$F$2:$I$2,0)+1)/1000000000*VLOOKUP($A33,'Growth Scenarios'!$A$3:$D$80,MATCH('Scenario Picker'!$B$2,'Growth Scenarios'!$B$2:$D$2,0)+1)</f>
        <v>0.184234390716462</v>
      </c>
      <c r="E33" s="21">
        <f ca="1">'Electrification Scenario'!E39*(1-'Electrification Scenario'!E$8*('Electrification Scenario'!E39-'Electrification Scenario'!E$4)/('Electrification Scenario'!E$5-'Electrification Scenario'!E$4))*VLOOKUP(E$3,'Static Parameters'!$A$3:$B$9,2)*VLOOKUP($A33,'Growth Scenarios'!$E$3:$I$80,MATCH('Scenario Picker'!$B$3,'Growth Scenarios'!$F$2:$I$2,0)+1)/1000000000*VLOOKUP($A33,'Growth Scenarios'!$A$3:$D$80,MATCH('Scenario Picker'!$B$2,'Growth Scenarios'!$B$2:$D$2,0)+1)</f>
        <v>103.47831611907948</v>
      </c>
      <c r="F33" s="21">
        <f ca="1">'Electrification Scenario'!F39*(1-'Electrification Scenario'!F$8*('Electrification Scenario'!F39-'Electrification Scenario'!F$4)/('Electrification Scenario'!F$5-'Electrification Scenario'!F$4))*VLOOKUP(F$3,'Static Parameters'!$A$3:$B$9,2)*VLOOKUP($A33,'Growth Scenarios'!$E$3:$I$80,MATCH('Scenario Picker'!$B$3,'Growth Scenarios'!$F$2:$I$2,0)+1)/1000000000*VLOOKUP($A33,'Growth Scenarios'!$A$3:$D$80,MATCH('Scenario Picker'!$B$2,'Growth Scenarios'!$B$2:$D$2,0)+1)</f>
        <v>3.9149808027248176</v>
      </c>
      <c r="G33" s="21">
        <f ca="1">'Electrification Scenario'!G39*(1-'Electrification Scenario'!G$8*('Electrification Scenario'!G39-'Electrification Scenario'!G$4)/('Electrification Scenario'!G$5-'Electrification Scenario'!G$4))*VLOOKUP(G$3,'Static Parameters'!$A$3:$B$9,2)*VLOOKUP($A33,'Growth Scenarios'!$E$3:$I$80,MATCH('Scenario Picker'!$B$3,'Growth Scenarios'!$F$2:$I$2,0)+1)/1000000000*VLOOKUP($A33,'Growth Scenarios'!$A$3:$D$80,MATCH('Scenario Picker'!$B$2,'Growth Scenarios'!$B$2:$D$2,0)+1)</f>
        <v>69.087896518673247</v>
      </c>
      <c r="H33" s="21">
        <f ca="1">'Electrification Scenario'!H39*(1-'Electrification Scenario'!H$8*('Electrification Scenario'!H39-'Electrification Scenario'!H$4)/('Electrification Scenario'!H$5-'Electrification Scenario'!H$4))*VLOOKUP(H$3,'Static Parameters'!$A$3:$B$9,2)*VLOOKUP($A33,'Growth Scenarios'!$E$3:$I$80,MATCH('Scenario Picker'!$B$3,'Growth Scenarios'!$F$2:$I$2,0)+1)/1000000000*VLOOKUP($A33,'Growth Scenarios'!$A$3:$D$80,MATCH('Scenario Picker'!$B$2,'Growth Scenarios'!$B$2:$D$2,0)+1)</f>
        <v>44.331400266148648</v>
      </c>
      <c r="I33" s="28">
        <f t="shared" ca="1" si="0"/>
        <v>252.43949744628549</v>
      </c>
      <c r="J33" s="25">
        <f ca="1">(1-'Electrification Scenario'!B39)*VLOOKUP(B$3,'Static Parameters'!$A$3:$B$9,2)*VLOOKUP($A33,'Growth Scenarios'!$E$3:$I$80,MATCH('Scenario Picker'!$B$3,'Growth Scenarios'!$F$2:$I$2,0)+1)/1000000000*VLOOKUP($A33,'Growth Scenarios'!$A$3:$D$80,MATCH('Scenario Picker'!$B$2,'Growth Scenarios'!$B$2:$D$2,0)+1)</f>
        <v>3.6846878143292394</v>
      </c>
      <c r="K33" s="21">
        <f ca="1">(1-'Electrification Scenario'!C39)*VLOOKUP(C$3,'Static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L33" s="21">
        <f ca="1">(1-'Electrification Scenario'!D39)*VLOOKUP(D$3,'Static Parameters'!$A$3:$B$9,2)*VLOOKUP($A33,'Growth Scenarios'!$E$3:$I$80,MATCH('Scenario Picker'!$B$3,'Growth Scenarios'!$F$2:$I$2,0)+1)/1000000000*VLOOKUP($A33,'Growth Scenarios'!$A$3:$D$80,MATCH('Scenario Picker'!$B$2,'Growth Scenarios'!$B$2:$D$2,0)+1)</f>
        <v>0.15352865893038498</v>
      </c>
      <c r="M33" s="21">
        <f ca="1">(1-'Electrification Scenario'!E39)*VLOOKUP(E$3,'Static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N33" s="21">
        <f ca="1">(1-'Electrification Scenario'!F39)*VLOOKUP(F$3,'Static Parameters'!$A$3:$B$9,2)*VLOOKUP($A33,'Growth Scenarios'!$E$3:$I$80,MATCH('Scenario Picker'!$B$3,'Growth Scenarios'!$F$2:$I$2,0)+1)/1000000000*VLOOKUP($A33,'Growth Scenarios'!$A$3:$D$80,MATCH('Scenario Picker'!$B$2,'Growth Scenarios'!$B$2:$D$2,0)+1)</f>
        <v>1.6312420011353403</v>
      </c>
      <c r="O33" s="21">
        <f ca="1">(1-'Electrification Scenario'!G39)*VLOOKUP(G$3,'Static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P33" s="21">
        <f ca="1">(1-'Electrification Scenario'!H39)*VLOOKUP(H$3,'Static Parameters'!$A$3:$B$9,2)*VLOOKUP($A33,'Growth Scenarios'!$E$3:$I$80,MATCH('Scenario Picker'!$B$3,'Growth Scenarios'!$F$2:$I$2,0)+1)/1000000000*VLOOKUP($A33,'Growth Scenarios'!$A$3:$D$80,MATCH('Scenario Picker'!$B$2,'Growth Scenarios'!$B$2:$D$2,0)+1)</f>
        <v>29.554266844099111</v>
      </c>
      <c r="Q33" s="28">
        <f t="shared" ca="1" si="1"/>
        <v>35.023725318494073</v>
      </c>
      <c r="R33" s="28">
        <f t="shared" ca="1" si="2"/>
        <v>287.46322276477957</v>
      </c>
    </row>
    <row r="34" spans="1:18" ht="15" x14ac:dyDescent="0.35">
      <c r="A34" s="31">
        <v>2052</v>
      </c>
      <c r="B34" s="25">
        <f ca="1">'Electrification Scenario'!B40*(1-'Electrification Scenario'!B$8*('Electrification Scenario'!B40-'Electrification Scenario'!B$4)/('Electrification Scenario'!B$5-'Electrification Scenario'!B$4))*VLOOKUP(B$3,'Static Parameters'!$A$3:$B$9,2)*VLOOKUP($A34,'Growth Scenarios'!$E$3:$I$80,MATCH('Scenario Picker'!$B$3,'Growth Scenarios'!$F$2:$I$2,0)+1)/1000000000*VLOOKUP($A34,'Growth Scenarios'!$A$3:$D$80,MATCH('Scenario Picker'!$B$2,'Growth Scenarios'!$B$2:$D$2,0)+1)</f>
        <v>4.3916278776852486</v>
      </c>
      <c r="C34" s="21">
        <f ca="1">'Electrification Scenario'!C40*(1-'Electrification Scenario'!C$8*('Electrification Scenario'!C40-'Electrification Scenario'!C$4)/('Electrification Scenario'!C$5-'Electrification Scenario'!C$4))*VLOOKUP(C$3,'Static Parameters'!$A$3:$B$9,2)*VLOOKUP($A34,'Growth Scenarios'!$E$3:$I$80,MATCH('Scenario Picker'!$B$3,'Growth Scenarios'!$F$2:$I$2,0)+1)/1000000000*VLOOKUP($A34,'Growth Scenarios'!$A$3:$D$80,MATCH('Scenario Picker'!$B$2,'Growth Scenarios'!$B$2:$D$2,0)+1)</f>
        <v>26.837725919187637</v>
      </c>
      <c r="D34" s="21">
        <f ca="1">'Electrification Scenario'!D40*(1-'Electrification Scenario'!D$8*('Electrification Scenario'!D40-'Electrification Scenario'!D$4)/('Electrification Scenario'!D$5-'Electrification Scenario'!D$4))*VLOOKUP(D$3,'Static Parameters'!$A$3:$B$9,2)*VLOOKUP($A34,'Growth Scenarios'!$E$3:$I$80,MATCH('Scenario Picker'!$B$3,'Growth Scenarios'!$F$2:$I$2,0)+1)/1000000000*VLOOKUP($A34,'Growth Scenarios'!$A$3:$D$80,MATCH('Scenario Picker'!$B$2,'Growth Scenarios'!$B$2:$D$2,0)+1)</f>
        <v>0.18298449490355206</v>
      </c>
      <c r="E34" s="21">
        <f ca="1">'Electrification Scenario'!E40*(1-'Electrification Scenario'!E$8*('Electrification Scenario'!E40-'Electrification Scenario'!E$4)/('Electrification Scenario'!E$5-'Electrification Scenario'!E$4))*VLOOKUP(E$3,'Static Parameters'!$A$3:$B$9,2)*VLOOKUP($A34,'Growth Scenarios'!$E$3:$I$80,MATCH('Scenario Picker'!$B$3,'Growth Scenarios'!$F$2:$I$2,0)+1)/1000000000*VLOOKUP($A34,'Growth Scenarios'!$A$3:$D$80,MATCH('Scenario Picker'!$B$2,'Growth Scenarios'!$B$2:$D$2,0)+1)</f>
        <v>102.77629130416175</v>
      </c>
      <c r="F34" s="21">
        <f ca="1">'Electrification Scenario'!F40*(1-'Electrification Scenario'!F$8*('Electrification Scenario'!F40-'Electrification Scenario'!F$4)/('Electrification Scenario'!F$5-'Electrification Scenario'!F$4))*VLOOKUP(F$3,'Static Parameters'!$A$3:$B$9,2)*VLOOKUP($A34,'Growth Scenarios'!$E$3:$I$80,MATCH('Scenario Picker'!$B$3,'Growth Scenarios'!$F$2:$I$2,0)+1)/1000000000*VLOOKUP($A34,'Growth Scenarios'!$A$3:$D$80,MATCH('Scenario Picker'!$B$2,'Growth Scenarios'!$B$2:$D$2,0)+1)</f>
        <v>3.8884205167004824</v>
      </c>
      <c r="G34" s="21">
        <f ca="1">'Electrification Scenario'!G40*(1-'Electrification Scenario'!G$8*('Electrification Scenario'!G40-'Electrification Scenario'!G$4)/('Electrification Scenario'!G$5-'Electrification Scenario'!G$4))*VLOOKUP(G$3,'Static Parameters'!$A$3:$B$9,2)*VLOOKUP($A34,'Growth Scenarios'!$E$3:$I$80,MATCH('Scenario Picker'!$B$3,'Growth Scenarios'!$F$2:$I$2,0)+1)/1000000000*VLOOKUP($A34,'Growth Scenarios'!$A$3:$D$80,MATCH('Scenario Picker'!$B$2,'Growth Scenarios'!$B$2:$D$2,0)+1)</f>
        <v>68.619185588832025</v>
      </c>
      <c r="H34" s="21">
        <f ca="1">'Electrification Scenario'!H40*(1-'Electrification Scenario'!H$8*('Electrification Scenario'!H40-'Electrification Scenario'!H$4)/('Electrification Scenario'!H$5-'Electrification Scenario'!H$4))*VLOOKUP(H$3,'Static Parameters'!$A$3:$B$9,2)*VLOOKUP($A34,'Growth Scenarios'!$E$3:$I$80,MATCH('Scenario Picker'!$B$3,'Growth Scenarios'!$F$2:$I$2,0)+1)/1000000000*VLOOKUP($A34,'Growth Scenarios'!$A$3:$D$80,MATCH('Scenario Picker'!$B$2,'Growth Scenarios'!$B$2:$D$2,0)+1)</f>
        <v>44.030644086167214</v>
      </c>
      <c r="I34" s="28">
        <f t="shared" ca="1" si="0"/>
        <v>250.72687978763793</v>
      </c>
      <c r="J34" s="25">
        <f ca="1">(1-'Electrification Scenario'!B40)*VLOOKUP(B$3,'Static Parameters'!$A$3:$B$9,2)*VLOOKUP($A34,'Growth Scenarios'!$E$3:$I$80,MATCH('Scenario Picker'!$B$3,'Growth Scenarios'!$F$2:$I$2,0)+1)/1000000000*VLOOKUP($A34,'Growth Scenarios'!$A$3:$D$80,MATCH('Scenario Picker'!$B$2,'Growth Scenarios'!$B$2:$D$2,0)+1)</f>
        <v>3.6596898980710413</v>
      </c>
      <c r="K34" s="21">
        <f ca="1">(1-'Electrification Scenario'!C40)*VLOOKUP(C$3,'Static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L34" s="21">
        <f ca="1">(1-'Electrification Scenario'!D40)*VLOOKUP(D$3,'Static Parameters'!$A$3:$B$9,2)*VLOOKUP($A34,'Growth Scenarios'!$E$3:$I$80,MATCH('Scenario Picker'!$B$3,'Growth Scenarios'!$F$2:$I$2,0)+1)/1000000000*VLOOKUP($A34,'Growth Scenarios'!$A$3:$D$80,MATCH('Scenario Picker'!$B$2,'Growth Scenarios'!$B$2:$D$2,0)+1)</f>
        <v>0.15248707908629339</v>
      </c>
      <c r="M34" s="21">
        <f ca="1">(1-'Electrification Scenario'!E40)*VLOOKUP(E$3,'Static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N34" s="21">
        <f ca="1">(1-'Electrification Scenario'!F40)*VLOOKUP(F$3,'Static Parameters'!$A$3:$B$9,2)*VLOOKUP($A34,'Growth Scenarios'!$E$3:$I$80,MATCH('Scenario Picker'!$B$3,'Growth Scenarios'!$F$2:$I$2,0)+1)/1000000000*VLOOKUP($A34,'Growth Scenarios'!$A$3:$D$80,MATCH('Scenario Picker'!$B$2,'Growth Scenarios'!$B$2:$D$2,0)+1)</f>
        <v>1.6201752152918674</v>
      </c>
      <c r="O34" s="21">
        <f ca="1">(1-'Electrification Scenario'!G40)*VLOOKUP(G$3,'Static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P34" s="21">
        <f ca="1">(1-'Electrification Scenario'!H40)*VLOOKUP(H$3,'Static Parameters'!$A$3:$B$9,2)*VLOOKUP($A34,'Growth Scenarios'!$E$3:$I$80,MATCH('Scenario Picker'!$B$3,'Growth Scenarios'!$F$2:$I$2,0)+1)/1000000000*VLOOKUP($A34,'Growth Scenarios'!$A$3:$D$80,MATCH('Scenario Picker'!$B$2,'Growth Scenarios'!$B$2:$D$2,0)+1)</f>
        <v>29.353762724111473</v>
      </c>
      <c r="Q34" s="28">
        <f t="shared" ca="1" si="1"/>
        <v>34.786114916560678</v>
      </c>
      <c r="R34" s="28">
        <f t="shared" ca="1" si="2"/>
        <v>285.5129947041986</v>
      </c>
    </row>
    <row r="35" spans="1:18" ht="15" x14ac:dyDescent="0.35">
      <c r="A35" s="31">
        <v>2053</v>
      </c>
      <c r="B35" s="25">
        <f ca="1">'Electrification Scenario'!B41*(1-'Electrification Scenario'!B$8*('Electrification Scenario'!B41-'Electrification Scenario'!B$4)/('Electrification Scenario'!B$5-'Electrification Scenario'!B$4))*VLOOKUP(B$3,'Static Parameters'!$A$3:$B$9,2)*VLOOKUP($A35,'Growth Scenarios'!$E$3:$I$80,MATCH('Scenario Picker'!$B$3,'Growth Scenarios'!$F$2:$I$2,0)+1)/1000000000*VLOOKUP($A35,'Growth Scenarios'!$A$3:$D$80,MATCH('Scenario Picker'!$B$2,'Growth Scenarios'!$B$2:$D$2,0)+1)</f>
        <v>4.3595013021642481</v>
      </c>
      <c r="C35" s="21">
        <f ca="1">'Electrification Scenario'!C41*(1-'Electrification Scenario'!C$8*('Electrification Scenario'!C41-'Electrification Scenario'!C$4)/('Electrification Scenario'!C$5-'Electrification Scenario'!C$4))*VLOOKUP(C$3,'Static Parameters'!$A$3:$B$9,2)*VLOOKUP($A35,'Growth Scenarios'!$E$3:$I$80,MATCH('Scenario Picker'!$B$3,'Growth Scenarios'!$F$2:$I$2,0)+1)/1000000000*VLOOKUP($A35,'Growth Scenarios'!$A$3:$D$80,MATCH('Scenario Picker'!$B$2,'Growth Scenarios'!$B$2:$D$2,0)+1)</f>
        <v>26.641396846559299</v>
      </c>
      <c r="D35" s="21">
        <f ca="1">'Electrification Scenario'!D41*(1-'Electrification Scenario'!D$8*('Electrification Scenario'!D41-'Electrification Scenario'!D$4)/('Electrification Scenario'!D$5-'Electrification Scenario'!D$4))*VLOOKUP(D$3,'Static Parameters'!$A$3:$B$9,2)*VLOOKUP($A35,'Growth Scenarios'!$E$3:$I$80,MATCH('Scenario Picker'!$B$3,'Growth Scenarios'!$F$2:$I$2,0)+1)/1000000000*VLOOKUP($A35,'Growth Scenarios'!$A$3:$D$80,MATCH('Scenario Picker'!$B$2,'Growth Scenarios'!$B$2:$D$2,0)+1)</f>
        <v>0.181645887590177</v>
      </c>
      <c r="E35" s="21">
        <f ca="1">'Electrification Scenario'!E41*(1-'Electrification Scenario'!E$8*('Electrification Scenario'!E41-'Electrification Scenario'!E$4)/('Electrification Scenario'!E$5-'Electrification Scenario'!E$4))*VLOOKUP(E$3,'Static Parameters'!$A$3:$B$9,2)*VLOOKUP($A35,'Growth Scenarios'!$E$3:$I$80,MATCH('Scenario Picker'!$B$3,'Growth Scenarios'!$F$2:$I$2,0)+1)/1000000000*VLOOKUP($A35,'Growth Scenarios'!$A$3:$D$80,MATCH('Scenario Picker'!$B$2,'Growth Scenarios'!$B$2:$D$2,0)+1)</f>
        <v>102.02444019648276</v>
      </c>
      <c r="F35" s="21">
        <f ca="1">'Electrification Scenario'!F41*(1-'Electrification Scenario'!F$8*('Electrification Scenario'!F41-'Electrification Scenario'!F$4)/('Electrification Scenario'!F$5-'Electrification Scenario'!F$4))*VLOOKUP(F$3,'Static Parameters'!$A$3:$B$9,2)*VLOOKUP($A35,'Growth Scenarios'!$E$3:$I$80,MATCH('Scenario Picker'!$B$3,'Growth Scenarios'!$F$2:$I$2,0)+1)/1000000000*VLOOKUP($A35,'Growth Scenarios'!$A$3:$D$80,MATCH('Scenario Picker'!$B$2,'Growth Scenarios'!$B$2:$D$2,0)+1)</f>
        <v>3.8599751112912628</v>
      </c>
      <c r="G35" s="21">
        <f ca="1">'Electrification Scenario'!G41*(1-'Electrification Scenario'!G$8*('Electrification Scenario'!G41-'Electrification Scenario'!G$4)/('Electrification Scenario'!G$5-'Electrification Scenario'!G$4))*VLOOKUP(G$3,'Static Parameters'!$A$3:$B$9,2)*VLOOKUP($A35,'Growth Scenarios'!$E$3:$I$80,MATCH('Scenario Picker'!$B$3,'Growth Scenarios'!$F$2:$I$2,0)+1)/1000000000*VLOOKUP($A35,'Growth Scenarios'!$A$3:$D$80,MATCH('Scenario Picker'!$B$2,'Growth Scenarios'!$B$2:$D$2,0)+1)</f>
        <v>68.11720784631639</v>
      </c>
      <c r="H35" s="21">
        <f ca="1">'Electrification Scenario'!H41*(1-'Electrification Scenario'!H$8*('Electrification Scenario'!H41-'Electrification Scenario'!H$4)/('Electrification Scenario'!H$5-'Electrification Scenario'!H$4))*VLOOKUP(H$3,'Static Parameters'!$A$3:$B$9,2)*VLOOKUP($A35,'Growth Scenarios'!$E$3:$I$80,MATCH('Scenario Picker'!$B$3,'Growth Scenarios'!$F$2:$I$2,0)+1)/1000000000*VLOOKUP($A35,'Growth Scenarios'!$A$3:$D$80,MATCH('Scenario Picker'!$B$2,'Growth Scenarios'!$B$2:$D$2,0)+1)</f>
        <v>43.708541701386338</v>
      </c>
      <c r="I35" s="28">
        <f t="shared" ca="1" si="0"/>
        <v>248.89270889179048</v>
      </c>
      <c r="J35" s="25">
        <f ca="1">(1-'Electrification Scenario'!B41)*VLOOKUP(B$3,'Static Parameters'!$A$3:$B$9,2)*VLOOKUP($A35,'Growth Scenarios'!$E$3:$I$80,MATCH('Scenario Picker'!$B$3,'Growth Scenarios'!$F$2:$I$2,0)+1)/1000000000*VLOOKUP($A35,'Growth Scenarios'!$A$3:$D$80,MATCH('Scenario Picker'!$B$2,'Growth Scenarios'!$B$2:$D$2,0)+1)</f>
        <v>3.6329177518035407</v>
      </c>
      <c r="K35" s="21">
        <f ca="1">(1-'Electrification Scenario'!C41)*VLOOKUP(C$3,'Static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L35" s="21">
        <f ca="1">(1-'Electrification Scenario'!D41)*VLOOKUP(D$3,'Static Parameters'!$A$3:$B$9,2)*VLOOKUP($A35,'Growth Scenarios'!$E$3:$I$80,MATCH('Scenario Picker'!$B$3,'Growth Scenarios'!$F$2:$I$2,0)+1)/1000000000*VLOOKUP($A35,'Growth Scenarios'!$A$3:$D$80,MATCH('Scenario Picker'!$B$2,'Growth Scenarios'!$B$2:$D$2,0)+1)</f>
        <v>0.15137157299181417</v>
      </c>
      <c r="M35" s="21">
        <f ca="1">(1-'Electrification Scenario'!E41)*VLOOKUP(E$3,'Static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N35" s="21">
        <f ca="1">(1-'Electrification Scenario'!F41)*VLOOKUP(F$3,'Static Parameters'!$A$3:$B$9,2)*VLOOKUP($A35,'Growth Scenarios'!$E$3:$I$80,MATCH('Scenario Picker'!$B$3,'Growth Scenarios'!$F$2:$I$2,0)+1)/1000000000*VLOOKUP($A35,'Growth Scenarios'!$A$3:$D$80,MATCH('Scenario Picker'!$B$2,'Growth Scenarios'!$B$2:$D$2,0)+1)</f>
        <v>1.6083229630380258</v>
      </c>
      <c r="O35" s="21">
        <f ca="1">(1-'Electrification Scenario'!G41)*VLOOKUP(G$3,'Static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P35" s="21">
        <f ca="1">(1-'Electrification Scenario'!H41)*VLOOKUP(H$3,'Static Parameters'!$A$3:$B$9,2)*VLOOKUP($A35,'Growth Scenarios'!$E$3:$I$80,MATCH('Scenario Picker'!$B$3,'Growth Scenarios'!$F$2:$I$2,0)+1)/1000000000*VLOOKUP($A35,'Growth Scenarios'!$A$3:$D$80,MATCH('Scenario Picker'!$B$2,'Growth Scenarios'!$B$2:$D$2,0)+1)</f>
        <v>29.139027800924229</v>
      </c>
      <c r="Q35" s="28">
        <f t="shared" ca="1" si="1"/>
        <v>34.531640088757612</v>
      </c>
      <c r="R35" s="28">
        <f t="shared" ca="1" si="2"/>
        <v>283.42434898054807</v>
      </c>
    </row>
    <row r="36" spans="1:18" ht="15" x14ac:dyDescent="0.35">
      <c r="A36" s="31">
        <v>2054</v>
      </c>
      <c r="B36" s="25">
        <f ca="1">'Electrification Scenario'!B42*(1-'Electrification Scenario'!B$8*('Electrification Scenario'!B42-'Electrification Scenario'!B$4)/('Electrification Scenario'!B$5-'Electrification Scenario'!B$4))*VLOOKUP(B$3,'Static Parameters'!$A$3:$B$9,2)*VLOOKUP($A36,'Growth Scenarios'!$E$3:$I$80,MATCH('Scenario Picker'!$B$3,'Growth Scenarios'!$F$2:$I$2,0)+1)/1000000000*VLOOKUP($A36,'Growth Scenarios'!$A$3:$D$80,MATCH('Scenario Picker'!$B$2,'Growth Scenarios'!$B$2:$D$2,0)+1)</f>
        <v>4.3253828262411593</v>
      </c>
      <c r="C36" s="21">
        <f ca="1">'Electrification Scenario'!C42*(1-'Electrification Scenario'!C$8*('Electrification Scenario'!C42-'Electrification Scenario'!C$4)/('Electrification Scenario'!C$5-'Electrification Scenario'!C$4))*VLOOKUP(C$3,'Static Parameters'!$A$3:$B$9,2)*VLOOKUP($A36,'Growth Scenarios'!$E$3:$I$80,MATCH('Scenario Picker'!$B$3,'Growth Scenarios'!$F$2:$I$2,0)+1)/1000000000*VLOOKUP($A36,'Growth Scenarios'!$A$3:$D$80,MATCH('Scenario Picker'!$B$2,'Growth Scenarios'!$B$2:$D$2,0)+1)</f>
        <v>26.432895049251535</v>
      </c>
      <c r="D36" s="21">
        <f ca="1">'Electrification Scenario'!D42*(1-'Electrification Scenario'!D$8*('Electrification Scenario'!D42-'Electrification Scenario'!D$4)/('Electrification Scenario'!D$5-'Electrification Scenario'!D$4))*VLOOKUP(D$3,'Static Parameters'!$A$3:$B$9,2)*VLOOKUP($A36,'Growth Scenarios'!$E$3:$I$80,MATCH('Scenario Picker'!$B$3,'Growth Scenarios'!$F$2:$I$2,0)+1)/1000000000*VLOOKUP($A36,'Growth Scenarios'!$A$3:$D$80,MATCH('Scenario Picker'!$B$2,'Growth Scenarios'!$B$2:$D$2,0)+1)</f>
        <v>0.18022428442671501</v>
      </c>
      <c r="E36" s="21">
        <f ca="1">'Electrification Scenario'!E42*(1-'Electrification Scenario'!E$8*('Electrification Scenario'!E42-'Electrification Scenario'!E$4)/('Electrification Scenario'!E$5-'Electrification Scenario'!E$4))*VLOOKUP(E$3,'Static Parameters'!$A$3:$B$9,2)*VLOOKUP($A36,'Growth Scenarios'!$E$3:$I$80,MATCH('Scenario Picker'!$B$3,'Growth Scenarios'!$F$2:$I$2,0)+1)/1000000000*VLOOKUP($A36,'Growth Scenarios'!$A$3:$D$80,MATCH('Scenario Picker'!$B$2,'Growth Scenarios'!$B$2:$D$2,0)+1)</f>
        <v>101.22597308633827</v>
      </c>
      <c r="F36" s="21">
        <f ca="1">'Electrification Scenario'!F42*(1-'Electrification Scenario'!F$8*('Electrification Scenario'!F42-'Electrification Scenario'!F$4)/('Electrification Scenario'!F$5-'Electrification Scenario'!F$4))*VLOOKUP(F$3,'Static Parameters'!$A$3:$B$9,2)*VLOOKUP($A36,'Growth Scenarios'!$E$3:$I$80,MATCH('Scenario Picker'!$B$3,'Growth Scenarios'!$F$2:$I$2,0)+1)/1000000000*VLOOKUP($A36,'Growth Scenarios'!$A$3:$D$80,MATCH('Scenario Picker'!$B$2,'Growth Scenarios'!$B$2:$D$2,0)+1)</f>
        <v>3.8297660440676951</v>
      </c>
      <c r="G36" s="21">
        <f ca="1">'Electrification Scenario'!G42*(1-'Electrification Scenario'!G$8*('Electrification Scenario'!G42-'Electrification Scenario'!G$4)/('Electrification Scenario'!G$5-'Electrification Scenario'!G$4))*VLOOKUP(G$3,'Static Parameters'!$A$3:$B$9,2)*VLOOKUP($A36,'Growth Scenarios'!$E$3:$I$80,MATCH('Scenario Picker'!$B$3,'Growth Scenarios'!$F$2:$I$2,0)+1)/1000000000*VLOOKUP($A36,'Growth Scenarios'!$A$3:$D$80,MATCH('Scenario Picker'!$B$2,'Growth Scenarios'!$B$2:$D$2,0)+1)</f>
        <v>67.584106660018122</v>
      </c>
      <c r="H36" s="21">
        <f ca="1">'Electrification Scenario'!H42*(1-'Electrification Scenario'!H$8*('Electrification Scenario'!H42-'Electrification Scenario'!H$4)/('Electrification Scenario'!H$5-'Electrification Scenario'!H$4))*VLOOKUP(H$3,'Static Parameters'!$A$3:$B$9,2)*VLOOKUP($A36,'Growth Scenarios'!$E$3:$I$80,MATCH('Scenario Picker'!$B$3,'Growth Scenarios'!$F$2:$I$2,0)+1)/1000000000*VLOOKUP($A36,'Growth Scenarios'!$A$3:$D$80,MATCH('Scenario Picker'!$B$2,'Growth Scenarios'!$B$2:$D$2,0)+1)</f>
        <v>43.366468440178288</v>
      </c>
      <c r="I36" s="28">
        <f t="shared" ca="1" si="0"/>
        <v>246.94481639052177</v>
      </c>
      <c r="J36" s="25">
        <f ca="1">(1-'Electrification Scenario'!B42)*VLOOKUP(B$3,'Static Parameters'!$A$3:$B$9,2)*VLOOKUP($A36,'Growth Scenarios'!$E$3:$I$80,MATCH('Scenario Picker'!$B$3,'Growth Scenarios'!$F$2:$I$2,0)+1)/1000000000*VLOOKUP($A36,'Growth Scenarios'!$A$3:$D$80,MATCH('Scenario Picker'!$B$2,'Growth Scenarios'!$B$2:$D$2,0)+1)</f>
        <v>3.6044856885343002</v>
      </c>
      <c r="K36" s="21">
        <f ca="1">(1-'Electrification Scenario'!C42)*VLOOKUP(C$3,'Static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L36" s="21">
        <f ca="1">(1-'Electrification Scenario'!D42)*VLOOKUP(D$3,'Static Parameters'!$A$3:$B$9,2)*VLOOKUP($A36,'Growth Scenarios'!$E$3:$I$80,MATCH('Scenario Picker'!$B$3,'Growth Scenarios'!$F$2:$I$2,0)+1)/1000000000*VLOOKUP($A36,'Growth Scenarios'!$A$3:$D$80,MATCH('Scenario Picker'!$B$2,'Growth Scenarios'!$B$2:$D$2,0)+1)</f>
        <v>0.15018690368892917</v>
      </c>
      <c r="M36" s="21">
        <f ca="1">(1-'Electrification Scenario'!E42)*VLOOKUP(E$3,'Static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N36" s="21">
        <f ca="1">(1-'Electrification Scenario'!F42)*VLOOKUP(F$3,'Static Parameters'!$A$3:$B$9,2)*VLOOKUP($A36,'Growth Scenarios'!$E$3:$I$80,MATCH('Scenario Picker'!$B$3,'Growth Scenarios'!$F$2:$I$2,0)+1)/1000000000*VLOOKUP($A36,'Growth Scenarios'!$A$3:$D$80,MATCH('Scenario Picker'!$B$2,'Growth Scenarios'!$B$2:$D$2,0)+1)</f>
        <v>1.5957358516948725</v>
      </c>
      <c r="O36" s="21">
        <f ca="1">(1-'Electrification Scenario'!G42)*VLOOKUP(G$3,'Static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P36" s="21">
        <f ca="1">(1-'Electrification Scenario'!H42)*VLOOKUP(H$3,'Static Parameters'!$A$3:$B$9,2)*VLOOKUP($A36,'Growth Scenarios'!$E$3:$I$80,MATCH('Scenario Picker'!$B$3,'Growth Scenarios'!$F$2:$I$2,0)+1)/1000000000*VLOOKUP($A36,'Growth Scenarios'!$A$3:$D$80,MATCH('Scenario Picker'!$B$2,'Growth Scenarios'!$B$2:$D$2,0)+1)</f>
        <v>28.910978960118868</v>
      </c>
      <c r="Q36" s="28">
        <f t="shared" ca="1" si="1"/>
        <v>34.261387404036967</v>
      </c>
      <c r="R36" s="28">
        <f t="shared" ca="1" si="2"/>
        <v>281.20620379455875</v>
      </c>
    </row>
    <row r="37" spans="1:18" ht="15" x14ac:dyDescent="0.35">
      <c r="A37" s="31">
        <v>2055</v>
      </c>
      <c r="B37" s="25">
        <f ca="1">'Electrification Scenario'!B43*(1-'Electrification Scenario'!B$8*('Electrification Scenario'!B43-'Electrification Scenario'!B$4)/('Electrification Scenario'!B$5-'Electrification Scenario'!B$4))*VLOOKUP(B$3,'Static Parameters'!$A$3:$B$9,2)*VLOOKUP($A37,'Growth Scenarios'!$E$3:$I$80,MATCH('Scenario Picker'!$B$3,'Growth Scenarios'!$F$2:$I$2,0)+1)/1000000000*VLOOKUP($A37,'Growth Scenarios'!$A$3:$D$80,MATCH('Scenario Picker'!$B$2,'Growth Scenarios'!$B$2:$D$2,0)+1)</f>
        <v>4.2893925914174371</v>
      </c>
      <c r="C37" s="21">
        <f ca="1">'Electrification Scenario'!C43*(1-'Electrification Scenario'!C$8*('Electrification Scenario'!C43-'Electrification Scenario'!C$4)/('Electrification Scenario'!C$5-'Electrification Scenario'!C$4))*VLOOKUP(C$3,'Static Parameters'!$A$3:$B$9,2)*VLOOKUP($A37,'Growth Scenarios'!$E$3:$I$80,MATCH('Scenario Picker'!$B$3,'Growth Scenarios'!$F$2:$I$2,0)+1)/1000000000*VLOOKUP($A37,'Growth Scenarios'!$A$3:$D$80,MATCH('Scenario Picker'!$B$2,'Growth Scenarios'!$B$2:$D$2,0)+1)</f>
        <v>26.212954725328785</v>
      </c>
      <c r="D37" s="21">
        <f ca="1">'Electrification Scenario'!D43*(1-'Electrification Scenario'!D$8*('Electrification Scenario'!D43-'Electrification Scenario'!D$4)/('Electrification Scenario'!D$5-'Electrification Scenario'!D$4))*VLOOKUP(D$3,'Static Parameters'!$A$3:$B$9,2)*VLOOKUP($A37,'Growth Scenarios'!$E$3:$I$80,MATCH('Scenario Picker'!$B$3,'Growth Scenarios'!$F$2:$I$2,0)+1)/1000000000*VLOOKUP($A37,'Growth Scenarios'!$A$3:$D$80,MATCH('Scenario Picker'!$B$2,'Growth Scenarios'!$B$2:$D$2,0)+1)</f>
        <v>0.17872469130905988</v>
      </c>
      <c r="E37" s="21">
        <f ca="1">'Electrification Scenario'!E43*(1-'Electrification Scenario'!E$8*('Electrification Scenario'!E43-'Electrification Scenario'!E$4)/('Electrification Scenario'!E$5-'Electrification Scenario'!E$4))*VLOOKUP(E$3,'Static Parameters'!$A$3:$B$9,2)*VLOOKUP($A37,'Growth Scenarios'!$E$3:$I$80,MATCH('Scenario Picker'!$B$3,'Growth Scenarios'!$F$2:$I$2,0)+1)/1000000000*VLOOKUP($A37,'Growth Scenarios'!$A$3:$D$80,MATCH('Scenario Picker'!$B$2,'Growth Scenarios'!$B$2:$D$2,0)+1)</f>
        <v>100.38370161858863</v>
      </c>
      <c r="F37" s="21">
        <f ca="1">'Electrification Scenario'!F43*(1-'Electrification Scenario'!F$8*('Electrification Scenario'!F43-'Electrification Scenario'!F$4)/('Electrification Scenario'!F$5-'Electrification Scenario'!F$4))*VLOOKUP(F$3,'Static Parameters'!$A$3:$B$9,2)*VLOOKUP($A37,'Growth Scenarios'!$E$3:$I$80,MATCH('Scenario Picker'!$B$3,'Growth Scenarios'!$F$2:$I$2,0)+1)/1000000000*VLOOKUP($A37,'Growth Scenarios'!$A$3:$D$80,MATCH('Scenario Picker'!$B$2,'Growth Scenarios'!$B$2:$D$2,0)+1)</f>
        <v>3.7978996903175233</v>
      </c>
      <c r="G37" s="21">
        <f ca="1">'Electrification Scenario'!G43*(1-'Electrification Scenario'!G$8*('Electrification Scenario'!G43-'Electrification Scenario'!G$4)/('Electrification Scenario'!G$5-'Electrification Scenario'!G$4))*VLOOKUP(G$3,'Static Parameters'!$A$3:$B$9,2)*VLOOKUP($A37,'Growth Scenarios'!$E$3:$I$80,MATCH('Scenario Picker'!$B$3,'Growth Scenarios'!$F$2:$I$2,0)+1)/1000000000*VLOOKUP($A37,'Growth Scenarios'!$A$3:$D$80,MATCH('Scenario Picker'!$B$2,'Growth Scenarios'!$B$2:$D$2,0)+1)</f>
        <v>67.021759240897467</v>
      </c>
      <c r="H37" s="21">
        <f ca="1">'Electrification Scenario'!H43*(1-'Electrification Scenario'!H$8*('Electrification Scenario'!H43-'Electrification Scenario'!H$4)/('Electrification Scenario'!H$5-'Electrification Scenario'!H$4))*VLOOKUP(H$3,'Static Parameters'!$A$3:$B$9,2)*VLOOKUP($A37,'Growth Scenarios'!$E$3:$I$80,MATCH('Scenario Picker'!$B$3,'Growth Scenarios'!$F$2:$I$2,0)+1)/1000000000*VLOOKUP($A37,'Growth Scenarios'!$A$3:$D$80,MATCH('Scenario Picker'!$B$2,'Growth Scenarios'!$B$2:$D$2,0)+1)</f>
        <v>43.00562884624253</v>
      </c>
      <c r="I37" s="28">
        <f t="shared" ca="1" si="0"/>
        <v>244.89006140410146</v>
      </c>
      <c r="J37" s="25">
        <f ca="1">(1-'Electrification Scenario'!B43)*VLOOKUP(B$3,'Static Parameters'!$A$3:$B$9,2)*VLOOKUP($A37,'Growth Scenarios'!$E$3:$I$80,MATCH('Scenario Picker'!$B$3,'Growth Scenarios'!$F$2:$I$2,0)+1)/1000000000*VLOOKUP($A37,'Growth Scenarios'!$A$3:$D$80,MATCH('Scenario Picker'!$B$2,'Growth Scenarios'!$B$2:$D$2,0)+1)</f>
        <v>3.574493826181198</v>
      </c>
      <c r="K37" s="21">
        <f ca="1">(1-'Electrification Scenario'!C43)*VLOOKUP(C$3,'Static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L37" s="21">
        <f ca="1">(1-'Electrification Scenario'!D43)*VLOOKUP(D$3,'Static Parameters'!$A$3:$B$9,2)*VLOOKUP($A37,'Growth Scenarios'!$E$3:$I$80,MATCH('Scenario Picker'!$B$3,'Growth Scenarios'!$F$2:$I$2,0)+1)/1000000000*VLOOKUP($A37,'Growth Scenarios'!$A$3:$D$80,MATCH('Scenario Picker'!$B$2,'Growth Scenarios'!$B$2:$D$2,0)+1)</f>
        <v>0.14893724275754991</v>
      </c>
      <c r="M37" s="21">
        <f ca="1">(1-'Electrification Scenario'!E43)*VLOOKUP(E$3,'Static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N37" s="21">
        <f ca="1">(1-'Electrification Scenario'!F43)*VLOOKUP(F$3,'Static Parameters'!$A$3:$B$9,2)*VLOOKUP($A37,'Growth Scenarios'!$E$3:$I$80,MATCH('Scenario Picker'!$B$3,'Growth Scenarios'!$F$2:$I$2,0)+1)/1000000000*VLOOKUP($A37,'Growth Scenarios'!$A$3:$D$80,MATCH('Scenario Picker'!$B$2,'Growth Scenarios'!$B$2:$D$2,0)+1)</f>
        <v>1.5824582042989679</v>
      </c>
      <c r="O37" s="21">
        <f ca="1">(1-'Electrification Scenario'!G43)*VLOOKUP(G$3,'Static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P37" s="21">
        <f ca="1">(1-'Electrification Scenario'!H43)*VLOOKUP(H$3,'Static Parameters'!$A$3:$B$9,2)*VLOOKUP($A37,'Growth Scenarios'!$E$3:$I$80,MATCH('Scenario Picker'!$B$3,'Growth Scenarios'!$F$2:$I$2,0)+1)/1000000000*VLOOKUP($A37,'Growth Scenarios'!$A$3:$D$80,MATCH('Scenario Picker'!$B$2,'Growth Scenarios'!$B$2:$D$2,0)+1)</f>
        <v>28.670419230828358</v>
      </c>
      <c r="Q37" s="28">
        <f t="shared" ca="1" si="1"/>
        <v>33.976308504066075</v>
      </c>
      <c r="R37" s="28">
        <f t="shared" ca="1" si="2"/>
        <v>278.86636990816754</v>
      </c>
    </row>
    <row r="38" spans="1:18" ht="15" x14ac:dyDescent="0.35">
      <c r="A38" s="31">
        <v>2056</v>
      </c>
      <c r="B38" s="25">
        <f ca="1">'Electrification Scenario'!B44*(1-'Electrification Scenario'!B$8*('Electrification Scenario'!B44-'Electrification Scenario'!B$4)/('Electrification Scenario'!B$5-'Electrification Scenario'!B$4))*VLOOKUP(B$3,'Static Parameters'!$A$3:$B$9,2)*VLOOKUP($A38,'Growth Scenarios'!$E$3:$I$80,MATCH('Scenario Picker'!$B$3,'Growth Scenarios'!$F$2:$I$2,0)+1)/1000000000*VLOOKUP($A38,'Growth Scenarios'!$A$3:$D$80,MATCH('Scenario Picker'!$B$2,'Growth Scenarios'!$B$2:$D$2,0)+1)</f>
        <v>4.2517293069962063</v>
      </c>
      <c r="C38" s="21">
        <f ca="1">'Electrification Scenario'!C44*(1-'Electrification Scenario'!C$8*('Electrification Scenario'!C44-'Electrification Scenario'!C$4)/('Electrification Scenario'!C$5-'Electrification Scenario'!C$4))*VLOOKUP(C$3,'Static Parameters'!$A$3:$B$9,2)*VLOOKUP($A38,'Growth Scenarios'!$E$3:$I$80,MATCH('Scenario Picker'!$B$3,'Growth Scenarios'!$F$2:$I$2,0)+1)/1000000000*VLOOKUP($A38,'Growth Scenarios'!$A$3:$D$80,MATCH('Scenario Picker'!$B$2,'Growth Scenarios'!$B$2:$D$2,0)+1)</f>
        <v>25.98279020942126</v>
      </c>
      <c r="D38" s="21">
        <f ca="1">'Electrification Scenario'!D44*(1-'Electrification Scenario'!D$8*('Electrification Scenario'!D44-'Electrification Scenario'!D$4)/('Electrification Scenario'!D$5-'Electrification Scenario'!D$4))*VLOOKUP(D$3,'Static Parameters'!$A$3:$B$9,2)*VLOOKUP($A38,'Growth Scenarios'!$E$3:$I$80,MATCH('Scenario Picker'!$B$3,'Growth Scenarios'!$F$2:$I$2,0)+1)/1000000000*VLOOKUP($A38,'Growth Scenarios'!$A$3:$D$80,MATCH('Scenario Picker'!$B$2,'Growth Scenarios'!$B$2:$D$2,0)+1)</f>
        <v>0.17715538779150863</v>
      </c>
      <c r="E38" s="21">
        <f ca="1">'Electrification Scenario'!E44*(1-'Electrification Scenario'!E$8*('Electrification Scenario'!E44-'Electrification Scenario'!E$4)/('Electrification Scenario'!E$5-'Electrification Scenario'!E$4))*VLOOKUP(E$3,'Static Parameters'!$A$3:$B$9,2)*VLOOKUP($A38,'Growth Scenarios'!$E$3:$I$80,MATCH('Scenario Picker'!$B$3,'Growth Scenarios'!$F$2:$I$2,0)+1)/1000000000*VLOOKUP($A38,'Growth Scenarios'!$A$3:$D$80,MATCH('Scenario Picker'!$B$2,'Growth Scenarios'!$B$2:$D$2,0)+1)</f>
        <v>99.50227614289733</v>
      </c>
      <c r="F38" s="21">
        <f ca="1">'Electrification Scenario'!F44*(1-'Electrification Scenario'!F$8*('Electrification Scenario'!F44-'Electrification Scenario'!F$4)/('Electrification Scenario'!F$5-'Electrification Scenario'!F$4))*VLOOKUP(F$3,'Static Parameters'!$A$3:$B$9,2)*VLOOKUP($A38,'Growth Scenarios'!$E$3:$I$80,MATCH('Scenario Picker'!$B$3,'Growth Scenarios'!$F$2:$I$2,0)+1)/1000000000*VLOOKUP($A38,'Growth Scenarios'!$A$3:$D$80,MATCH('Scenario Picker'!$B$2,'Growth Scenarios'!$B$2:$D$2,0)+1)</f>
        <v>3.7645519905695584</v>
      </c>
      <c r="G38" s="21">
        <f ca="1">'Electrification Scenario'!G44*(1-'Electrification Scenario'!G$8*('Electrification Scenario'!G44-'Electrification Scenario'!G$4)/('Electrification Scenario'!G$5-'Electrification Scenario'!G$4))*VLOOKUP(G$3,'Static Parameters'!$A$3:$B$9,2)*VLOOKUP($A38,'Growth Scenarios'!$E$3:$I$80,MATCH('Scenario Picker'!$B$3,'Growth Scenarios'!$F$2:$I$2,0)+1)/1000000000*VLOOKUP($A38,'Growth Scenarios'!$A$3:$D$80,MATCH('Scenario Picker'!$B$2,'Growth Scenarios'!$B$2:$D$2,0)+1)</f>
        <v>66.433270421815735</v>
      </c>
      <c r="H38" s="21">
        <f ca="1">'Electrification Scenario'!H44*(1-'Electrification Scenario'!H$8*('Electrification Scenario'!H44-'Electrification Scenario'!H$4)/('Electrification Scenario'!H$5-'Electrification Scenario'!H$4))*VLOOKUP(H$3,'Static Parameters'!$A$3:$B$9,2)*VLOOKUP($A38,'Growth Scenarios'!$E$3:$I$80,MATCH('Scenario Picker'!$B$3,'Growth Scenarios'!$F$2:$I$2,0)+1)/1000000000*VLOOKUP($A38,'Growth Scenarios'!$A$3:$D$80,MATCH('Scenario Picker'!$B$2,'Growth Scenarios'!$B$2:$D$2,0)+1)</f>
        <v>42.628015187331748</v>
      </c>
      <c r="I38" s="28">
        <f t="shared" ca="1" si="0"/>
        <v>242.73978864682337</v>
      </c>
      <c r="J38" s="25">
        <f ca="1">(1-'Electrification Scenario'!B44)*VLOOKUP(B$3,'Static Parameters'!$A$3:$B$9,2)*VLOOKUP($A38,'Growth Scenarios'!$E$3:$I$80,MATCH('Scenario Picker'!$B$3,'Growth Scenarios'!$F$2:$I$2,0)+1)/1000000000*VLOOKUP($A38,'Growth Scenarios'!$A$3:$D$80,MATCH('Scenario Picker'!$B$2,'Growth Scenarios'!$B$2:$D$2,0)+1)</f>
        <v>3.5431077558301718</v>
      </c>
      <c r="K38" s="21">
        <f ca="1">(1-'Electrification Scenario'!C44)*VLOOKUP(C$3,'Static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L38" s="21">
        <f ca="1">(1-'Electrification Scenario'!D44)*VLOOKUP(D$3,'Static Parameters'!$A$3:$B$9,2)*VLOOKUP($A38,'Growth Scenarios'!$E$3:$I$80,MATCH('Scenario Picker'!$B$3,'Growth Scenarios'!$F$2:$I$2,0)+1)/1000000000*VLOOKUP($A38,'Growth Scenarios'!$A$3:$D$80,MATCH('Scenario Picker'!$B$2,'Growth Scenarios'!$B$2:$D$2,0)+1)</f>
        <v>0.14762948982625715</v>
      </c>
      <c r="M38" s="21">
        <f ca="1">(1-'Electrification Scenario'!E44)*VLOOKUP(E$3,'Static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N38" s="21">
        <f ca="1">(1-'Electrification Scenario'!F44)*VLOOKUP(F$3,'Static Parameters'!$A$3:$B$9,2)*VLOOKUP($A38,'Growth Scenarios'!$E$3:$I$80,MATCH('Scenario Picker'!$B$3,'Growth Scenarios'!$F$2:$I$2,0)+1)/1000000000*VLOOKUP($A38,'Growth Scenarios'!$A$3:$D$80,MATCH('Scenario Picker'!$B$2,'Growth Scenarios'!$B$2:$D$2,0)+1)</f>
        <v>1.5685633294039825</v>
      </c>
      <c r="O38" s="21">
        <f ca="1">(1-'Electrification Scenario'!G44)*VLOOKUP(G$3,'Static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P38" s="21">
        <f ca="1">(1-'Electrification Scenario'!H44)*VLOOKUP(H$3,'Static Parameters'!$A$3:$B$9,2)*VLOOKUP($A38,'Growth Scenarios'!$E$3:$I$80,MATCH('Scenario Picker'!$B$3,'Growth Scenarios'!$F$2:$I$2,0)+1)/1000000000*VLOOKUP($A38,'Growth Scenarios'!$A$3:$D$80,MATCH('Scenario Picker'!$B$2,'Growth Scenarios'!$B$2:$D$2,0)+1)</f>
        <v>28.4186767915545</v>
      </c>
      <c r="Q38" s="28">
        <f t="shared" ca="1" si="1"/>
        <v>33.677977366614911</v>
      </c>
      <c r="R38" s="28">
        <f t="shared" ca="1" si="2"/>
        <v>276.41776601343827</v>
      </c>
    </row>
    <row r="39" spans="1:18" ht="15" x14ac:dyDescent="0.35">
      <c r="A39" s="31">
        <v>2057</v>
      </c>
      <c r="B39" s="25">
        <f ca="1">'Electrification Scenario'!B45*(1-'Electrification Scenario'!B$8*('Electrification Scenario'!B45-'Electrification Scenario'!B$4)/('Electrification Scenario'!B$5-'Electrification Scenario'!B$4))*VLOOKUP(B$3,'Static Parameters'!$A$3:$B$9,2)*VLOOKUP($A39,'Growth Scenarios'!$E$3:$I$80,MATCH('Scenario Picker'!$B$3,'Growth Scenarios'!$F$2:$I$2,0)+1)/1000000000*VLOOKUP($A39,'Growth Scenarios'!$A$3:$D$80,MATCH('Scenario Picker'!$B$2,'Growth Scenarios'!$B$2:$D$2,0)+1)</f>
        <v>4.2125654908156811</v>
      </c>
      <c r="C39" s="21">
        <f ca="1">'Electrification Scenario'!C45*(1-'Electrification Scenario'!C$8*('Electrification Scenario'!C45-'Electrification Scenario'!C$4)/('Electrification Scenario'!C$5-'Electrification Scenario'!C$4))*VLOOKUP(C$3,'Static Parameters'!$A$3:$B$9,2)*VLOOKUP($A39,'Growth Scenarios'!$E$3:$I$80,MATCH('Scenario Picker'!$B$3,'Growth Scenarios'!$F$2:$I$2,0)+1)/1000000000*VLOOKUP($A39,'Growth Scenarios'!$A$3:$D$80,MATCH('Scenario Picker'!$B$2,'Growth Scenarios'!$B$2:$D$2,0)+1)</f>
        <v>25.743455777206943</v>
      </c>
      <c r="D39" s="21">
        <f ca="1">'Electrification Scenario'!D45*(1-'Electrification Scenario'!D$8*('Electrification Scenario'!D45-'Electrification Scenario'!D$4)/('Electrification Scenario'!D$5-'Electrification Scenario'!D$4))*VLOOKUP(D$3,'Static Parameters'!$A$3:$B$9,2)*VLOOKUP($A39,'Growth Scenarios'!$E$3:$I$80,MATCH('Scenario Picker'!$B$3,'Growth Scenarios'!$F$2:$I$2,0)+1)/1000000000*VLOOKUP($A39,'Growth Scenarios'!$A$3:$D$80,MATCH('Scenario Picker'!$B$2,'Growth Scenarios'!$B$2:$D$2,0)+1)</f>
        <v>0.17552356211732006</v>
      </c>
      <c r="E39" s="21">
        <f ca="1">'Electrification Scenario'!E45*(1-'Electrification Scenario'!E$8*('Electrification Scenario'!E45-'Electrification Scenario'!E$4)/('Electrification Scenario'!E$5-'Electrification Scenario'!E$4))*VLOOKUP(E$3,'Static Parameters'!$A$3:$B$9,2)*VLOOKUP($A39,'Growth Scenarios'!$E$3:$I$80,MATCH('Scenario Picker'!$B$3,'Growth Scenarios'!$F$2:$I$2,0)+1)/1000000000*VLOOKUP($A39,'Growth Scenarios'!$A$3:$D$80,MATCH('Scenario Picker'!$B$2,'Growth Scenarios'!$B$2:$D$2,0)+1)</f>
        <v>98.585734055894761</v>
      </c>
      <c r="F39" s="21">
        <f ca="1">'Electrification Scenario'!F45*(1-'Electrification Scenario'!F$8*('Electrification Scenario'!F45-'Electrification Scenario'!F$4)/('Electrification Scenario'!F$5-'Electrification Scenario'!F$4))*VLOOKUP(F$3,'Static Parameters'!$A$3:$B$9,2)*VLOOKUP($A39,'Growth Scenarios'!$E$3:$I$80,MATCH('Scenario Picker'!$B$3,'Growth Scenarios'!$F$2:$I$2,0)+1)/1000000000*VLOOKUP($A39,'Growth Scenarios'!$A$3:$D$80,MATCH('Scenario Picker'!$B$2,'Growth Scenarios'!$B$2:$D$2,0)+1)</f>
        <v>3.7298756949930523</v>
      </c>
      <c r="G39" s="21">
        <f ca="1">'Electrification Scenario'!G45*(1-'Electrification Scenario'!G$8*('Electrification Scenario'!G45-'Electrification Scenario'!G$4)/('Electrification Scenario'!G$5-'Electrification Scenario'!G$4))*VLOOKUP(G$3,'Static Parameters'!$A$3:$B$9,2)*VLOOKUP($A39,'Growth Scenarios'!$E$3:$I$80,MATCH('Scenario Picker'!$B$3,'Growth Scenarios'!$F$2:$I$2,0)+1)/1000000000*VLOOKUP($A39,'Growth Scenarios'!$A$3:$D$80,MATCH('Scenario Picker'!$B$2,'Growth Scenarios'!$B$2:$D$2,0)+1)</f>
        <v>65.821335793995033</v>
      </c>
      <c r="H39" s="21">
        <f ca="1">'Electrification Scenario'!H45*(1-'Electrification Scenario'!H$8*('Electrification Scenario'!H45-'Electrification Scenario'!H$4)/('Electrification Scenario'!H$5-'Electrification Scenario'!H$4))*VLOOKUP(H$3,'Static Parameters'!$A$3:$B$9,2)*VLOOKUP($A39,'Growth Scenarios'!$E$3:$I$80,MATCH('Scenario Picker'!$B$3,'Growth Scenarios'!$F$2:$I$2,0)+1)/1000000000*VLOOKUP($A39,'Growth Scenarios'!$A$3:$D$80,MATCH('Scenario Picker'!$B$2,'Growth Scenarios'!$B$2:$D$2,0)+1)</f>
        <v>42.23535713448014</v>
      </c>
      <c r="I39" s="28">
        <f t="shared" ca="1" si="0"/>
        <v>240.50384750950292</v>
      </c>
      <c r="J39" s="25">
        <f ca="1">(1-'Electrification Scenario'!B45)*VLOOKUP(B$3,'Static Parameters'!$A$3:$B$9,2)*VLOOKUP($A39,'Growth Scenarios'!$E$3:$I$80,MATCH('Scenario Picker'!$B$3,'Growth Scenarios'!$F$2:$I$2,0)+1)/1000000000*VLOOKUP($A39,'Growth Scenarios'!$A$3:$D$80,MATCH('Scenario Picker'!$B$2,'Growth Scenarios'!$B$2:$D$2,0)+1)</f>
        <v>3.510471242346402</v>
      </c>
      <c r="K39" s="21">
        <f ca="1">(1-'Electrification Scenario'!C45)*VLOOKUP(C$3,'Static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L39" s="21">
        <f ca="1">(1-'Electrification Scenario'!D45)*VLOOKUP(D$3,'Static Parameters'!$A$3:$B$9,2)*VLOOKUP($A39,'Growth Scenarios'!$E$3:$I$80,MATCH('Scenario Picker'!$B$3,'Growth Scenarios'!$F$2:$I$2,0)+1)/1000000000*VLOOKUP($A39,'Growth Scenarios'!$A$3:$D$80,MATCH('Scenario Picker'!$B$2,'Growth Scenarios'!$B$2:$D$2,0)+1)</f>
        <v>0.14626963509776675</v>
      </c>
      <c r="M39" s="21">
        <f ca="1">(1-'Electrification Scenario'!E45)*VLOOKUP(E$3,'Static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N39" s="21">
        <f ca="1">(1-'Electrification Scenario'!F45)*VLOOKUP(F$3,'Static Parameters'!$A$3:$B$9,2)*VLOOKUP($A39,'Growth Scenarios'!$E$3:$I$80,MATCH('Scenario Picker'!$B$3,'Growth Scenarios'!$F$2:$I$2,0)+1)/1000000000*VLOOKUP($A39,'Growth Scenarios'!$A$3:$D$80,MATCH('Scenario Picker'!$B$2,'Growth Scenarios'!$B$2:$D$2,0)+1)</f>
        <v>1.5541148729137715</v>
      </c>
      <c r="O39" s="21">
        <f ca="1">(1-'Electrification Scenario'!G45)*VLOOKUP(G$3,'Static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P39" s="21">
        <f ca="1">(1-'Electrification Scenario'!H45)*VLOOKUP(H$3,'Static Parameters'!$A$3:$B$9,2)*VLOOKUP($A39,'Growth Scenarios'!$E$3:$I$80,MATCH('Scenario Picker'!$B$3,'Growth Scenarios'!$F$2:$I$2,0)+1)/1000000000*VLOOKUP($A39,'Growth Scenarios'!$A$3:$D$80,MATCH('Scenario Picker'!$B$2,'Growth Scenarios'!$B$2:$D$2,0)+1)</f>
        <v>28.156904756320095</v>
      </c>
      <c r="Q39" s="28">
        <f t="shared" ca="1" si="1"/>
        <v>33.367760506678039</v>
      </c>
      <c r="R39" s="28">
        <f t="shared" ca="1" si="2"/>
        <v>273.87160801618097</v>
      </c>
    </row>
    <row r="40" spans="1:18" ht="15" x14ac:dyDescent="0.35">
      <c r="A40" s="31">
        <v>2058</v>
      </c>
      <c r="B40" s="25">
        <f ca="1">'Electrification Scenario'!B46*(1-'Electrification Scenario'!B$8*('Electrification Scenario'!B46-'Electrification Scenario'!B$4)/('Electrification Scenario'!B$5-'Electrification Scenario'!B$4))*VLOOKUP(B$3,'Static Parameters'!$A$3:$B$9,2)*VLOOKUP($A40,'Growth Scenarios'!$E$3:$I$80,MATCH('Scenario Picker'!$B$3,'Growth Scenarios'!$F$2:$I$2,0)+1)/1000000000*VLOOKUP($A40,'Growth Scenarios'!$A$3:$D$80,MATCH('Scenario Picker'!$B$2,'Growth Scenarios'!$B$2:$D$2,0)+1)</f>
        <v>4.1720649146338511</v>
      </c>
      <c r="C40" s="21">
        <f ca="1">'Electrification Scenario'!C46*(1-'Electrification Scenario'!C$8*('Electrification Scenario'!C46-'Electrification Scenario'!C$4)/('Electrification Scenario'!C$5-'Electrification Scenario'!C$4))*VLOOKUP(C$3,'Static Parameters'!$A$3:$B$9,2)*VLOOKUP($A40,'Growth Scenarios'!$E$3:$I$80,MATCH('Scenario Picker'!$B$3,'Growth Scenarios'!$F$2:$I$2,0)+1)/1000000000*VLOOKUP($A40,'Growth Scenarios'!$A$3:$D$80,MATCH('Scenario Picker'!$B$2,'Growth Scenarios'!$B$2:$D$2,0)+1)</f>
        <v>25.495952256095766</v>
      </c>
      <c r="D40" s="21">
        <f ca="1">'Electrification Scenario'!D46*(1-'Electrification Scenario'!D$8*('Electrification Scenario'!D46-'Electrification Scenario'!D$4)/('Electrification Scenario'!D$5-'Electrification Scenario'!D$4))*VLOOKUP(D$3,'Static Parameters'!$A$3:$B$9,2)*VLOOKUP($A40,'Growth Scenarios'!$E$3:$I$80,MATCH('Scenario Picker'!$B$3,'Growth Scenarios'!$F$2:$I$2,0)+1)/1000000000*VLOOKUP($A40,'Growth Scenarios'!$A$3:$D$80,MATCH('Scenario Picker'!$B$2,'Growth Scenarios'!$B$2:$D$2,0)+1)</f>
        <v>0.17383603810974382</v>
      </c>
      <c r="E40" s="21">
        <f ca="1">'Electrification Scenario'!E46*(1-'Electrification Scenario'!E$8*('Electrification Scenario'!E46-'Electrification Scenario'!E$4)/('Electrification Scenario'!E$5-'Electrification Scenario'!E$4))*VLOOKUP(E$3,'Static Parameters'!$A$3:$B$9,2)*VLOOKUP($A40,'Growth Scenarios'!$E$3:$I$80,MATCH('Scenario Picker'!$B$3,'Growth Scenarios'!$F$2:$I$2,0)+1)/1000000000*VLOOKUP($A40,'Growth Scenarios'!$A$3:$D$80,MATCH('Scenario Picker'!$B$2,'Growth Scenarios'!$B$2:$D$2,0)+1)</f>
        <v>97.637908071639458</v>
      </c>
      <c r="F40" s="21">
        <f ca="1">'Electrification Scenario'!F46*(1-'Electrification Scenario'!F$8*('Electrification Scenario'!F46-'Electrification Scenario'!F$4)/('Electrification Scenario'!F$5-'Electrification Scenario'!F$4))*VLOOKUP(F$3,'Static Parameters'!$A$3:$B$9,2)*VLOOKUP($A40,'Growth Scenarios'!$E$3:$I$80,MATCH('Scenario Picker'!$B$3,'Growth Scenarios'!$F$2:$I$2,0)+1)/1000000000*VLOOKUP($A40,'Growth Scenarios'!$A$3:$D$80,MATCH('Scenario Picker'!$B$2,'Growth Scenarios'!$B$2:$D$2,0)+1)</f>
        <v>3.6940158098320572</v>
      </c>
      <c r="G40" s="21">
        <f ca="1">'Electrification Scenario'!G46*(1-'Electrification Scenario'!G$8*('Electrification Scenario'!G46-'Electrification Scenario'!G$4)/('Electrification Scenario'!G$5-'Electrification Scenario'!G$4))*VLOOKUP(G$3,'Static Parameters'!$A$3:$B$9,2)*VLOOKUP($A40,'Growth Scenarios'!$E$3:$I$80,MATCH('Scenario Picker'!$B$3,'Growth Scenarios'!$F$2:$I$2,0)+1)/1000000000*VLOOKUP($A40,'Growth Scenarios'!$A$3:$D$80,MATCH('Scenario Picker'!$B$2,'Growth Scenarios'!$B$2:$D$2,0)+1)</f>
        <v>65.188514291153936</v>
      </c>
      <c r="H40" s="21">
        <f ca="1">'Electrification Scenario'!H46*(1-'Electrification Scenario'!H$8*('Electrification Scenario'!H46-'Electrification Scenario'!H$4)/('Electrification Scenario'!H$5-'Electrification Scenario'!H$4))*VLOOKUP(H$3,'Static Parameters'!$A$3:$B$9,2)*VLOOKUP($A40,'Growth Scenarios'!$E$3:$I$80,MATCH('Scenario Picker'!$B$3,'Growth Scenarios'!$F$2:$I$2,0)+1)/1000000000*VLOOKUP($A40,'Growth Scenarios'!$A$3:$D$80,MATCH('Scenario Picker'!$B$2,'Growth Scenarios'!$B$2:$D$2,0)+1)</f>
        <v>41.829296670157113</v>
      </c>
      <c r="I40" s="28">
        <f t="shared" ca="1" si="0"/>
        <v>238.19158805162189</v>
      </c>
      <c r="J40" s="25">
        <f ca="1">(1-'Electrification Scenario'!B46)*VLOOKUP(B$3,'Static Parameters'!$A$3:$B$9,2)*VLOOKUP($A40,'Growth Scenarios'!$E$3:$I$80,MATCH('Scenario Picker'!$B$3,'Growth Scenarios'!$F$2:$I$2,0)+1)/1000000000*VLOOKUP($A40,'Growth Scenarios'!$A$3:$D$80,MATCH('Scenario Picker'!$B$2,'Growth Scenarios'!$B$2:$D$2,0)+1)</f>
        <v>3.4767207621948772</v>
      </c>
      <c r="K40" s="21">
        <f ca="1">(1-'Electrification Scenario'!C46)*VLOOKUP(C$3,'Static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L40" s="21">
        <f ca="1">(1-'Electrification Scenario'!D46)*VLOOKUP(D$3,'Static Parameters'!$A$3:$B$9,2)*VLOOKUP($A40,'Growth Scenarios'!$E$3:$I$80,MATCH('Scenario Picker'!$B$3,'Growth Scenarios'!$F$2:$I$2,0)+1)/1000000000*VLOOKUP($A40,'Growth Scenarios'!$A$3:$D$80,MATCH('Scenario Picker'!$B$2,'Growth Scenarios'!$B$2:$D$2,0)+1)</f>
        <v>0.1448633650914532</v>
      </c>
      <c r="M40" s="21">
        <f ca="1">(1-'Electrification Scenario'!E46)*VLOOKUP(E$3,'Static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N40" s="21">
        <f ca="1">(1-'Electrification Scenario'!F46)*VLOOKUP(F$3,'Static Parameters'!$A$3:$B$9,2)*VLOOKUP($A40,'Growth Scenarios'!$E$3:$I$80,MATCH('Scenario Picker'!$B$3,'Growth Scenarios'!$F$2:$I$2,0)+1)/1000000000*VLOOKUP($A40,'Growth Scenarios'!$A$3:$D$80,MATCH('Scenario Picker'!$B$2,'Growth Scenarios'!$B$2:$D$2,0)+1)</f>
        <v>1.5391732540966903</v>
      </c>
      <c r="O40" s="21">
        <f ca="1">(1-'Electrification Scenario'!G46)*VLOOKUP(G$3,'Static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P40" s="21">
        <f ca="1">(1-'Electrification Scenario'!H46)*VLOOKUP(H$3,'Static Parameters'!$A$3:$B$9,2)*VLOOKUP($A40,'Growth Scenarios'!$E$3:$I$80,MATCH('Scenario Picker'!$B$3,'Growth Scenarios'!$F$2:$I$2,0)+1)/1000000000*VLOOKUP($A40,'Growth Scenarios'!$A$3:$D$80,MATCH('Scenario Picker'!$B$2,'Growth Scenarios'!$B$2:$D$2,0)+1)</f>
        <v>27.886197780104741</v>
      </c>
      <c r="Q40" s="28">
        <f t="shared" ca="1" si="1"/>
        <v>33.046955161487759</v>
      </c>
      <c r="R40" s="28">
        <f t="shared" ca="1" si="2"/>
        <v>271.23854321310966</v>
      </c>
    </row>
    <row r="41" spans="1:18" ht="15" x14ac:dyDescent="0.35">
      <c r="A41" s="31">
        <v>2059</v>
      </c>
      <c r="B41" s="25">
        <f ca="1">'Electrification Scenario'!B47*(1-'Electrification Scenario'!B$8*('Electrification Scenario'!B47-'Electrification Scenario'!B$4)/('Electrification Scenario'!B$5-'Electrification Scenario'!B$4))*VLOOKUP(B$3,'Static Parameters'!$A$3:$B$9,2)*VLOOKUP($A41,'Growth Scenarios'!$E$3:$I$80,MATCH('Scenario Picker'!$B$3,'Growth Scenarios'!$F$2:$I$2,0)+1)/1000000000*VLOOKUP($A41,'Growth Scenarios'!$A$3:$D$80,MATCH('Scenario Picker'!$B$2,'Growth Scenarios'!$B$2:$D$2,0)+1)</f>
        <v>4.1304077054137638</v>
      </c>
      <c r="C41" s="21">
        <f ca="1">'Electrification Scenario'!C47*(1-'Electrification Scenario'!C$8*('Electrification Scenario'!C47-'Electrification Scenario'!C$4)/('Electrification Scenario'!C$5-'Electrification Scenario'!C$4))*VLOOKUP(C$3,'Static Parameters'!$A$3:$B$9,2)*VLOOKUP($A41,'Growth Scenarios'!$E$3:$I$80,MATCH('Scenario Picker'!$B$3,'Growth Scenarios'!$F$2:$I$2,0)+1)/1000000000*VLOOKUP($A41,'Growth Scenarios'!$A$3:$D$80,MATCH('Scenario Picker'!$B$2,'Growth Scenarios'!$B$2:$D$2,0)+1)</f>
        <v>25.241380421973005</v>
      </c>
      <c r="D41" s="21">
        <f ca="1">'Electrification Scenario'!D47*(1-'Electrification Scenario'!D$8*('Electrification Scenario'!D47-'Electrification Scenario'!D$4)/('Electrification Scenario'!D$5-'Electrification Scenario'!D$4))*VLOOKUP(D$3,'Static Parameters'!$A$3:$B$9,2)*VLOOKUP($A41,'Growth Scenarios'!$E$3:$I$80,MATCH('Scenario Picker'!$B$3,'Growth Scenarios'!$F$2:$I$2,0)+1)/1000000000*VLOOKUP($A41,'Growth Scenarios'!$A$3:$D$80,MATCH('Scenario Picker'!$B$2,'Growth Scenarios'!$B$2:$D$2,0)+1)</f>
        <v>0.17210032105890682</v>
      </c>
      <c r="E41" s="21">
        <f ca="1">'Electrification Scenario'!E47*(1-'Electrification Scenario'!E$8*('Electrification Scenario'!E47-'Electrification Scenario'!E$4)/('Electrification Scenario'!E$5-'Electrification Scenario'!E$4))*VLOOKUP(E$3,'Static Parameters'!$A$3:$B$9,2)*VLOOKUP($A41,'Growth Scenarios'!$E$3:$I$80,MATCH('Scenario Picker'!$B$3,'Growth Scenarios'!$F$2:$I$2,0)+1)/1000000000*VLOOKUP($A41,'Growth Scenarios'!$A$3:$D$80,MATCH('Scenario Picker'!$B$2,'Growth Scenarios'!$B$2:$D$2,0)+1)</f>
        <v>96.663013661419356</v>
      </c>
      <c r="F41" s="21">
        <f ca="1">'Electrification Scenario'!F47*(1-'Electrification Scenario'!F$8*('Electrification Scenario'!F47-'Electrification Scenario'!F$4)/('Electrification Scenario'!F$5-'Electrification Scenario'!F$4))*VLOOKUP(F$3,'Static Parameters'!$A$3:$B$9,2)*VLOOKUP($A41,'Growth Scenarios'!$E$3:$I$80,MATCH('Scenario Picker'!$B$3,'Growth Scenarios'!$F$2:$I$2,0)+1)/1000000000*VLOOKUP($A41,'Growth Scenarios'!$A$3:$D$80,MATCH('Scenario Picker'!$B$2,'Growth Scenarios'!$B$2:$D$2,0)+1)</f>
        <v>3.6571318225017708</v>
      </c>
      <c r="G41" s="21">
        <f ca="1">'Electrification Scenario'!G47*(1-'Electrification Scenario'!G$8*('Electrification Scenario'!G47-'Electrification Scenario'!G$4)/('Electrification Scenario'!G$5-'Electrification Scenario'!G$4))*VLOOKUP(G$3,'Static Parameters'!$A$3:$B$9,2)*VLOOKUP($A41,'Growth Scenarios'!$E$3:$I$80,MATCH('Scenario Picker'!$B$3,'Growth Scenarios'!$F$2:$I$2,0)+1)/1000000000*VLOOKUP($A41,'Growth Scenarios'!$A$3:$D$80,MATCH('Scenario Picker'!$B$2,'Growth Scenarios'!$B$2:$D$2,0)+1)</f>
        <v>64.537620397090066</v>
      </c>
      <c r="H41" s="21">
        <f ca="1">'Electrification Scenario'!H47*(1-'Electrification Scenario'!H$8*('Electrification Scenario'!H47-'Electrification Scenario'!H$4)/('Electrification Scenario'!H$5-'Electrification Scenario'!H$4))*VLOOKUP(H$3,'Static Parameters'!$A$3:$B$9,2)*VLOOKUP($A41,'Growth Scenarios'!$E$3:$I$80,MATCH('Scenario Picker'!$B$3,'Growth Scenarios'!$F$2:$I$2,0)+1)/1000000000*VLOOKUP($A41,'Growth Scenarios'!$A$3:$D$80,MATCH('Scenario Picker'!$B$2,'Growth Scenarios'!$B$2:$D$2,0)+1)</f>
        <v>41.411639754799452</v>
      </c>
      <c r="I41" s="28">
        <f t="shared" ca="1" si="0"/>
        <v>235.81329408425631</v>
      </c>
      <c r="J41" s="25">
        <f ca="1">(1-'Electrification Scenario'!B47)*VLOOKUP(B$3,'Static Parameters'!$A$3:$B$9,2)*VLOOKUP($A41,'Growth Scenarios'!$E$3:$I$80,MATCH('Scenario Picker'!$B$3,'Growth Scenarios'!$F$2:$I$2,0)+1)/1000000000*VLOOKUP($A41,'Growth Scenarios'!$A$3:$D$80,MATCH('Scenario Picker'!$B$2,'Growth Scenarios'!$B$2:$D$2,0)+1)</f>
        <v>3.4420064211781374</v>
      </c>
      <c r="K41" s="21">
        <f ca="1">(1-'Electrification Scenario'!C47)*VLOOKUP(C$3,'Static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L41" s="21">
        <f ca="1">(1-'Electrification Scenario'!D47)*VLOOKUP(D$3,'Static Parameters'!$A$3:$B$9,2)*VLOOKUP($A41,'Growth Scenarios'!$E$3:$I$80,MATCH('Scenario Picker'!$B$3,'Growth Scenarios'!$F$2:$I$2,0)+1)/1000000000*VLOOKUP($A41,'Growth Scenarios'!$A$3:$D$80,MATCH('Scenario Picker'!$B$2,'Growth Scenarios'!$B$2:$D$2,0)+1)</f>
        <v>0.14341693421575571</v>
      </c>
      <c r="M41" s="21">
        <f ca="1">(1-'Electrification Scenario'!E47)*VLOOKUP(E$3,'Static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N41" s="21">
        <f ca="1">(1-'Electrification Scenario'!F47)*VLOOKUP(F$3,'Static Parameters'!$A$3:$B$9,2)*VLOOKUP($A41,'Growth Scenarios'!$E$3:$I$80,MATCH('Scenario Picker'!$B$3,'Growth Scenarios'!$F$2:$I$2,0)+1)/1000000000*VLOOKUP($A41,'Growth Scenarios'!$A$3:$D$80,MATCH('Scenario Picker'!$B$2,'Growth Scenarios'!$B$2:$D$2,0)+1)</f>
        <v>1.5238049260424043</v>
      </c>
      <c r="O41" s="21">
        <f ca="1">(1-'Electrification Scenario'!G47)*VLOOKUP(G$3,'Static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P41" s="21">
        <f ca="1">(1-'Electrification Scenario'!H47)*VLOOKUP(H$3,'Static Parameters'!$A$3:$B$9,2)*VLOOKUP($A41,'Growth Scenarios'!$E$3:$I$80,MATCH('Scenario Picker'!$B$3,'Growth Scenarios'!$F$2:$I$2,0)+1)/1000000000*VLOOKUP($A41,'Growth Scenarios'!$A$3:$D$80,MATCH('Scenario Picker'!$B$2,'Growth Scenarios'!$B$2:$D$2,0)+1)</f>
        <v>27.607759836532974</v>
      </c>
      <c r="Q41" s="28">
        <f t="shared" ca="1" si="1"/>
        <v>32.716988117969272</v>
      </c>
      <c r="R41" s="28">
        <f t="shared" ca="1" si="2"/>
        <v>268.53028220222558</v>
      </c>
    </row>
    <row r="42" spans="1:18" ht="15" x14ac:dyDescent="0.35">
      <c r="A42" s="31">
        <v>2060</v>
      </c>
      <c r="B42" s="25">
        <f ca="1">'Electrification Scenario'!B48*(1-'Electrification Scenario'!B$8*('Electrification Scenario'!B48-'Electrification Scenario'!B$4)/('Electrification Scenario'!B$5-'Electrification Scenario'!B$4))*VLOOKUP(B$3,'Static Parameters'!$A$3:$B$9,2)*VLOOKUP($A42,'Growth Scenarios'!$E$3:$I$80,MATCH('Scenario Picker'!$B$3,'Growth Scenarios'!$F$2:$I$2,0)+1)/1000000000*VLOOKUP($A42,'Growth Scenarios'!$A$3:$D$80,MATCH('Scenario Picker'!$B$2,'Growth Scenarios'!$B$2:$D$2,0)+1)</f>
        <v>4.0877792838277074</v>
      </c>
      <c r="C42" s="21">
        <f ca="1">'Electrification Scenario'!C48*(1-'Electrification Scenario'!C$8*('Electrification Scenario'!C48-'Electrification Scenario'!C$4)/('Electrification Scenario'!C$5-'Electrification Scenario'!C$4))*VLOOKUP(C$3,'Static Parameters'!$A$3:$B$9,2)*VLOOKUP($A42,'Growth Scenarios'!$E$3:$I$80,MATCH('Scenario Picker'!$B$3,'Growth Scenarios'!$F$2:$I$2,0)+1)/1000000000*VLOOKUP($A42,'Growth Scenarios'!$A$3:$D$80,MATCH('Scenario Picker'!$B$2,'Growth Scenarios'!$B$2:$D$2,0)+1)</f>
        <v>24.980873401169326</v>
      </c>
      <c r="D42" s="21">
        <f ca="1">'Electrification Scenario'!D48*(1-'Electrification Scenario'!D$8*('Electrification Scenario'!D48-'Electrification Scenario'!D$4)/('Electrification Scenario'!D$5-'Electrification Scenario'!D$4))*VLOOKUP(D$3,'Static Parameters'!$A$3:$B$9,2)*VLOOKUP($A42,'Growth Scenarios'!$E$3:$I$80,MATCH('Scenario Picker'!$B$3,'Growth Scenarios'!$F$2:$I$2,0)+1)/1000000000*VLOOKUP($A42,'Growth Scenarios'!$A$3:$D$80,MATCH('Scenario Picker'!$B$2,'Growth Scenarios'!$B$2:$D$2,0)+1)</f>
        <v>0.17032413682615449</v>
      </c>
      <c r="E42" s="21">
        <f ca="1">'Electrification Scenario'!E48*(1-'Electrification Scenario'!E$8*('Electrification Scenario'!E48-'Electrification Scenario'!E$4)/('Electrification Scenario'!E$5-'Electrification Scenario'!E$4))*VLOOKUP(E$3,'Static Parameters'!$A$3:$B$9,2)*VLOOKUP($A42,'Growth Scenarios'!$E$3:$I$80,MATCH('Scenario Picker'!$B$3,'Growth Scenarios'!$F$2:$I$2,0)+1)/1000000000*VLOOKUP($A42,'Growth Scenarios'!$A$3:$D$80,MATCH('Scenario Picker'!$B$2,'Growth Scenarios'!$B$2:$D$2,0)+1)</f>
        <v>95.665390184023423</v>
      </c>
      <c r="F42" s="21">
        <f ca="1">'Electrification Scenario'!F48*(1-'Electrification Scenario'!F$8*('Electrification Scenario'!F48-'Electrification Scenario'!F$4)/('Electrification Scenario'!F$5-'Electrification Scenario'!F$4))*VLOOKUP(F$3,'Static Parameters'!$A$3:$B$9,2)*VLOOKUP($A42,'Growth Scenarios'!$E$3:$I$80,MATCH('Scenario Picker'!$B$3,'Growth Scenarios'!$F$2:$I$2,0)+1)/1000000000*VLOOKUP($A42,'Growth Scenarios'!$A$3:$D$80,MATCH('Scenario Picker'!$B$2,'Growth Scenarios'!$B$2:$D$2,0)+1)</f>
        <v>3.6193879075557831</v>
      </c>
      <c r="G42" s="21">
        <f ca="1">'Electrification Scenario'!G48*(1-'Electrification Scenario'!G$8*('Electrification Scenario'!G48-'Electrification Scenario'!G$4)/('Electrification Scenario'!G$5-'Electrification Scenario'!G$4))*VLOOKUP(G$3,'Static Parameters'!$A$3:$B$9,2)*VLOOKUP($A42,'Growth Scenarios'!$E$3:$I$80,MATCH('Scenario Picker'!$B$3,'Growth Scenarios'!$F$2:$I$2,0)+1)/1000000000*VLOOKUP($A42,'Growth Scenarios'!$A$3:$D$80,MATCH('Scenario Picker'!$B$2,'Growth Scenarios'!$B$2:$D$2,0)+1)</f>
        <v>63.871551309807927</v>
      </c>
      <c r="H42" s="21">
        <f ca="1">'Electrification Scenario'!H48*(1-'Electrification Scenario'!H$8*('Electrification Scenario'!H48-'Electrification Scenario'!H$4)/('Electrification Scenario'!H$5-'Electrification Scenario'!H$4))*VLOOKUP(H$3,'Static Parameters'!$A$3:$B$9,2)*VLOOKUP($A42,'Growth Scenarios'!$E$3:$I$80,MATCH('Scenario Picker'!$B$3,'Growth Scenarios'!$F$2:$I$2,0)+1)/1000000000*VLOOKUP($A42,'Growth Scenarios'!$A$3:$D$80,MATCH('Scenario Picker'!$B$2,'Growth Scenarios'!$B$2:$D$2,0)+1)</f>
        <v>40.984245423793418</v>
      </c>
      <c r="I42" s="28">
        <f t="shared" ca="1" si="0"/>
        <v>233.37955164700375</v>
      </c>
      <c r="J42" s="25">
        <f ca="1">(1-'Electrification Scenario'!B48)*VLOOKUP(B$3,'Static Parameters'!$A$3:$B$9,2)*VLOOKUP($A42,'Growth Scenarios'!$E$3:$I$80,MATCH('Scenario Picker'!$B$3,'Growth Scenarios'!$F$2:$I$2,0)+1)/1000000000*VLOOKUP($A42,'Growth Scenarios'!$A$3:$D$80,MATCH('Scenario Picker'!$B$2,'Growth Scenarios'!$B$2:$D$2,0)+1)</f>
        <v>3.4064827365230896</v>
      </c>
      <c r="K42" s="21">
        <f ca="1">(1-'Electrification Scenario'!C48)*VLOOKUP(C$3,'Static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L42" s="21">
        <f ca="1">(1-'Electrification Scenario'!D48)*VLOOKUP(D$3,'Static Parameters'!$A$3:$B$9,2)*VLOOKUP($A42,'Growth Scenarios'!$E$3:$I$80,MATCH('Scenario Picker'!$B$3,'Growth Scenarios'!$F$2:$I$2,0)+1)/1000000000*VLOOKUP($A42,'Growth Scenarios'!$A$3:$D$80,MATCH('Scenario Picker'!$B$2,'Growth Scenarios'!$B$2:$D$2,0)+1)</f>
        <v>0.14193678068846205</v>
      </c>
      <c r="M42" s="21">
        <f ca="1">(1-'Electrification Scenario'!E48)*VLOOKUP(E$3,'Static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N42" s="21">
        <f ca="1">(1-'Electrification Scenario'!F48)*VLOOKUP(F$3,'Static Parameters'!$A$3:$B$9,2)*VLOOKUP($A42,'Growth Scenarios'!$E$3:$I$80,MATCH('Scenario Picker'!$B$3,'Growth Scenarios'!$F$2:$I$2,0)+1)/1000000000*VLOOKUP($A42,'Growth Scenarios'!$A$3:$D$80,MATCH('Scenario Picker'!$B$2,'Growth Scenarios'!$B$2:$D$2,0)+1)</f>
        <v>1.5080782948149094</v>
      </c>
      <c r="O42" s="21">
        <f ca="1">(1-'Electrification Scenario'!G48)*VLOOKUP(G$3,'Static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P42" s="21">
        <f ca="1">(1-'Electrification Scenario'!H48)*VLOOKUP(H$3,'Static Parameters'!$A$3:$B$9,2)*VLOOKUP($A42,'Growth Scenarios'!$E$3:$I$80,MATCH('Scenario Picker'!$B$3,'Growth Scenarios'!$F$2:$I$2,0)+1)/1000000000*VLOOKUP($A42,'Growth Scenarios'!$A$3:$D$80,MATCH('Scenario Picker'!$B$2,'Growth Scenarios'!$B$2:$D$2,0)+1)</f>
        <v>27.322830282528944</v>
      </c>
      <c r="Q42" s="28">
        <f t="shared" ca="1" si="1"/>
        <v>32.379328094555405</v>
      </c>
      <c r="R42" s="28">
        <f t="shared" ca="1" si="2"/>
        <v>265.75887974155916</v>
      </c>
    </row>
    <row r="43" spans="1:18" ht="15" x14ac:dyDescent="0.35">
      <c r="A43" s="31">
        <v>2061</v>
      </c>
      <c r="B43" s="25">
        <f ca="1">'Electrification Scenario'!B49*(1-'Electrification Scenario'!B$8*('Electrification Scenario'!B49-'Electrification Scenario'!B$4)/('Electrification Scenario'!B$5-'Electrification Scenario'!B$4))*VLOOKUP(B$3,'Static Parameters'!$A$3:$B$9,2)*VLOOKUP($A43,'Growth Scenarios'!$E$3:$I$80,MATCH('Scenario Picker'!$B$3,'Growth Scenarios'!$F$2:$I$2,0)+1)/1000000000*VLOOKUP($A43,'Growth Scenarios'!$A$3:$D$80,MATCH('Scenario Picker'!$B$2,'Growth Scenarios'!$B$2:$D$2,0)+1)</f>
        <v>4.0443643712209791</v>
      </c>
      <c r="C43" s="21">
        <f ca="1">'Electrification Scenario'!C49*(1-'Electrification Scenario'!C$8*('Electrification Scenario'!C49-'Electrification Scenario'!C$4)/('Electrification Scenario'!C$5-'Electrification Scenario'!C$4))*VLOOKUP(C$3,'Static Parameters'!$A$3:$B$9,2)*VLOOKUP($A43,'Growth Scenarios'!$E$3:$I$80,MATCH('Scenario Picker'!$B$3,'Growth Scenarios'!$F$2:$I$2,0)+1)/1000000000*VLOOKUP($A43,'Growth Scenarios'!$A$3:$D$80,MATCH('Scenario Picker'!$B$2,'Growth Scenarios'!$B$2:$D$2,0)+1)</f>
        <v>24.715560046350433</v>
      </c>
      <c r="D43" s="21">
        <f ca="1">'Electrification Scenario'!D49*(1-'Electrification Scenario'!D$8*('Electrification Scenario'!D49-'Electrification Scenario'!D$4)/('Electrification Scenario'!D$5-'Electrification Scenario'!D$4))*VLOOKUP(D$3,'Static Parameters'!$A$3:$B$9,2)*VLOOKUP($A43,'Growth Scenarios'!$E$3:$I$80,MATCH('Scenario Picker'!$B$3,'Growth Scenarios'!$F$2:$I$2,0)+1)/1000000000*VLOOKUP($A43,'Growth Scenarios'!$A$3:$D$80,MATCH('Scenario Picker'!$B$2,'Growth Scenarios'!$B$2:$D$2,0)+1)</f>
        <v>0.16851518213420746</v>
      </c>
      <c r="E43" s="21">
        <f ca="1">'Electrification Scenario'!E49*(1-'Electrification Scenario'!E$8*('Electrification Scenario'!E49-'Electrification Scenario'!E$4)/('Electrification Scenario'!E$5-'Electrification Scenario'!E$4))*VLOOKUP(E$3,'Static Parameters'!$A$3:$B$9,2)*VLOOKUP($A43,'Growth Scenarios'!$E$3:$I$80,MATCH('Scenario Picker'!$B$3,'Growth Scenarios'!$F$2:$I$2,0)+1)/1000000000*VLOOKUP($A43,'Growth Scenarios'!$A$3:$D$80,MATCH('Scenario Picker'!$B$2,'Growth Scenarios'!$B$2:$D$2,0)+1)</f>
        <v>94.649360632046537</v>
      </c>
      <c r="F43" s="21">
        <f ca="1">'Electrification Scenario'!F49*(1-'Electrification Scenario'!F$8*('Electrification Scenario'!F49-'Electrification Scenario'!F$4)/('Electrification Scenario'!F$5-'Electrification Scenario'!F$4))*VLOOKUP(F$3,'Static Parameters'!$A$3:$B$9,2)*VLOOKUP($A43,'Growth Scenarios'!$E$3:$I$80,MATCH('Scenario Picker'!$B$3,'Growth Scenarios'!$F$2:$I$2,0)+1)/1000000000*VLOOKUP($A43,'Growth Scenarios'!$A$3:$D$80,MATCH('Scenario Picker'!$B$2,'Growth Scenarios'!$B$2:$D$2,0)+1)</f>
        <v>3.5809476203519095</v>
      </c>
      <c r="G43" s="21">
        <f ca="1">'Electrification Scenario'!G49*(1-'Electrification Scenario'!G$8*('Electrification Scenario'!G49-'Electrification Scenario'!G$4)/('Electrification Scenario'!G$5-'Electrification Scenario'!G$4))*VLOOKUP(G$3,'Static Parameters'!$A$3:$B$9,2)*VLOOKUP($A43,'Growth Scenarios'!$E$3:$I$80,MATCH('Scenario Picker'!$B$3,'Growth Scenarios'!$F$2:$I$2,0)+1)/1000000000*VLOOKUP($A43,'Growth Scenarios'!$A$3:$D$80,MATCH('Scenario Picker'!$B$2,'Growth Scenarios'!$B$2:$D$2,0)+1)</f>
        <v>63.193193300327806</v>
      </c>
      <c r="H43" s="21">
        <f ca="1">'Electrification Scenario'!H49*(1-'Electrification Scenario'!H$8*('Electrification Scenario'!H49-'Electrification Scenario'!H$4)/('Electrification Scenario'!H$5-'Electrification Scenario'!H$4))*VLOOKUP(H$3,'Static Parameters'!$A$3:$B$9,2)*VLOOKUP($A43,'Growth Scenarios'!$E$3:$I$80,MATCH('Scenario Picker'!$B$3,'Growth Scenarios'!$F$2:$I$2,0)+1)/1000000000*VLOOKUP($A43,'Growth Scenarios'!$A$3:$D$80,MATCH('Scenario Picker'!$B$2,'Growth Scenarios'!$B$2:$D$2,0)+1)</f>
        <v>40.548965701043663</v>
      </c>
      <c r="I43" s="28">
        <f t="shared" ca="1" si="0"/>
        <v>230.90090685347553</v>
      </c>
      <c r="J43" s="25">
        <f ca="1">(1-'Electrification Scenario'!B49)*VLOOKUP(B$3,'Static Parameters'!$A$3:$B$9,2)*VLOOKUP($A43,'Growth Scenarios'!$E$3:$I$80,MATCH('Scenario Picker'!$B$3,'Growth Scenarios'!$F$2:$I$2,0)+1)/1000000000*VLOOKUP($A43,'Growth Scenarios'!$A$3:$D$80,MATCH('Scenario Picker'!$B$2,'Growth Scenarios'!$B$2:$D$2,0)+1)</f>
        <v>3.3703036426841497</v>
      </c>
      <c r="K43" s="21">
        <f ca="1">(1-'Electrification Scenario'!C49)*VLOOKUP(C$3,'Static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L43" s="21">
        <f ca="1">(1-'Electrification Scenario'!D49)*VLOOKUP(D$3,'Static Parameters'!$A$3:$B$9,2)*VLOOKUP($A43,'Growth Scenarios'!$E$3:$I$80,MATCH('Scenario Picker'!$B$3,'Growth Scenarios'!$F$2:$I$2,0)+1)/1000000000*VLOOKUP($A43,'Growth Scenarios'!$A$3:$D$80,MATCH('Scenario Picker'!$B$2,'Growth Scenarios'!$B$2:$D$2,0)+1)</f>
        <v>0.1404293184451729</v>
      </c>
      <c r="M43" s="21">
        <f ca="1">(1-'Electrification Scenario'!E49)*VLOOKUP(E$3,'Static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N43" s="21">
        <f ca="1">(1-'Electrification Scenario'!F49)*VLOOKUP(F$3,'Static Parameters'!$A$3:$B$9,2)*VLOOKUP($A43,'Growth Scenarios'!$E$3:$I$80,MATCH('Scenario Picker'!$B$3,'Growth Scenarios'!$F$2:$I$2,0)+1)/1000000000*VLOOKUP($A43,'Growth Scenarios'!$A$3:$D$80,MATCH('Scenario Picker'!$B$2,'Growth Scenarios'!$B$2:$D$2,0)+1)</f>
        <v>1.492061508479962</v>
      </c>
      <c r="O43" s="21">
        <f ca="1">(1-'Electrification Scenario'!G49)*VLOOKUP(G$3,'Static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P43" s="21">
        <f ca="1">(1-'Electrification Scenario'!H49)*VLOOKUP(H$3,'Static Parameters'!$A$3:$B$9,2)*VLOOKUP($A43,'Growth Scenarios'!$E$3:$I$80,MATCH('Scenario Picker'!$B$3,'Growth Scenarios'!$F$2:$I$2,0)+1)/1000000000*VLOOKUP($A43,'Growth Scenarios'!$A$3:$D$80,MATCH('Scenario Picker'!$B$2,'Growth Scenarios'!$B$2:$D$2,0)+1)</f>
        <v>27.03264380069578</v>
      </c>
      <c r="Q43" s="28">
        <f t="shared" ca="1" si="1"/>
        <v>32.035438270305065</v>
      </c>
      <c r="R43" s="28">
        <f t="shared" ca="1" si="2"/>
        <v>262.9363451237806</v>
      </c>
    </row>
    <row r="44" spans="1:18" ht="15" x14ac:dyDescent="0.35">
      <c r="A44" s="31">
        <v>2062</v>
      </c>
      <c r="B44" s="25">
        <f ca="1">'Electrification Scenario'!B50*(1-'Electrification Scenario'!B$8*('Electrification Scenario'!B50-'Electrification Scenario'!B$4)/('Electrification Scenario'!B$5-'Electrification Scenario'!B$4))*VLOOKUP(B$3,'Static Parameters'!$A$3:$B$9,2)*VLOOKUP($A44,'Growth Scenarios'!$E$3:$I$80,MATCH('Scenario Picker'!$B$3,'Growth Scenarios'!$F$2:$I$2,0)+1)/1000000000*VLOOKUP($A44,'Growth Scenarios'!$A$3:$D$80,MATCH('Scenario Picker'!$B$2,'Growth Scenarios'!$B$2:$D$2,0)+1)</f>
        <v>4.0003404060162016</v>
      </c>
      <c r="C44" s="21">
        <f ca="1">'Electrification Scenario'!C50*(1-'Electrification Scenario'!C$8*('Electrification Scenario'!C50-'Electrification Scenario'!C$4)/('Electrification Scenario'!C$5-'Electrification Scenario'!C$4))*VLOOKUP(C$3,'Static Parameters'!$A$3:$B$9,2)*VLOOKUP($A44,'Growth Scenarios'!$E$3:$I$80,MATCH('Scenario Picker'!$B$3,'Growth Scenarios'!$F$2:$I$2,0)+1)/1000000000*VLOOKUP($A44,'Growth Scenarios'!$A$3:$D$80,MATCH('Scenario Picker'!$B$2,'Growth Scenarios'!$B$2:$D$2,0)+1)</f>
        <v>24.446524703432349</v>
      </c>
      <c r="D44" s="21">
        <f ca="1">'Electrification Scenario'!D50*(1-'Electrification Scenario'!D$8*('Electrification Scenario'!D50-'Electrification Scenario'!D$4)/('Electrification Scenario'!D$5-'Electrification Scenario'!D$4))*VLOOKUP(D$3,'Static Parameters'!$A$3:$B$9,2)*VLOOKUP($A44,'Growth Scenarios'!$E$3:$I$80,MATCH('Scenario Picker'!$B$3,'Growth Scenarios'!$F$2:$I$2,0)+1)/1000000000*VLOOKUP($A44,'Growth Scenarios'!$A$3:$D$80,MATCH('Scenario Picker'!$B$2,'Growth Scenarios'!$B$2:$D$2,0)+1)</f>
        <v>0.16668085025067508</v>
      </c>
      <c r="E44" s="21">
        <f ca="1">'Electrification Scenario'!E50*(1-'Electrification Scenario'!E$8*('Electrification Scenario'!E50-'Electrification Scenario'!E$4)/('Electrification Scenario'!E$5-'Electrification Scenario'!E$4))*VLOOKUP(E$3,'Static Parameters'!$A$3:$B$9,2)*VLOOKUP($A44,'Growth Scenarios'!$E$3:$I$80,MATCH('Scenario Picker'!$B$3,'Growth Scenarios'!$F$2:$I$2,0)+1)/1000000000*VLOOKUP($A44,'Growth Scenarios'!$A$3:$D$80,MATCH('Scenario Picker'!$B$2,'Growth Scenarios'!$B$2:$D$2,0)+1)</f>
        <v>93.619077557462504</v>
      </c>
      <c r="F44" s="21">
        <f ca="1">'Electrification Scenario'!F50*(1-'Electrification Scenario'!F$8*('Electrification Scenario'!F50-'Electrification Scenario'!F$4)/('Electrification Scenario'!F$5-'Electrification Scenario'!F$4))*VLOOKUP(F$3,'Static Parameters'!$A$3:$B$9,2)*VLOOKUP($A44,'Growth Scenarios'!$E$3:$I$80,MATCH('Scenario Picker'!$B$3,'Growth Scenarios'!$F$2:$I$2,0)+1)/1000000000*VLOOKUP($A44,'Growth Scenarios'!$A$3:$D$80,MATCH('Scenario Picker'!$B$2,'Growth Scenarios'!$B$2:$D$2,0)+1)</f>
        <v>3.5419680678268466</v>
      </c>
      <c r="G44" s="21">
        <f ca="1">'Electrification Scenario'!G50*(1-'Electrification Scenario'!G$8*('Electrification Scenario'!G50-'Electrification Scenario'!G$4)/('Electrification Scenario'!G$5-'Electrification Scenario'!G$4))*VLOOKUP(G$3,'Static Parameters'!$A$3:$B$9,2)*VLOOKUP($A44,'Growth Scenarios'!$E$3:$I$80,MATCH('Scenario Picker'!$B$3,'Growth Scenarios'!$F$2:$I$2,0)+1)/1000000000*VLOOKUP($A44,'Growth Scenarios'!$A$3:$D$80,MATCH('Scenario Picker'!$B$2,'Growth Scenarios'!$B$2:$D$2,0)+1)</f>
        <v>62.505318844003163</v>
      </c>
      <c r="H44" s="21">
        <f ca="1">'Electrification Scenario'!H50*(1-'Electrification Scenario'!H$8*('Electrification Scenario'!H50-'Electrification Scenario'!H$4)/('Electrification Scenario'!H$5-'Electrification Scenario'!H$4))*VLOOKUP(H$3,'Static Parameters'!$A$3:$B$9,2)*VLOOKUP($A44,'Growth Scenarios'!$E$3:$I$80,MATCH('Scenario Picker'!$B$3,'Growth Scenarios'!$F$2:$I$2,0)+1)/1000000000*VLOOKUP($A44,'Growth Scenarios'!$A$3:$D$80,MATCH('Scenario Picker'!$B$2,'Growth Scenarios'!$B$2:$D$2,0)+1)</f>
        <v>40.107579591568694</v>
      </c>
      <c r="I44" s="28">
        <f t="shared" ca="1" si="0"/>
        <v>228.38749002056045</v>
      </c>
      <c r="J44" s="25">
        <f ca="1">(1-'Electrification Scenario'!B50)*VLOOKUP(B$3,'Static Parameters'!$A$3:$B$9,2)*VLOOKUP($A44,'Growth Scenarios'!$E$3:$I$80,MATCH('Scenario Picker'!$B$3,'Growth Scenarios'!$F$2:$I$2,0)+1)/1000000000*VLOOKUP($A44,'Growth Scenarios'!$A$3:$D$80,MATCH('Scenario Picker'!$B$2,'Growth Scenarios'!$B$2:$D$2,0)+1)</f>
        <v>3.3336170050135019</v>
      </c>
      <c r="K44" s="21">
        <f ca="1">(1-'Electrification Scenario'!C50)*VLOOKUP(C$3,'Static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L44" s="21">
        <f ca="1">(1-'Electrification Scenario'!D50)*VLOOKUP(D$3,'Static Parameters'!$A$3:$B$9,2)*VLOOKUP($A44,'Growth Scenarios'!$E$3:$I$80,MATCH('Scenario Picker'!$B$3,'Growth Scenarios'!$F$2:$I$2,0)+1)/1000000000*VLOOKUP($A44,'Growth Scenarios'!$A$3:$D$80,MATCH('Scenario Picker'!$B$2,'Growth Scenarios'!$B$2:$D$2,0)+1)</f>
        <v>0.13890070854222925</v>
      </c>
      <c r="M44" s="21">
        <f ca="1">(1-'Electrification Scenario'!E50)*VLOOKUP(E$3,'Static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N44" s="21">
        <f ca="1">(1-'Electrification Scenario'!F50)*VLOOKUP(F$3,'Static Parameters'!$A$3:$B$9,2)*VLOOKUP($A44,'Growth Scenarios'!$E$3:$I$80,MATCH('Scenario Picker'!$B$3,'Growth Scenarios'!$F$2:$I$2,0)+1)/1000000000*VLOOKUP($A44,'Growth Scenarios'!$A$3:$D$80,MATCH('Scenario Picker'!$B$2,'Growth Scenarios'!$B$2:$D$2,0)+1)</f>
        <v>1.4758200282611857</v>
      </c>
      <c r="O44" s="21">
        <f ca="1">(1-'Electrification Scenario'!G50)*VLOOKUP(G$3,'Static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P44" s="21">
        <f ca="1">(1-'Electrification Scenario'!H50)*VLOOKUP(H$3,'Static Parameters'!$A$3:$B$9,2)*VLOOKUP($A44,'Growth Scenarios'!$E$3:$I$80,MATCH('Scenario Picker'!$B$3,'Growth Scenarios'!$F$2:$I$2,0)+1)/1000000000*VLOOKUP($A44,'Growth Scenarios'!$A$3:$D$80,MATCH('Scenario Picker'!$B$2,'Growth Scenarios'!$B$2:$D$2,0)+1)</f>
        <v>26.73838639437913</v>
      </c>
      <c r="Q44" s="28">
        <f t="shared" ca="1" si="1"/>
        <v>31.686724136196048</v>
      </c>
      <c r="R44" s="28">
        <f t="shared" ca="1" si="2"/>
        <v>260.07421415675651</v>
      </c>
    </row>
    <row r="45" spans="1:18" ht="15" x14ac:dyDescent="0.35">
      <c r="A45" s="31">
        <v>2063</v>
      </c>
      <c r="B45" s="25">
        <f ca="1">'Electrification Scenario'!B51*(1-'Electrification Scenario'!B$8*('Electrification Scenario'!B51-'Electrification Scenario'!B$4)/('Electrification Scenario'!B$5-'Electrification Scenario'!B$4))*VLOOKUP(B$3,'Static Parameters'!$A$3:$B$9,2)*VLOOKUP($A45,'Growth Scenarios'!$E$3:$I$80,MATCH('Scenario Picker'!$B$3,'Growth Scenarios'!$F$2:$I$2,0)+1)/1000000000*VLOOKUP($A45,'Growth Scenarios'!$A$3:$D$80,MATCH('Scenario Picker'!$B$2,'Growth Scenarios'!$B$2:$D$2,0)+1)</f>
        <v>3.9558998760510531</v>
      </c>
      <c r="C45" s="21">
        <f ca="1">'Electrification Scenario'!C51*(1-'Electrification Scenario'!C$8*('Electrification Scenario'!C51-'Electrification Scenario'!C$4)/('Electrification Scenario'!C$5-'Electrification Scenario'!C$4))*VLOOKUP(C$3,'Static Parameters'!$A$3:$B$9,2)*VLOOKUP($A45,'Growth Scenarios'!$E$3:$I$80,MATCH('Scenario Picker'!$B$3,'Growth Scenarios'!$F$2:$I$2,0)+1)/1000000000*VLOOKUP($A45,'Growth Scenarios'!$A$3:$D$80,MATCH('Scenario Picker'!$B$2,'Growth Scenarios'!$B$2:$D$2,0)+1)</f>
        <v>24.174943686978658</v>
      </c>
      <c r="D45" s="21">
        <f ca="1">'Electrification Scenario'!D51*(1-'Electrification Scenario'!D$8*('Electrification Scenario'!D51-'Electrification Scenario'!D$4)/('Electrification Scenario'!D$5-'Electrification Scenario'!D$4))*VLOOKUP(D$3,'Static Parameters'!$A$3:$B$9,2)*VLOOKUP($A45,'Growth Scenarios'!$E$3:$I$80,MATCH('Scenario Picker'!$B$3,'Growth Scenarios'!$F$2:$I$2,0)+1)/1000000000*VLOOKUP($A45,'Growth Scenarios'!$A$3:$D$80,MATCH('Scenario Picker'!$B$2,'Growth Scenarios'!$B$2:$D$2,0)+1)</f>
        <v>0.16482916150212723</v>
      </c>
      <c r="E45" s="21">
        <f ca="1">'Electrification Scenario'!E51*(1-'Electrification Scenario'!E$8*('Electrification Scenario'!E51-'Electrification Scenario'!E$4)/('Electrification Scenario'!E$5-'Electrification Scenario'!E$4))*VLOOKUP(E$3,'Static Parameters'!$A$3:$B$9,2)*VLOOKUP($A45,'Growth Scenarios'!$E$3:$I$80,MATCH('Scenario Picker'!$B$3,'Growth Scenarios'!$F$2:$I$2,0)+1)/1000000000*VLOOKUP($A45,'Growth Scenarios'!$A$3:$D$80,MATCH('Scenario Picker'!$B$2,'Growth Scenarios'!$B$2:$D$2,0)+1)</f>
        <v>92.579045710361456</v>
      </c>
      <c r="F45" s="21">
        <f ca="1">'Electrification Scenario'!F51*(1-'Electrification Scenario'!F$8*('Electrification Scenario'!F51-'Electrification Scenario'!F$4)/('Electrification Scenario'!F$5-'Electrification Scenario'!F$4))*VLOOKUP(F$3,'Static Parameters'!$A$3:$B$9,2)*VLOOKUP($A45,'Growth Scenarios'!$E$3:$I$80,MATCH('Scenario Picker'!$B$3,'Growth Scenarios'!$F$2:$I$2,0)+1)/1000000000*VLOOKUP($A45,'Growth Scenarios'!$A$3:$D$80,MATCH('Scenario Picker'!$B$2,'Growth Scenarios'!$B$2:$D$2,0)+1)</f>
        <v>3.502619681920204</v>
      </c>
      <c r="G45" s="21">
        <f ca="1">'Electrification Scenario'!G51*(1-'Electrification Scenario'!G$8*('Electrification Scenario'!G51-'Electrification Scenario'!G$4)/('Electrification Scenario'!G$5-'Electrification Scenario'!G$4))*VLOOKUP(G$3,'Static Parameters'!$A$3:$B$9,2)*VLOOKUP($A45,'Growth Scenarios'!$E$3:$I$80,MATCH('Scenario Picker'!$B$3,'Growth Scenarios'!$F$2:$I$2,0)+1)/1000000000*VLOOKUP($A45,'Growth Scenarios'!$A$3:$D$80,MATCH('Scenario Picker'!$B$2,'Growth Scenarios'!$B$2:$D$2,0)+1)</f>
        <v>61.810935563297711</v>
      </c>
      <c r="H45" s="21">
        <f ca="1">'Electrification Scenario'!H51*(1-'Electrification Scenario'!H$8*('Electrification Scenario'!H51-'Electrification Scenario'!H$4)/('Electrification Scenario'!H$5-'Electrification Scenario'!H$4))*VLOOKUP(H$3,'Static Parameters'!$A$3:$B$9,2)*VLOOKUP($A45,'Growth Scenarios'!$E$3:$I$80,MATCH('Scenario Picker'!$B$3,'Growth Scenarios'!$F$2:$I$2,0)+1)/1000000000*VLOOKUP($A45,'Growth Scenarios'!$A$3:$D$80,MATCH('Scenario Picker'!$B$2,'Growth Scenarios'!$B$2:$D$2,0)+1)</f>
        <v>39.662016986449359</v>
      </c>
      <c r="I45" s="28">
        <f t="shared" ca="1" si="0"/>
        <v>225.85029066656057</v>
      </c>
      <c r="J45" s="25">
        <f ca="1">(1-'Electrification Scenario'!B51)*VLOOKUP(B$3,'Static Parameters'!$A$3:$B$9,2)*VLOOKUP($A45,'Growth Scenarios'!$E$3:$I$80,MATCH('Scenario Picker'!$B$3,'Growth Scenarios'!$F$2:$I$2,0)+1)/1000000000*VLOOKUP($A45,'Growth Scenarios'!$A$3:$D$80,MATCH('Scenario Picker'!$B$2,'Growth Scenarios'!$B$2:$D$2,0)+1)</f>
        <v>3.2965832300425442</v>
      </c>
      <c r="K45" s="21">
        <f ca="1">(1-'Electrification Scenario'!C51)*VLOOKUP(C$3,'Static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L45" s="21">
        <f ca="1">(1-'Electrification Scenario'!D51)*VLOOKUP(D$3,'Static Parameters'!$A$3:$B$9,2)*VLOOKUP($A45,'Growth Scenarios'!$E$3:$I$80,MATCH('Scenario Picker'!$B$3,'Growth Scenarios'!$F$2:$I$2,0)+1)/1000000000*VLOOKUP($A45,'Growth Scenarios'!$A$3:$D$80,MATCH('Scenario Picker'!$B$2,'Growth Scenarios'!$B$2:$D$2,0)+1)</f>
        <v>0.13735763458510603</v>
      </c>
      <c r="M45" s="21">
        <f ca="1">(1-'Electrification Scenario'!E51)*VLOOKUP(E$3,'Static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N45" s="21">
        <f ca="1">(1-'Electrification Scenario'!F51)*VLOOKUP(F$3,'Static Parameters'!$A$3:$B$9,2)*VLOOKUP($A45,'Growth Scenarios'!$E$3:$I$80,MATCH('Scenario Picker'!$B$3,'Growth Scenarios'!$F$2:$I$2,0)+1)/1000000000*VLOOKUP($A45,'Growth Scenarios'!$A$3:$D$80,MATCH('Scenario Picker'!$B$2,'Growth Scenarios'!$B$2:$D$2,0)+1)</f>
        <v>1.4594248674667516</v>
      </c>
      <c r="O45" s="21">
        <f ca="1">(1-'Electrification Scenario'!G51)*VLOOKUP(G$3,'Static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P45" s="21">
        <f ca="1">(1-'Electrification Scenario'!H51)*VLOOKUP(H$3,'Static Parameters'!$A$3:$B$9,2)*VLOOKUP($A45,'Growth Scenarios'!$E$3:$I$80,MATCH('Scenario Picker'!$B$3,'Growth Scenarios'!$F$2:$I$2,0)+1)/1000000000*VLOOKUP($A45,'Growth Scenarios'!$A$3:$D$80,MATCH('Scenario Picker'!$B$2,'Growth Scenarios'!$B$2:$D$2,0)+1)</f>
        <v>26.441344657632907</v>
      </c>
      <c r="Q45" s="28">
        <f t="shared" ca="1" si="1"/>
        <v>31.334710389727309</v>
      </c>
      <c r="R45" s="28">
        <f t="shared" ca="1" si="2"/>
        <v>257.18500105628789</v>
      </c>
    </row>
    <row r="46" spans="1:18" ht="15" x14ac:dyDescent="0.35">
      <c r="A46" s="31">
        <v>2064</v>
      </c>
      <c r="B46" s="25">
        <f ca="1">'Electrification Scenario'!B52*(1-'Electrification Scenario'!B$8*('Electrification Scenario'!B52-'Electrification Scenario'!B$4)/('Electrification Scenario'!B$5-'Electrification Scenario'!B$4))*VLOOKUP(B$3,'Static Parameters'!$A$3:$B$9,2)*VLOOKUP($A46,'Growth Scenarios'!$E$3:$I$80,MATCH('Scenario Picker'!$B$3,'Growth Scenarios'!$F$2:$I$2,0)+1)/1000000000*VLOOKUP($A46,'Growth Scenarios'!$A$3:$D$80,MATCH('Scenario Picker'!$B$2,'Growth Scenarios'!$B$2:$D$2,0)+1)</f>
        <v>3.9112077227601558</v>
      </c>
      <c r="C46" s="21">
        <f ca="1">'Electrification Scenario'!C52*(1-'Electrification Scenario'!C$8*('Electrification Scenario'!C52-'Electrification Scenario'!C$4)/('Electrification Scenario'!C$5-'Electrification Scenario'!C$4))*VLOOKUP(C$3,'Static Parameters'!$A$3:$B$9,2)*VLOOKUP($A46,'Growth Scenarios'!$E$3:$I$80,MATCH('Scenario Picker'!$B$3,'Growth Scenarios'!$F$2:$I$2,0)+1)/1000000000*VLOOKUP($A46,'Growth Scenarios'!$A$3:$D$80,MATCH('Scenario Picker'!$B$2,'Growth Scenarios'!$B$2:$D$2,0)+1)</f>
        <v>23.901824972423178</v>
      </c>
      <c r="D46" s="21">
        <f ca="1">'Electrification Scenario'!D52*(1-'Electrification Scenario'!D$8*('Electrification Scenario'!D52-'Electrification Scenario'!D$4)/('Electrification Scenario'!D$5-'Electrification Scenario'!D$4))*VLOOKUP(D$3,'Static Parameters'!$A$3:$B$9,2)*VLOOKUP($A46,'Growth Scenarios'!$E$3:$I$80,MATCH('Scenario Picker'!$B$3,'Growth Scenarios'!$F$2:$I$2,0)+1)/1000000000*VLOOKUP($A46,'Growth Scenarios'!$A$3:$D$80,MATCH('Scenario Picker'!$B$2,'Growth Scenarios'!$B$2:$D$2,0)+1)</f>
        <v>0.16296698844833987</v>
      </c>
      <c r="E46" s="21">
        <f ca="1">'Electrification Scenario'!E52*(1-'Electrification Scenario'!E$8*('Electrification Scenario'!E52-'Electrification Scenario'!E$4)/('Electrification Scenario'!E$5-'Electrification Scenario'!E$4))*VLOOKUP(E$3,'Static Parameters'!$A$3:$B$9,2)*VLOOKUP($A46,'Growth Scenarios'!$E$3:$I$80,MATCH('Scenario Picker'!$B$3,'Growth Scenarios'!$F$2:$I$2,0)+1)/1000000000*VLOOKUP($A46,'Growth Scenarios'!$A$3:$D$80,MATCH('Scenario Picker'!$B$2,'Growth Scenarios'!$B$2:$D$2,0)+1)</f>
        <v>91.533125178484212</v>
      </c>
      <c r="F46" s="21">
        <f ca="1">'Electrification Scenario'!F52*(1-'Electrification Scenario'!F$8*('Electrification Scenario'!F52-'Electrification Scenario'!F$4)/('Electrification Scenario'!F$5-'Electrification Scenario'!F$4))*VLOOKUP(F$3,'Static Parameters'!$A$3:$B$9,2)*VLOOKUP($A46,'Growth Scenarios'!$E$3:$I$80,MATCH('Scenario Picker'!$B$3,'Growth Scenarios'!$F$2:$I$2,0)+1)/1000000000*VLOOKUP($A46,'Growth Scenarios'!$A$3:$D$80,MATCH('Scenario Picker'!$B$2,'Growth Scenarios'!$B$2:$D$2,0)+1)</f>
        <v>3.4630485045272228</v>
      </c>
      <c r="G46" s="21">
        <f ca="1">'Electrification Scenario'!G52*(1-'Electrification Scenario'!G$8*('Electrification Scenario'!G52-'Electrification Scenario'!G$4)/('Electrification Scenario'!G$5-'Electrification Scenario'!G$4))*VLOOKUP(G$3,'Static Parameters'!$A$3:$B$9,2)*VLOOKUP($A46,'Growth Scenarios'!$E$3:$I$80,MATCH('Scenario Picker'!$B$3,'Growth Scenarios'!$F$2:$I$2,0)+1)/1000000000*VLOOKUP($A46,'Growth Scenarios'!$A$3:$D$80,MATCH('Scenario Picker'!$B$2,'Growth Scenarios'!$B$2:$D$2,0)+1)</f>
        <v>61.112620668127448</v>
      </c>
      <c r="H46" s="21">
        <f ca="1">'Electrification Scenario'!H52*(1-'Electrification Scenario'!H$8*('Electrification Scenario'!H52-'Electrification Scenario'!H$4)/('Electrification Scenario'!H$5-'Electrification Scenario'!H$4))*VLOOKUP(H$3,'Static Parameters'!$A$3:$B$9,2)*VLOOKUP($A46,'Growth Scenarios'!$E$3:$I$80,MATCH('Scenario Picker'!$B$3,'Growth Scenarios'!$F$2:$I$2,0)+1)/1000000000*VLOOKUP($A46,'Growth Scenarios'!$A$3:$D$80,MATCH('Scenario Picker'!$B$2,'Growth Scenarios'!$B$2:$D$2,0)+1)</f>
        <v>39.21393159538178</v>
      </c>
      <c r="I46" s="28">
        <f t="shared" ca="1" si="0"/>
        <v>223.29872563015232</v>
      </c>
      <c r="J46" s="25">
        <f ca="1">(1-'Electrification Scenario'!B52)*VLOOKUP(B$3,'Static Parameters'!$A$3:$B$9,2)*VLOOKUP($A46,'Growth Scenarios'!$E$3:$I$80,MATCH('Scenario Picker'!$B$3,'Growth Scenarios'!$F$2:$I$2,0)+1)/1000000000*VLOOKUP($A46,'Growth Scenarios'!$A$3:$D$80,MATCH('Scenario Picker'!$B$2,'Growth Scenarios'!$B$2:$D$2,0)+1)</f>
        <v>3.2593397689667971</v>
      </c>
      <c r="K46" s="21">
        <f ca="1">(1-'Electrification Scenario'!C52)*VLOOKUP(C$3,'Static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L46" s="21">
        <f ca="1">(1-'Electrification Scenario'!D52)*VLOOKUP(D$3,'Static Parameters'!$A$3:$B$9,2)*VLOOKUP($A46,'Growth Scenarios'!$E$3:$I$80,MATCH('Scenario Picker'!$B$3,'Growth Scenarios'!$F$2:$I$2,0)+1)/1000000000*VLOOKUP($A46,'Growth Scenarios'!$A$3:$D$80,MATCH('Scenario Picker'!$B$2,'Growth Scenarios'!$B$2:$D$2,0)+1)</f>
        <v>0.13580582370694988</v>
      </c>
      <c r="M46" s="21">
        <f ca="1">(1-'Electrification Scenario'!E52)*VLOOKUP(E$3,'Static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N46" s="21">
        <f ca="1">(1-'Electrification Scenario'!F52)*VLOOKUP(F$3,'Static Parameters'!$A$3:$B$9,2)*VLOOKUP($A46,'Growth Scenarios'!$E$3:$I$80,MATCH('Scenario Picker'!$B$3,'Growth Scenarios'!$F$2:$I$2,0)+1)/1000000000*VLOOKUP($A46,'Growth Scenarios'!$A$3:$D$80,MATCH('Scenario Picker'!$B$2,'Growth Scenarios'!$B$2:$D$2,0)+1)</f>
        <v>1.4429368768863424</v>
      </c>
      <c r="O46" s="21">
        <f ca="1">(1-'Electrification Scenario'!G52)*VLOOKUP(G$3,'Static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P46" s="21">
        <f ca="1">(1-'Electrification Scenario'!H52)*VLOOKUP(H$3,'Static Parameters'!$A$3:$B$9,2)*VLOOKUP($A46,'Growth Scenarios'!$E$3:$I$80,MATCH('Scenario Picker'!$B$3,'Growth Scenarios'!$F$2:$I$2,0)+1)/1000000000*VLOOKUP($A46,'Growth Scenarios'!$A$3:$D$80,MATCH('Scenario Picker'!$B$2,'Growth Scenarios'!$B$2:$D$2,0)+1)</f>
        <v>26.142621063587846</v>
      </c>
      <c r="Q46" s="28">
        <f t="shared" ca="1" si="1"/>
        <v>30.980703533147935</v>
      </c>
      <c r="R46" s="28">
        <f t="shared" ca="1" si="2"/>
        <v>254.27942916330025</v>
      </c>
    </row>
    <row r="47" spans="1:18" ht="15" x14ac:dyDescent="0.35">
      <c r="A47" s="31">
        <v>2065</v>
      </c>
      <c r="B47" s="25">
        <f ca="1">'Electrification Scenario'!B53*(1-'Electrification Scenario'!B$8*('Electrification Scenario'!B53-'Electrification Scenario'!B$4)/('Electrification Scenario'!B$5-'Electrification Scenario'!B$4))*VLOOKUP(B$3,'Static Parameters'!$A$3:$B$9,2)*VLOOKUP($A47,'Growth Scenarios'!$E$3:$I$80,MATCH('Scenario Picker'!$B$3,'Growth Scenarios'!$F$2:$I$2,0)+1)/1000000000*VLOOKUP($A47,'Growth Scenarios'!$A$3:$D$80,MATCH('Scenario Picker'!$B$2,'Growth Scenarios'!$B$2:$D$2,0)+1)</f>
        <v>3.86642700304149</v>
      </c>
      <c r="C47" s="21">
        <f ca="1">'Electrification Scenario'!C53*(1-'Electrification Scenario'!C$8*('Electrification Scenario'!C53-'Electrification Scenario'!C$4)/('Electrification Scenario'!C$5-'Electrification Scenario'!C$4))*VLOOKUP(C$3,'Static Parameters'!$A$3:$B$9,2)*VLOOKUP($A47,'Growth Scenarios'!$E$3:$I$80,MATCH('Scenario Picker'!$B$3,'Growth Scenarios'!$F$2:$I$2,0)+1)/1000000000*VLOOKUP($A47,'Growth Scenarios'!$A$3:$D$80,MATCH('Scenario Picker'!$B$2,'Growth Scenarios'!$B$2:$D$2,0)+1)</f>
        <v>23.628165018586888</v>
      </c>
      <c r="D47" s="21">
        <f ca="1">'Electrification Scenario'!D53*(1-'Electrification Scenario'!D$8*('Electrification Scenario'!D53-'Electrification Scenario'!D$4)/('Electrification Scenario'!D$5-'Electrification Scenario'!D$4))*VLOOKUP(D$3,'Static Parameters'!$A$3:$B$9,2)*VLOOKUP($A47,'Growth Scenarios'!$E$3:$I$80,MATCH('Scenario Picker'!$B$3,'Growth Scenarios'!$F$2:$I$2,0)+1)/1000000000*VLOOKUP($A47,'Growth Scenarios'!$A$3:$D$80,MATCH('Scenario Picker'!$B$2,'Growth Scenarios'!$B$2:$D$2,0)+1)</f>
        <v>0.16110112512672875</v>
      </c>
      <c r="E47" s="21">
        <f ca="1">'Electrification Scenario'!E53*(1-'Electrification Scenario'!E$8*('Electrification Scenario'!E53-'Electrification Scenario'!E$4)/('Electrification Scenario'!E$5-'Electrification Scenario'!E$4))*VLOOKUP(E$3,'Static Parameters'!$A$3:$B$9,2)*VLOOKUP($A47,'Growth Scenarios'!$E$3:$I$80,MATCH('Scenario Picker'!$B$3,'Growth Scenarios'!$F$2:$I$2,0)+1)/1000000000*VLOOKUP($A47,'Growth Scenarios'!$A$3:$D$80,MATCH('Scenario Picker'!$B$2,'Growth Scenarios'!$B$2:$D$2,0)+1)</f>
        <v>90.485131946179322</v>
      </c>
      <c r="F47" s="21">
        <f ca="1">'Electrification Scenario'!F53*(1-'Electrification Scenario'!F$8*('Electrification Scenario'!F53-'Electrification Scenario'!F$4)/('Electrification Scenario'!F$5-'Electrification Scenario'!F$4))*VLOOKUP(F$3,'Static Parameters'!$A$3:$B$9,2)*VLOOKUP($A47,'Growth Scenarios'!$E$3:$I$80,MATCH('Scenario Picker'!$B$3,'Growth Scenarios'!$F$2:$I$2,0)+1)/1000000000*VLOOKUP($A47,'Growth Scenarios'!$A$3:$D$80,MATCH('Scenario Picker'!$B$2,'Growth Scenarios'!$B$2:$D$2,0)+1)</f>
        <v>3.4233989089429868</v>
      </c>
      <c r="G47" s="21">
        <f ca="1">'Electrification Scenario'!G53*(1-'Electrification Scenario'!G$8*('Electrification Scenario'!G53-'Electrification Scenario'!G$4)/('Electrification Scenario'!G$5-'Electrification Scenario'!G$4))*VLOOKUP(G$3,'Static Parameters'!$A$3:$B$9,2)*VLOOKUP($A47,'Growth Scenarios'!$E$3:$I$80,MATCH('Scenario Picker'!$B$3,'Growth Scenarios'!$F$2:$I$2,0)+1)/1000000000*VLOOKUP($A47,'Growth Scenarios'!$A$3:$D$80,MATCH('Scenario Picker'!$B$2,'Growth Scenarios'!$B$2:$D$2,0)+1)</f>
        <v>60.412921922523296</v>
      </c>
      <c r="H47" s="21">
        <f ca="1">'Electrification Scenario'!H53*(1-'Electrification Scenario'!H$8*('Electrification Scenario'!H53-'Electrification Scenario'!H$4)/('Electrification Scenario'!H$5-'Electrification Scenario'!H$4))*VLOOKUP(H$3,'Static Parameters'!$A$3:$B$9,2)*VLOOKUP($A47,'Growth Scenarios'!$E$3:$I$80,MATCH('Scenario Picker'!$B$3,'Growth Scenarios'!$F$2:$I$2,0)+1)/1000000000*VLOOKUP($A47,'Growth Scenarios'!$A$3:$D$80,MATCH('Scenario Picker'!$B$2,'Growth Scenarios'!$B$2:$D$2,0)+1)</f>
        <v>38.764958233619112</v>
      </c>
      <c r="I47" s="28">
        <f t="shared" ca="1" si="0"/>
        <v>220.7421041580198</v>
      </c>
      <c r="J47" s="25">
        <f ca="1">(1-'Electrification Scenario'!B53)*VLOOKUP(B$3,'Static Parameters'!$A$3:$B$9,2)*VLOOKUP($A47,'Growth Scenarios'!$E$3:$I$80,MATCH('Scenario Picker'!$B$3,'Growth Scenarios'!$F$2:$I$2,0)+1)/1000000000*VLOOKUP($A47,'Growth Scenarios'!$A$3:$D$80,MATCH('Scenario Picker'!$B$2,'Growth Scenarios'!$B$2:$D$2,0)+1)</f>
        <v>3.2220225025345757</v>
      </c>
      <c r="K47" s="21">
        <f ca="1">(1-'Electrification Scenario'!C53)*VLOOKUP(C$3,'Static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L47" s="21">
        <f ca="1">(1-'Electrification Scenario'!D53)*VLOOKUP(D$3,'Static Parameters'!$A$3:$B$9,2)*VLOOKUP($A47,'Growth Scenarios'!$E$3:$I$80,MATCH('Scenario Picker'!$B$3,'Growth Scenarios'!$F$2:$I$2,0)+1)/1000000000*VLOOKUP($A47,'Growth Scenarios'!$A$3:$D$80,MATCH('Scenario Picker'!$B$2,'Growth Scenarios'!$B$2:$D$2,0)+1)</f>
        <v>0.1342509376056073</v>
      </c>
      <c r="M47" s="21">
        <f ca="1">(1-'Electrification Scenario'!E53)*VLOOKUP(E$3,'Static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N47" s="21">
        <f ca="1">(1-'Electrification Scenario'!F53)*VLOOKUP(F$3,'Static Parameters'!$A$3:$B$9,2)*VLOOKUP($A47,'Growth Scenarios'!$E$3:$I$80,MATCH('Scenario Picker'!$B$3,'Growth Scenarios'!$F$2:$I$2,0)+1)/1000000000*VLOOKUP($A47,'Growth Scenarios'!$A$3:$D$80,MATCH('Scenario Picker'!$B$2,'Growth Scenarios'!$B$2:$D$2,0)+1)</f>
        <v>1.4264162120595778</v>
      </c>
      <c r="O47" s="21">
        <f ca="1">(1-'Electrification Scenario'!G53)*VLOOKUP(G$3,'Static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P47" s="21">
        <f ca="1">(1-'Electrification Scenario'!H53)*VLOOKUP(H$3,'Static Parameters'!$A$3:$B$9,2)*VLOOKUP($A47,'Growth Scenarios'!$E$3:$I$80,MATCH('Scenario Picker'!$B$3,'Growth Scenarios'!$F$2:$I$2,0)+1)/1000000000*VLOOKUP($A47,'Growth Scenarios'!$A$3:$D$80,MATCH('Scenario Picker'!$B$2,'Growth Scenarios'!$B$2:$D$2,0)+1)</f>
        <v>25.843305489079405</v>
      </c>
      <c r="Q47" s="28">
        <f t="shared" ca="1" si="1"/>
        <v>30.625995141279166</v>
      </c>
      <c r="R47" s="28">
        <f t="shared" ca="1" si="2"/>
        <v>251.36809929929896</v>
      </c>
    </row>
    <row r="48" spans="1:18" ht="15" x14ac:dyDescent="0.35">
      <c r="A48" s="31">
        <v>2066</v>
      </c>
      <c r="B48" s="25">
        <f ca="1">'Electrification Scenario'!B54*(1-'Electrification Scenario'!B$8*('Electrification Scenario'!B54-'Electrification Scenario'!B$4)/('Electrification Scenario'!B$5-'Electrification Scenario'!B$4))*VLOOKUP(B$3,'Static Parameters'!$A$3:$B$9,2)*VLOOKUP($A48,'Growth Scenarios'!$E$3:$I$80,MATCH('Scenario Picker'!$B$3,'Growth Scenarios'!$F$2:$I$2,0)+1)/1000000000*VLOOKUP($A48,'Growth Scenarios'!$A$3:$D$80,MATCH('Scenario Picker'!$B$2,'Growth Scenarios'!$B$2:$D$2,0)+1)</f>
        <v>3.8217073351494384</v>
      </c>
      <c r="C48" s="21">
        <f ca="1">'Electrification Scenario'!C54*(1-'Electrification Scenario'!C$8*('Electrification Scenario'!C54-'Electrification Scenario'!C$4)/('Electrification Scenario'!C$5-'Electrification Scenario'!C$4))*VLOOKUP(C$3,'Static Parameters'!$A$3:$B$9,2)*VLOOKUP($A48,'Growth Scenarios'!$E$3:$I$80,MATCH('Scenario Picker'!$B$3,'Growth Scenarios'!$F$2:$I$2,0)+1)/1000000000*VLOOKUP($A48,'Growth Scenarios'!$A$3:$D$80,MATCH('Scenario Picker'!$B$2,'Growth Scenarios'!$B$2:$D$2,0)+1)</f>
        <v>23.354878159246571</v>
      </c>
      <c r="D48" s="21">
        <f ca="1">'Electrification Scenario'!D54*(1-'Electrification Scenario'!D$8*('Electrification Scenario'!D54-'Electrification Scenario'!D$4)/('Electrification Scenario'!D$5-'Electrification Scenario'!D$4))*VLOOKUP(D$3,'Static Parameters'!$A$3:$B$9,2)*VLOOKUP($A48,'Growth Scenarios'!$E$3:$I$80,MATCH('Scenario Picker'!$B$3,'Growth Scenarios'!$F$2:$I$2,0)+1)/1000000000*VLOOKUP($A48,'Growth Scenarios'!$A$3:$D$80,MATCH('Scenario Picker'!$B$2,'Growth Scenarios'!$B$2:$D$2,0)+1)</f>
        <v>0.15923780563122664</v>
      </c>
      <c r="E48" s="21">
        <f ca="1">'Electrification Scenario'!E54*(1-'Electrification Scenario'!E$8*('Electrification Scenario'!E54-'Electrification Scenario'!E$4)/('Electrification Scenario'!E$5-'Electrification Scenario'!E$4))*VLOOKUP(E$3,'Static Parameters'!$A$3:$B$9,2)*VLOOKUP($A48,'Growth Scenarios'!$E$3:$I$80,MATCH('Scenario Picker'!$B$3,'Growth Scenarios'!$F$2:$I$2,0)+1)/1000000000*VLOOKUP($A48,'Growth Scenarios'!$A$3:$D$80,MATCH('Scenario Picker'!$B$2,'Growth Scenarios'!$B$2:$D$2,0)+1)</f>
        <v>89.438567496205621</v>
      </c>
      <c r="F48" s="21">
        <f ca="1">'Electrification Scenario'!F54*(1-'Electrification Scenario'!F$8*('Electrification Scenario'!F54-'Electrification Scenario'!F$4)/('Electrification Scenario'!F$5-'Electrification Scenario'!F$4))*VLOOKUP(F$3,'Static Parameters'!$A$3:$B$9,2)*VLOOKUP($A48,'Growth Scenarios'!$E$3:$I$80,MATCH('Scenario Picker'!$B$3,'Growth Scenarios'!$F$2:$I$2,0)+1)/1000000000*VLOOKUP($A48,'Growth Scenarios'!$A$3:$D$80,MATCH('Scenario Picker'!$B$2,'Growth Scenarios'!$B$2:$D$2,0)+1)</f>
        <v>3.3838033696635663</v>
      </c>
      <c r="G48" s="21">
        <f ca="1">'Electrification Scenario'!G54*(1-'Electrification Scenario'!G$8*('Electrification Scenario'!G54-'Electrification Scenario'!G$4)/('Electrification Scenario'!G$5-'Electrification Scenario'!G$4))*VLOOKUP(G$3,'Static Parameters'!$A$3:$B$9,2)*VLOOKUP($A48,'Growth Scenarios'!$E$3:$I$80,MATCH('Scenario Picker'!$B$3,'Growth Scenarios'!$F$2:$I$2,0)+1)/1000000000*VLOOKUP($A48,'Growth Scenarios'!$A$3:$D$80,MATCH('Scenario Picker'!$B$2,'Growth Scenarios'!$B$2:$D$2,0)+1)</f>
        <v>59.714177111709979</v>
      </c>
      <c r="H48" s="21">
        <f ca="1">'Electrification Scenario'!H54*(1-'Electrification Scenario'!H$8*('Electrification Scenario'!H54-'Electrification Scenario'!H$4)/('Electrification Scenario'!H$5-'Electrification Scenario'!H$4))*VLOOKUP(H$3,'Static Parameters'!$A$3:$B$9,2)*VLOOKUP($A48,'Growth Scenarios'!$E$3:$I$80,MATCH('Scenario Picker'!$B$3,'Growth Scenarios'!$F$2:$I$2,0)+1)/1000000000*VLOOKUP($A48,'Growth Scenarios'!$A$3:$D$80,MATCH('Scenario Picker'!$B$2,'Growth Scenarios'!$B$2:$D$2,0)+1)</f>
        <v>38.316596980013898</v>
      </c>
      <c r="I48" s="28">
        <f t="shared" ca="1" si="0"/>
        <v>218.18896825762027</v>
      </c>
      <c r="J48" s="25">
        <f ca="1">(1-'Electrification Scenario'!B54)*VLOOKUP(B$3,'Static Parameters'!$A$3:$B$9,2)*VLOOKUP($A48,'Growth Scenarios'!$E$3:$I$80,MATCH('Scenario Picker'!$B$3,'Growth Scenarios'!$F$2:$I$2,0)+1)/1000000000*VLOOKUP($A48,'Growth Scenarios'!$A$3:$D$80,MATCH('Scenario Picker'!$B$2,'Growth Scenarios'!$B$2:$D$2,0)+1)</f>
        <v>3.1847561126245321</v>
      </c>
      <c r="K48" s="21">
        <f ca="1">(1-'Electrification Scenario'!C54)*VLOOKUP(C$3,'Static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L48" s="21">
        <f ca="1">(1-'Electrification Scenario'!D54)*VLOOKUP(D$3,'Static Parameters'!$A$3:$B$9,2)*VLOOKUP($A48,'Growth Scenarios'!$E$3:$I$80,MATCH('Scenario Picker'!$B$3,'Growth Scenarios'!$F$2:$I$2,0)+1)/1000000000*VLOOKUP($A48,'Growth Scenarios'!$A$3:$D$80,MATCH('Scenario Picker'!$B$2,'Growth Scenarios'!$B$2:$D$2,0)+1)</f>
        <v>0.13269817135935549</v>
      </c>
      <c r="M48" s="21">
        <f ca="1">(1-'Electrification Scenario'!E54)*VLOOKUP(E$3,'Static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N48" s="21">
        <f ca="1">(1-'Electrification Scenario'!F54)*VLOOKUP(F$3,'Static Parameters'!$A$3:$B$9,2)*VLOOKUP($A48,'Growth Scenarios'!$E$3:$I$80,MATCH('Scenario Picker'!$B$3,'Growth Scenarios'!$F$2:$I$2,0)+1)/1000000000*VLOOKUP($A48,'Growth Scenarios'!$A$3:$D$80,MATCH('Scenario Picker'!$B$2,'Growth Scenarios'!$B$2:$D$2,0)+1)</f>
        <v>1.4099180706931524</v>
      </c>
      <c r="O48" s="21">
        <f ca="1">(1-'Electrification Scenario'!G54)*VLOOKUP(G$3,'Static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P48" s="21">
        <f ca="1">(1-'Electrification Scenario'!H54)*VLOOKUP(H$3,'Static Parameters'!$A$3:$B$9,2)*VLOOKUP($A48,'Growth Scenarios'!$E$3:$I$80,MATCH('Scenario Picker'!$B$3,'Growth Scenarios'!$F$2:$I$2,0)+1)/1000000000*VLOOKUP($A48,'Growth Scenarios'!$A$3:$D$80,MATCH('Scenario Picker'!$B$2,'Growth Scenarios'!$B$2:$D$2,0)+1)</f>
        <v>25.544397986675932</v>
      </c>
      <c r="Q48" s="28">
        <f t="shared" ca="1" si="1"/>
        <v>30.271770341352973</v>
      </c>
      <c r="R48" s="28">
        <f t="shared" ca="1" si="2"/>
        <v>248.46073859897325</v>
      </c>
    </row>
    <row r="49" spans="1:18" ht="15" x14ac:dyDescent="0.35">
      <c r="A49" s="31">
        <v>2067</v>
      </c>
      <c r="B49" s="25">
        <f ca="1">'Electrification Scenario'!B55*(1-'Electrification Scenario'!B$8*('Electrification Scenario'!B55-'Electrification Scenario'!B$4)/('Electrification Scenario'!B$5-'Electrification Scenario'!B$4))*VLOOKUP(B$3,'Static Parameters'!$A$3:$B$9,2)*VLOOKUP($A49,'Growth Scenarios'!$E$3:$I$80,MATCH('Scenario Picker'!$B$3,'Growth Scenarios'!$F$2:$I$2,0)+1)/1000000000*VLOOKUP($A49,'Growth Scenarios'!$A$3:$D$80,MATCH('Scenario Picker'!$B$2,'Growth Scenarios'!$B$2:$D$2,0)+1)</f>
        <v>3.777204535356748</v>
      </c>
      <c r="C49" s="21">
        <f ca="1">'Electrification Scenario'!C55*(1-'Electrification Scenario'!C$8*('Electrification Scenario'!C55-'Electrification Scenario'!C$4)/('Electrification Scenario'!C$5-'Electrification Scenario'!C$4))*VLOOKUP(C$3,'Static Parameters'!$A$3:$B$9,2)*VLOOKUP($A49,'Growth Scenarios'!$E$3:$I$80,MATCH('Scenario Picker'!$B$3,'Growth Scenarios'!$F$2:$I$2,0)+1)/1000000000*VLOOKUP($A49,'Growth Scenarios'!$A$3:$D$80,MATCH('Scenario Picker'!$B$2,'Growth Scenarios'!$B$2:$D$2,0)+1)</f>
        <v>23.082916604957905</v>
      </c>
      <c r="D49" s="21">
        <f ca="1">'Electrification Scenario'!D55*(1-'Electrification Scenario'!D$8*('Electrification Scenario'!D55-'Electrification Scenario'!D$4)/('Electrification Scenario'!D$5-'Electrification Scenario'!D$4))*VLOOKUP(D$3,'Static Parameters'!$A$3:$B$9,2)*VLOOKUP($A49,'Growth Scenarios'!$E$3:$I$80,MATCH('Scenario Picker'!$B$3,'Growth Scenarios'!$F$2:$I$2,0)+1)/1000000000*VLOOKUP($A49,'Growth Scenarios'!$A$3:$D$80,MATCH('Scenario Picker'!$B$2,'Growth Scenarios'!$B$2:$D$2,0)+1)</f>
        <v>0.15738352230653119</v>
      </c>
      <c r="E49" s="21">
        <f ca="1">'Electrification Scenario'!E55*(1-'Electrification Scenario'!E$8*('Electrification Scenario'!E55-'Electrification Scenario'!E$4)/('Electrification Scenario'!E$5-'Electrification Scenario'!E$4))*VLOOKUP(E$3,'Static Parameters'!$A$3:$B$9,2)*VLOOKUP($A49,'Growth Scenarios'!$E$3:$I$80,MATCH('Scenario Picker'!$B$3,'Growth Scenarios'!$F$2:$I$2,0)+1)/1000000000*VLOOKUP($A49,'Growth Scenarios'!$A$3:$D$80,MATCH('Scenario Picker'!$B$2,'Growth Scenarios'!$B$2:$D$2,0)+1)</f>
        <v>88.39707836216833</v>
      </c>
      <c r="F49" s="21">
        <f ca="1">'Electrification Scenario'!F55*(1-'Electrification Scenario'!F$8*('Electrification Scenario'!F55-'Electrification Scenario'!F$4)/('Electrification Scenario'!F$5-'Electrification Scenario'!F$4))*VLOOKUP(F$3,'Static Parameters'!$A$3:$B$9,2)*VLOOKUP($A49,'Growth Scenarios'!$E$3:$I$80,MATCH('Scenario Picker'!$B$3,'Growth Scenarios'!$F$2:$I$2,0)+1)/1000000000*VLOOKUP($A49,'Growth Scenarios'!$A$3:$D$80,MATCH('Scenario Picker'!$B$2,'Growth Scenarios'!$B$2:$D$2,0)+1)</f>
        <v>3.3443998490137887</v>
      </c>
      <c r="G49" s="21">
        <f ca="1">'Electrification Scenario'!G55*(1-'Electrification Scenario'!G$8*('Electrification Scenario'!G55-'Electrification Scenario'!G$4)/('Electrification Scenario'!G$5-'Electrification Scenario'!G$4))*VLOOKUP(G$3,'Static Parameters'!$A$3:$B$9,2)*VLOOKUP($A49,'Growth Scenarios'!$E$3:$I$80,MATCH('Scenario Picker'!$B$3,'Growth Scenarios'!$F$2:$I$2,0)+1)/1000000000*VLOOKUP($A49,'Growth Scenarios'!$A$3:$D$80,MATCH('Scenario Picker'!$B$2,'Growth Scenarios'!$B$2:$D$2,0)+1)</f>
        <v>59.018820864949205</v>
      </c>
      <c r="H49" s="21">
        <f ca="1">'Electrification Scenario'!H55*(1-'Electrification Scenario'!H$8*('Electrification Scenario'!H55-'Electrification Scenario'!H$4)/('Electrification Scenario'!H$5-'Electrification Scenario'!H$4))*VLOOKUP(H$3,'Static Parameters'!$A$3:$B$9,2)*VLOOKUP($A49,'Growth Scenarios'!$E$3:$I$80,MATCH('Scenario Picker'!$B$3,'Growth Scenarios'!$F$2:$I$2,0)+1)/1000000000*VLOOKUP($A49,'Growth Scenarios'!$A$3:$D$80,MATCH('Scenario Picker'!$B$2,'Growth Scenarios'!$B$2:$D$2,0)+1)</f>
        <v>37.87041005500906</v>
      </c>
      <c r="I49" s="28">
        <f t="shared" ca="1" si="0"/>
        <v>215.64821379376156</v>
      </c>
      <c r="J49" s="25">
        <f ca="1">(1-'Electrification Scenario'!B55)*VLOOKUP(B$3,'Static Parameters'!$A$3:$B$9,2)*VLOOKUP($A49,'Growth Scenarios'!$E$3:$I$80,MATCH('Scenario Picker'!$B$3,'Growth Scenarios'!$F$2:$I$2,0)+1)/1000000000*VLOOKUP($A49,'Growth Scenarios'!$A$3:$D$80,MATCH('Scenario Picker'!$B$2,'Growth Scenarios'!$B$2:$D$2,0)+1)</f>
        <v>3.1476704461306237</v>
      </c>
      <c r="K49" s="21">
        <f ca="1">(1-'Electrification Scenario'!C55)*VLOOKUP(C$3,'Static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L49" s="21">
        <f ca="1">(1-'Electrification Scenario'!D55)*VLOOKUP(D$3,'Static Parameters'!$A$3:$B$9,2)*VLOOKUP($A49,'Growth Scenarios'!$E$3:$I$80,MATCH('Scenario Picker'!$B$3,'Growth Scenarios'!$F$2:$I$2,0)+1)/1000000000*VLOOKUP($A49,'Growth Scenarios'!$A$3:$D$80,MATCH('Scenario Picker'!$B$2,'Growth Scenarios'!$B$2:$D$2,0)+1)</f>
        <v>0.13115293525544267</v>
      </c>
      <c r="M49" s="21">
        <f ca="1">(1-'Electrification Scenario'!E55)*VLOOKUP(E$3,'Static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N49" s="21">
        <f ca="1">(1-'Electrification Scenario'!F55)*VLOOKUP(F$3,'Static Parameters'!$A$3:$B$9,2)*VLOOKUP($A49,'Growth Scenarios'!$E$3:$I$80,MATCH('Scenario Picker'!$B$3,'Growth Scenarios'!$F$2:$I$2,0)+1)/1000000000*VLOOKUP($A49,'Growth Scenarios'!$A$3:$D$80,MATCH('Scenario Picker'!$B$2,'Growth Scenarios'!$B$2:$D$2,0)+1)</f>
        <v>1.3934999370890782</v>
      </c>
      <c r="O49" s="21">
        <f ca="1">(1-'Electrification Scenario'!G55)*VLOOKUP(G$3,'Static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P49" s="21">
        <f ca="1">(1-'Electrification Scenario'!H55)*VLOOKUP(H$3,'Static Parameters'!$A$3:$B$9,2)*VLOOKUP($A49,'Growth Scenarios'!$E$3:$I$80,MATCH('Scenario Picker'!$B$3,'Growth Scenarios'!$F$2:$I$2,0)+1)/1000000000*VLOOKUP($A49,'Growth Scenarios'!$A$3:$D$80,MATCH('Scenario Picker'!$B$2,'Growth Scenarios'!$B$2:$D$2,0)+1)</f>
        <v>25.246940036672708</v>
      </c>
      <c r="Q49" s="28">
        <f t="shared" ca="1" si="1"/>
        <v>29.919263355147852</v>
      </c>
      <c r="R49" s="28">
        <f t="shared" ca="1" si="2"/>
        <v>245.5674771489094</v>
      </c>
    </row>
    <row r="50" spans="1:18" ht="15" x14ac:dyDescent="0.35">
      <c r="A50" s="31">
        <v>2068</v>
      </c>
      <c r="B50" s="25">
        <f ca="1">'Electrification Scenario'!B56*(1-'Electrification Scenario'!B$8*('Electrification Scenario'!B56-'Electrification Scenario'!B$4)/('Electrification Scenario'!B$5-'Electrification Scenario'!B$4))*VLOOKUP(B$3,'Static Parameters'!$A$3:$B$9,2)*VLOOKUP($A50,'Growth Scenarios'!$E$3:$I$80,MATCH('Scenario Picker'!$B$3,'Growth Scenarios'!$F$2:$I$2,0)+1)/1000000000*VLOOKUP($A50,'Growth Scenarios'!$A$3:$D$80,MATCH('Scenario Picker'!$B$2,'Growth Scenarios'!$B$2:$D$2,0)+1)</f>
        <v>3.7330404903772529</v>
      </c>
      <c r="C50" s="21">
        <f ca="1">'Electrification Scenario'!C56*(1-'Electrification Scenario'!C$8*('Electrification Scenario'!C56-'Electrification Scenario'!C$4)/('Electrification Scenario'!C$5-'Electrification Scenario'!C$4))*VLOOKUP(C$3,'Static Parameters'!$A$3:$B$9,2)*VLOOKUP($A50,'Growth Scenarios'!$E$3:$I$80,MATCH('Scenario Picker'!$B$3,'Growth Scenarios'!$F$2:$I$2,0)+1)/1000000000*VLOOKUP($A50,'Growth Scenarios'!$A$3:$D$80,MATCH('Scenario Picker'!$B$2,'Growth Scenarios'!$B$2:$D$2,0)+1)</f>
        <v>22.813025218972104</v>
      </c>
      <c r="D50" s="21">
        <f ca="1">'Electrification Scenario'!D56*(1-'Electrification Scenario'!D$8*('Electrification Scenario'!D56-'Electrification Scenario'!D$4)/('Electrification Scenario'!D$5-'Electrification Scenario'!D$4))*VLOOKUP(D$3,'Static Parameters'!$A$3:$B$9,2)*VLOOKUP($A50,'Growth Scenarios'!$E$3:$I$80,MATCH('Scenario Picker'!$B$3,'Growth Scenarios'!$F$2:$I$2,0)+1)/1000000000*VLOOKUP($A50,'Growth Scenarios'!$A$3:$D$80,MATCH('Scenario Picker'!$B$2,'Growth Scenarios'!$B$2:$D$2,0)+1)</f>
        <v>0.1555433537657189</v>
      </c>
      <c r="E50" s="21">
        <f ca="1">'Electrification Scenario'!E56*(1-'Electrification Scenario'!E$8*('Electrification Scenario'!E56-'Electrification Scenario'!E$4)/('Electrification Scenario'!E$5-'Electrification Scenario'!E$4))*VLOOKUP(E$3,'Static Parameters'!$A$3:$B$9,2)*VLOOKUP($A50,'Growth Scenarios'!$E$3:$I$80,MATCH('Scenario Picker'!$B$3,'Growth Scenarios'!$F$2:$I$2,0)+1)/1000000000*VLOOKUP($A50,'Growth Scenarios'!$A$3:$D$80,MATCH('Scenario Picker'!$B$2,'Growth Scenarios'!$B$2:$D$2,0)+1)</f>
        <v>87.363517031745445</v>
      </c>
      <c r="F50" s="21">
        <f ca="1">'Electrification Scenario'!F56*(1-'Electrification Scenario'!F$8*('Electrification Scenario'!F56-'Electrification Scenario'!F$4)/('Electrification Scenario'!F$5-'Electrification Scenario'!F$4))*VLOOKUP(F$3,'Static Parameters'!$A$3:$B$9,2)*VLOOKUP($A50,'Growth Scenarios'!$E$3:$I$80,MATCH('Scenario Picker'!$B$3,'Growth Scenarios'!$F$2:$I$2,0)+1)/1000000000*VLOOKUP($A50,'Growth Scenarios'!$A$3:$D$80,MATCH('Scenario Picker'!$B$2,'Growth Scenarios'!$B$2:$D$2,0)+1)</f>
        <v>3.3052962675215269</v>
      </c>
      <c r="G50" s="21">
        <f ca="1">'Electrification Scenario'!G56*(1-'Electrification Scenario'!G$8*('Electrification Scenario'!G56-'Electrification Scenario'!G$4)/('Electrification Scenario'!G$5-'Electrification Scenario'!G$4))*VLOOKUP(G$3,'Static Parameters'!$A$3:$B$9,2)*VLOOKUP($A50,'Growth Scenarios'!$E$3:$I$80,MATCH('Scenario Picker'!$B$3,'Growth Scenarios'!$F$2:$I$2,0)+1)/1000000000*VLOOKUP($A50,'Growth Scenarios'!$A$3:$D$80,MATCH('Scenario Picker'!$B$2,'Growth Scenarios'!$B$2:$D$2,0)+1)</f>
        <v>58.328757662144589</v>
      </c>
      <c r="H50" s="21">
        <f ca="1">'Electrification Scenario'!H56*(1-'Electrification Scenario'!H$8*('Electrification Scenario'!H56-'Electrification Scenario'!H$4)/('Electrification Scenario'!H$5-'Electrification Scenario'!H$4))*VLOOKUP(H$3,'Static Parameters'!$A$3:$B$9,2)*VLOOKUP($A50,'Growth Scenarios'!$E$3:$I$80,MATCH('Scenario Picker'!$B$3,'Growth Scenarios'!$F$2:$I$2,0)+1)/1000000000*VLOOKUP($A50,'Growth Scenarios'!$A$3:$D$80,MATCH('Scenario Picker'!$B$2,'Growth Scenarios'!$B$2:$D$2,0)+1)</f>
        <v>37.427619499876101</v>
      </c>
      <c r="I50" s="28">
        <f t="shared" ca="1" si="0"/>
        <v>213.12679952440274</v>
      </c>
      <c r="J50" s="25">
        <f ca="1">(1-'Electrification Scenario'!B56)*VLOOKUP(B$3,'Static Parameters'!$A$3:$B$9,2)*VLOOKUP($A50,'Growth Scenarios'!$E$3:$I$80,MATCH('Scenario Picker'!$B$3,'Growth Scenarios'!$F$2:$I$2,0)+1)/1000000000*VLOOKUP($A50,'Growth Scenarios'!$A$3:$D$80,MATCH('Scenario Picker'!$B$2,'Growth Scenarios'!$B$2:$D$2,0)+1)</f>
        <v>3.1108670753143781</v>
      </c>
      <c r="K50" s="21">
        <f ca="1">(1-'Electrification Scenario'!C56)*VLOOKUP(C$3,'Static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L50" s="21">
        <f ca="1">(1-'Electrification Scenario'!D56)*VLOOKUP(D$3,'Static Parameters'!$A$3:$B$9,2)*VLOOKUP($A50,'Growth Scenarios'!$E$3:$I$80,MATCH('Scenario Picker'!$B$3,'Growth Scenarios'!$F$2:$I$2,0)+1)/1000000000*VLOOKUP($A50,'Growth Scenarios'!$A$3:$D$80,MATCH('Scenario Picker'!$B$2,'Growth Scenarios'!$B$2:$D$2,0)+1)</f>
        <v>0.12961946147143241</v>
      </c>
      <c r="M50" s="21">
        <f ca="1">(1-'Electrification Scenario'!E56)*VLOOKUP(E$3,'Static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N50" s="21">
        <f ca="1">(1-'Electrification Scenario'!F56)*VLOOKUP(F$3,'Static Parameters'!$A$3:$B$9,2)*VLOOKUP($A50,'Growth Scenarios'!$E$3:$I$80,MATCH('Scenario Picker'!$B$3,'Growth Scenarios'!$F$2:$I$2,0)+1)/1000000000*VLOOKUP($A50,'Growth Scenarios'!$A$3:$D$80,MATCH('Scenario Picker'!$B$2,'Growth Scenarios'!$B$2:$D$2,0)+1)</f>
        <v>1.3772067781339694</v>
      </c>
      <c r="O50" s="21">
        <f ca="1">(1-'Electrification Scenario'!G56)*VLOOKUP(G$3,'Static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P50" s="21">
        <f ca="1">(1-'Electrification Scenario'!H56)*VLOOKUP(H$3,'Static Parameters'!$A$3:$B$9,2)*VLOOKUP($A50,'Growth Scenarios'!$E$3:$I$80,MATCH('Scenario Picker'!$B$3,'Growth Scenarios'!$F$2:$I$2,0)+1)/1000000000*VLOOKUP($A50,'Growth Scenarios'!$A$3:$D$80,MATCH('Scenario Picker'!$B$2,'Growth Scenarios'!$B$2:$D$2,0)+1)</f>
        <v>24.951746333250735</v>
      </c>
      <c r="Q50" s="28">
        <f t="shared" ca="1" si="1"/>
        <v>29.569439648170516</v>
      </c>
      <c r="R50" s="28">
        <f t="shared" ca="1" si="2"/>
        <v>242.69623917257326</v>
      </c>
    </row>
    <row r="51" spans="1:18" ht="15" x14ac:dyDescent="0.35">
      <c r="A51" s="31">
        <v>2069</v>
      </c>
      <c r="B51" s="25">
        <f ca="1">'Electrification Scenario'!B57*(1-'Electrification Scenario'!B$8*('Electrification Scenario'!B57-'Electrification Scenario'!B$4)/('Electrification Scenario'!B$5-'Electrification Scenario'!B$4))*VLOOKUP(B$3,'Static Parameters'!$A$3:$B$9,2)*VLOOKUP($A51,'Growth Scenarios'!$E$3:$I$80,MATCH('Scenario Picker'!$B$3,'Growth Scenarios'!$F$2:$I$2,0)+1)/1000000000*VLOOKUP($A51,'Growth Scenarios'!$A$3:$D$80,MATCH('Scenario Picker'!$B$2,'Growth Scenarios'!$B$2:$D$2,0)+1)</f>
        <v>3.6893414845901642</v>
      </c>
      <c r="C51" s="21">
        <f ca="1">'Electrification Scenario'!C57*(1-'Electrification Scenario'!C$8*('Electrification Scenario'!C57-'Electrification Scenario'!C$4)/('Electrification Scenario'!C$5-'Electrification Scenario'!C$4))*VLOOKUP(C$3,'Static Parameters'!$A$3:$B$9,2)*VLOOKUP($A51,'Growth Scenarios'!$E$3:$I$80,MATCH('Scenario Picker'!$B$3,'Growth Scenarios'!$F$2:$I$2,0)+1)/1000000000*VLOOKUP($A51,'Growth Scenarios'!$A$3:$D$80,MATCH('Scenario Picker'!$B$2,'Growth Scenarios'!$B$2:$D$2,0)+1)</f>
        <v>22.54597573916212</v>
      </c>
      <c r="D51" s="21">
        <f ca="1">'Electrification Scenario'!D57*(1-'Electrification Scenario'!D$8*('Electrification Scenario'!D57-'Electrification Scenario'!D$4)/('Electrification Scenario'!D$5-'Electrification Scenario'!D$4))*VLOOKUP(D$3,'Static Parameters'!$A$3:$B$9,2)*VLOOKUP($A51,'Growth Scenarios'!$E$3:$I$80,MATCH('Scenario Picker'!$B$3,'Growth Scenarios'!$F$2:$I$2,0)+1)/1000000000*VLOOKUP($A51,'Growth Scenarios'!$A$3:$D$80,MATCH('Scenario Picker'!$B$2,'Growth Scenarios'!$B$2:$D$2,0)+1)</f>
        <v>0.15372256185792357</v>
      </c>
      <c r="E51" s="21">
        <f ca="1">'Electrification Scenario'!E57*(1-'Electrification Scenario'!E$8*('Electrification Scenario'!E57-'Electrification Scenario'!E$4)/('Electrification Scenario'!E$5-'Electrification Scenario'!E$4))*VLOOKUP(E$3,'Static Parameters'!$A$3:$B$9,2)*VLOOKUP($A51,'Growth Scenarios'!$E$3:$I$80,MATCH('Scenario Picker'!$B$3,'Growth Scenarios'!$F$2:$I$2,0)+1)/1000000000*VLOOKUP($A51,'Growth Scenarios'!$A$3:$D$80,MATCH('Scenario Picker'!$B$2,'Growth Scenarios'!$B$2:$D$2,0)+1)</f>
        <v>86.340838910200389</v>
      </c>
      <c r="F51" s="21">
        <f ca="1">'Electrification Scenario'!F57*(1-'Electrification Scenario'!F$8*('Electrification Scenario'!F57-'Electrification Scenario'!F$4)/('Electrification Scenario'!F$5-'Electrification Scenario'!F$4))*VLOOKUP(F$3,'Static Parameters'!$A$3:$B$9,2)*VLOOKUP($A51,'Growth Scenarios'!$E$3:$I$80,MATCH('Scenario Picker'!$B$3,'Growth Scenarios'!$F$2:$I$2,0)+1)/1000000000*VLOOKUP($A51,'Growth Scenarios'!$A$3:$D$80,MATCH('Scenario Picker'!$B$2,'Growth Scenarios'!$B$2:$D$2,0)+1)</f>
        <v>3.2666044394808758</v>
      </c>
      <c r="G51" s="21">
        <f ca="1">'Electrification Scenario'!G57*(1-'Electrification Scenario'!G$8*('Electrification Scenario'!G57-'Electrification Scenario'!G$4)/('Electrification Scenario'!G$5-'Electrification Scenario'!G$4))*VLOOKUP(G$3,'Static Parameters'!$A$3:$B$9,2)*VLOOKUP($A51,'Growth Scenarios'!$E$3:$I$80,MATCH('Scenario Picker'!$B$3,'Growth Scenarios'!$F$2:$I$2,0)+1)/1000000000*VLOOKUP($A51,'Growth Scenarios'!$A$3:$D$80,MATCH('Scenario Picker'!$B$2,'Growth Scenarios'!$B$2:$D$2,0)+1)</f>
        <v>57.645960696721339</v>
      </c>
      <c r="H51" s="21">
        <f ca="1">'Electrification Scenario'!H57*(1-'Electrification Scenario'!H$8*('Electrification Scenario'!H57-'Electrification Scenario'!H$4)/('Electrification Scenario'!H$5-'Electrification Scenario'!H$4))*VLOOKUP(H$3,'Static Parameters'!$A$3:$B$9,2)*VLOOKUP($A51,'Growth Scenarios'!$E$3:$I$80,MATCH('Scenario Picker'!$B$3,'Growth Scenarios'!$F$2:$I$2,0)+1)/1000000000*VLOOKUP($A51,'Growth Scenarios'!$A$3:$D$80,MATCH('Scenario Picker'!$B$2,'Growth Scenarios'!$B$2:$D$2,0)+1)</f>
        <v>36.989491447062854</v>
      </c>
      <c r="I51" s="28">
        <f t="shared" ca="1" si="0"/>
        <v>210.63193527907566</v>
      </c>
      <c r="J51" s="25">
        <f ca="1">(1-'Electrification Scenario'!B57)*VLOOKUP(B$3,'Static Parameters'!$A$3:$B$9,2)*VLOOKUP($A51,'Growth Scenarios'!$E$3:$I$80,MATCH('Scenario Picker'!$B$3,'Growth Scenarios'!$F$2:$I$2,0)+1)/1000000000*VLOOKUP($A51,'Growth Scenarios'!$A$3:$D$80,MATCH('Scenario Picker'!$B$2,'Growth Scenarios'!$B$2:$D$2,0)+1)</f>
        <v>3.0744512371584709</v>
      </c>
      <c r="K51" s="21">
        <f ca="1">(1-'Electrification Scenario'!C57)*VLOOKUP(C$3,'Static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L51" s="21">
        <f ca="1">(1-'Electrification Scenario'!D57)*VLOOKUP(D$3,'Static Parameters'!$A$3:$B$9,2)*VLOOKUP($A51,'Growth Scenarios'!$E$3:$I$80,MATCH('Scenario Picker'!$B$3,'Growth Scenarios'!$F$2:$I$2,0)+1)/1000000000*VLOOKUP($A51,'Growth Scenarios'!$A$3:$D$80,MATCH('Scenario Picker'!$B$2,'Growth Scenarios'!$B$2:$D$2,0)+1)</f>
        <v>0.12810213488160296</v>
      </c>
      <c r="M51" s="21">
        <f ca="1">(1-'Electrification Scenario'!E57)*VLOOKUP(E$3,'Static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N51" s="21">
        <f ca="1">(1-'Electrification Scenario'!F57)*VLOOKUP(F$3,'Static Parameters'!$A$3:$B$9,2)*VLOOKUP($A51,'Growth Scenarios'!$E$3:$I$80,MATCH('Scenario Picker'!$B$3,'Growth Scenarios'!$F$2:$I$2,0)+1)/1000000000*VLOOKUP($A51,'Growth Scenarios'!$A$3:$D$80,MATCH('Scenario Picker'!$B$2,'Growth Scenarios'!$B$2:$D$2,0)+1)</f>
        <v>1.3610851831170314</v>
      </c>
      <c r="O51" s="21">
        <f ca="1">(1-'Electrification Scenario'!G57)*VLOOKUP(G$3,'Static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P51" s="21">
        <f ca="1">(1-'Electrification Scenario'!H57)*VLOOKUP(H$3,'Static Parameters'!$A$3:$B$9,2)*VLOOKUP($A51,'Growth Scenarios'!$E$3:$I$80,MATCH('Scenario Picker'!$B$3,'Growth Scenarios'!$F$2:$I$2,0)+1)/1000000000*VLOOKUP($A51,'Growth Scenarios'!$A$3:$D$80,MATCH('Scenario Picker'!$B$2,'Growth Scenarios'!$B$2:$D$2,0)+1)</f>
        <v>24.659660964708568</v>
      </c>
      <c r="Q51" s="28">
        <f t="shared" ca="1" si="1"/>
        <v>29.223299519865673</v>
      </c>
      <c r="R51" s="28">
        <f t="shared" ca="1" si="2"/>
        <v>239.85523479894132</v>
      </c>
    </row>
    <row r="52" spans="1:18" ht="15" x14ac:dyDescent="0.35">
      <c r="A52" s="31">
        <v>2070</v>
      </c>
      <c r="B52" s="25">
        <f ca="1">'Electrification Scenario'!B58*(1-'Electrification Scenario'!B$8*('Electrification Scenario'!B58-'Electrification Scenario'!B$4)/('Electrification Scenario'!B$5-'Electrification Scenario'!B$4))*VLOOKUP(B$3,'Static Parameters'!$A$3:$B$9,2)*VLOOKUP($A52,'Growth Scenarios'!$E$3:$I$80,MATCH('Scenario Picker'!$B$3,'Growth Scenarios'!$F$2:$I$2,0)+1)/1000000000*VLOOKUP($A52,'Growth Scenarios'!$A$3:$D$80,MATCH('Scenario Picker'!$B$2,'Growth Scenarios'!$B$2:$D$2,0)+1)</f>
        <v>3.6462213012807272</v>
      </c>
      <c r="C52" s="21">
        <f ca="1">'Electrification Scenario'!C58*(1-'Electrification Scenario'!C$8*('Electrification Scenario'!C58-'Electrification Scenario'!C$4)/('Electrification Scenario'!C$5-'Electrification Scenario'!C$4))*VLOOKUP(C$3,'Static Parameters'!$A$3:$B$9,2)*VLOOKUP($A52,'Growth Scenarios'!$E$3:$I$80,MATCH('Scenario Picker'!$B$3,'Growth Scenarios'!$F$2:$I$2,0)+1)/1000000000*VLOOKUP($A52,'Growth Scenarios'!$A$3:$D$80,MATCH('Scenario Picker'!$B$2,'Growth Scenarios'!$B$2:$D$2,0)+1)</f>
        <v>22.28246350782667</v>
      </c>
      <c r="D52" s="21">
        <f ca="1">'Electrification Scenario'!D58*(1-'Electrification Scenario'!D$8*('Electrification Scenario'!D58-'Electrification Scenario'!D$4)/('Electrification Scenario'!D$5-'Electrification Scenario'!D$4))*VLOOKUP(D$3,'Static Parameters'!$A$3:$B$9,2)*VLOOKUP($A52,'Growth Scenarios'!$E$3:$I$80,MATCH('Scenario Picker'!$B$3,'Growth Scenarios'!$F$2:$I$2,0)+1)/1000000000*VLOOKUP($A52,'Growth Scenarios'!$A$3:$D$80,MATCH('Scenario Picker'!$B$2,'Growth Scenarios'!$B$2:$D$2,0)+1)</f>
        <v>0.1519258875533637</v>
      </c>
      <c r="E52" s="21">
        <f ca="1">'Electrification Scenario'!E58*(1-'Electrification Scenario'!E$8*('Electrification Scenario'!E58-'Electrification Scenario'!E$4)/('Electrification Scenario'!E$5-'Electrification Scenario'!E$4))*VLOOKUP(E$3,'Static Parameters'!$A$3:$B$9,2)*VLOOKUP($A52,'Growth Scenarios'!$E$3:$I$80,MATCH('Scenario Picker'!$B$3,'Growth Scenarios'!$F$2:$I$2,0)+1)/1000000000*VLOOKUP($A52,'Growth Scenarios'!$A$3:$D$80,MATCH('Scenario Picker'!$B$2,'Growth Scenarios'!$B$2:$D$2,0)+1)</f>
        <v>85.331706842472599</v>
      </c>
      <c r="F52" s="21">
        <f ca="1">'Electrification Scenario'!F58*(1-'Electrification Scenario'!F$8*('Electrification Scenario'!F58-'Electrification Scenario'!F$4)/('Electrification Scenario'!F$5-'Electrification Scenario'!F$4))*VLOOKUP(F$3,'Static Parameters'!$A$3:$B$9,2)*VLOOKUP($A52,'Growth Scenarios'!$E$3:$I$80,MATCH('Scenario Picker'!$B$3,'Growth Scenarios'!$F$2:$I$2,0)+1)/1000000000*VLOOKUP($A52,'Growth Scenarios'!$A$3:$D$80,MATCH('Scenario Picker'!$B$2,'Growth Scenarios'!$B$2:$D$2,0)+1)</f>
        <v>3.2284251105089785</v>
      </c>
      <c r="G52" s="21">
        <f ca="1">'Electrification Scenario'!G58*(1-'Electrification Scenario'!G$8*('Electrification Scenario'!G58-'Electrification Scenario'!G$4)/('Electrification Scenario'!G$5-'Electrification Scenario'!G$4))*VLOOKUP(G$3,'Static Parameters'!$A$3:$B$9,2)*VLOOKUP($A52,'Growth Scenarios'!$E$3:$I$80,MATCH('Scenario Picker'!$B$3,'Growth Scenarios'!$F$2:$I$2,0)+1)/1000000000*VLOOKUP($A52,'Growth Scenarios'!$A$3:$D$80,MATCH('Scenario Picker'!$B$2,'Growth Scenarios'!$B$2:$D$2,0)+1)</f>
        <v>56.972207832511387</v>
      </c>
      <c r="H52" s="21">
        <f ca="1">'Electrification Scenario'!H58*(1-'Electrification Scenario'!H$8*('Electrification Scenario'!H58-'Electrification Scenario'!H$4)/('Electrification Scenario'!H$5-'Electrification Scenario'!H$4))*VLOOKUP(H$3,'Static Parameters'!$A$3:$B$9,2)*VLOOKUP($A52,'Growth Scenarios'!$E$3:$I$80,MATCH('Scenario Picker'!$B$3,'Growth Scenarios'!$F$2:$I$2,0)+1)/1000000000*VLOOKUP($A52,'Growth Scenarios'!$A$3:$D$80,MATCH('Scenario Picker'!$B$2,'Growth Scenarios'!$B$2:$D$2,0)+1)</f>
        <v>36.557166692528128</v>
      </c>
      <c r="I52" s="28">
        <f t="shared" ca="1" si="0"/>
        <v>208.17011717468188</v>
      </c>
      <c r="J52" s="25">
        <f ca="1">(1-'Electrification Scenario'!B58)*VLOOKUP(B$3,'Static Parameters'!$A$3:$B$9,2)*VLOOKUP($A52,'Growth Scenarios'!$E$3:$I$80,MATCH('Scenario Picker'!$B$3,'Growth Scenarios'!$F$2:$I$2,0)+1)/1000000000*VLOOKUP($A52,'Growth Scenarios'!$A$3:$D$80,MATCH('Scenario Picker'!$B$2,'Growth Scenarios'!$B$2:$D$2,0)+1)</f>
        <v>3.0385177510672738</v>
      </c>
      <c r="K52" s="21">
        <f ca="1">(1-'Electrification Scenario'!C58)*VLOOKUP(C$3,'Static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L52" s="21">
        <f ca="1">(1-'Electrification Scenario'!D58)*VLOOKUP(D$3,'Static Parameters'!$A$3:$B$9,2)*VLOOKUP($A52,'Growth Scenarios'!$E$3:$I$80,MATCH('Scenario Picker'!$B$3,'Growth Scenarios'!$F$2:$I$2,0)+1)/1000000000*VLOOKUP($A52,'Growth Scenarios'!$A$3:$D$80,MATCH('Scenario Picker'!$B$2,'Growth Scenarios'!$B$2:$D$2,0)+1)</f>
        <v>0.12660490629446972</v>
      </c>
      <c r="M52" s="21">
        <f ca="1">(1-'Electrification Scenario'!E58)*VLOOKUP(E$3,'Static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N52" s="21">
        <f ca="1">(1-'Electrification Scenario'!F58)*VLOOKUP(F$3,'Static Parameters'!$A$3:$B$9,2)*VLOOKUP($A52,'Growth Scenarios'!$E$3:$I$80,MATCH('Scenario Picker'!$B$3,'Growth Scenarios'!$F$2:$I$2,0)+1)/1000000000*VLOOKUP($A52,'Growth Scenarios'!$A$3:$D$80,MATCH('Scenario Picker'!$B$2,'Growth Scenarios'!$B$2:$D$2,0)+1)</f>
        <v>1.3451771293787409</v>
      </c>
      <c r="O52" s="21">
        <f ca="1">(1-'Electrification Scenario'!G58)*VLOOKUP(G$3,'Static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P52" s="21">
        <f ca="1">(1-'Electrification Scenario'!H58)*VLOOKUP(H$3,'Static Parameters'!$A$3:$B$9,2)*VLOOKUP($A52,'Growth Scenarios'!$E$3:$I$80,MATCH('Scenario Picker'!$B$3,'Growth Scenarios'!$F$2:$I$2,0)+1)/1000000000*VLOOKUP($A52,'Growth Scenarios'!$A$3:$D$80,MATCH('Scenario Picker'!$B$2,'Growth Scenarios'!$B$2:$D$2,0)+1)</f>
        <v>24.371444461685421</v>
      </c>
      <c r="Q52" s="28">
        <f t="shared" ca="1" si="1"/>
        <v>28.881744248425903</v>
      </c>
      <c r="R52" s="28">
        <f t="shared" ca="1" si="2"/>
        <v>237.05186142310777</v>
      </c>
    </row>
    <row r="53" spans="1:18" ht="15" x14ac:dyDescent="0.35">
      <c r="A53" s="31">
        <v>2071</v>
      </c>
      <c r="B53" s="25">
        <f ca="1">'Electrification Scenario'!B59*(1-'Electrification Scenario'!B$8*('Electrification Scenario'!B59-'Electrification Scenario'!B$4)/('Electrification Scenario'!B$5-'Electrification Scenario'!B$4))*VLOOKUP(B$3,'Static Parameters'!$A$3:$B$9,2)*VLOOKUP($A53,'Growth Scenarios'!$E$3:$I$80,MATCH('Scenario Picker'!$B$3,'Growth Scenarios'!$F$2:$I$2,0)+1)/1000000000*VLOOKUP($A53,'Growth Scenarios'!$A$3:$D$80,MATCH('Scenario Picker'!$B$2,'Growth Scenarios'!$B$2:$D$2,0)+1)</f>
        <v>3.6037981344375103</v>
      </c>
      <c r="C53" s="21">
        <f ca="1">'Electrification Scenario'!C59*(1-'Electrification Scenario'!C$8*('Electrification Scenario'!C59-'Electrification Scenario'!C$4)/('Electrification Scenario'!C$5-'Electrification Scenario'!C$4))*VLOOKUP(C$3,'Static Parameters'!$A$3:$B$9,2)*VLOOKUP($A53,'Growth Scenarios'!$E$3:$I$80,MATCH('Scenario Picker'!$B$3,'Growth Scenarios'!$F$2:$I$2,0)+1)/1000000000*VLOOKUP($A53,'Growth Scenarios'!$A$3:$D$80,MATCH('Scenario Picker'!$B$2,'Growth Scenarios'!$B$2:$D$2,0)+1)</f>
        <v>22.023210821562568</v>
      </c>
      <c r="D53" s="21">
        <f ca="1">'Electrification Scenario'!D59*(1-'Electrification Scenario'!D$8*('Electrification Scenario'!D59-'Electrification Scenario'!D$4)/('Electrification Scenario'!D$5-'Electrification Scenario'!D$4))*VLOOKUP(D$3,'Static Parameters'!$A$3:$B$9,2)*VLOOKUP($A53,'Growth Scenarios'!$E$3:$I$80,MATCH('Scenario Picker'!$B$3,'Growth Scenarios'!$F$2:$I$2,0)+1)/1000000000*VLOOKUP($A53,'Growth Scenarios'!$A$3:$D$80,MATCH('Scenario Picker'!$B$2,'Growth Scenarios'!$B$2:$D$2,0)+1)</f>
        <v>0.15015825560156293</v>
      </c>
      <c r="E53" s="21">
        <f ca="1">'Electrification Scenario'!E59*(1-'Electrification Scenario'!E$8*('Electrification Scenario'!E59-'Electrification Scenario'!E$4)/('Electrification Scenario'!E$5-'Electrification Scenario'!E$4))*VLOOKUP(E$3,'Static Parameters'!$A$3:$B$9,2)*VLOOKUP($A53,'Growth Scenarios'!$E$3:$I$80,MATCH('Scenario Picker'!$B$3,'Growth Scenarios'!$F$2:$I$2,0)+1)/1000000000*VLOOKUP($A53,'Growth Scenarios'!$A$3:$D$80,MATCH('Scenario Picker'!$B$2,'Growth Scenarios'!$B$2:$D$2,0)+1)</f>
        <v>84.338886896211179</v>
      </c>
      <c r="F53" s="21">
        <f ca="1">'Electrification Scenario'!F59*(1-'Electrification Scenario'!F$8*('Electrification Scenario'!F59-'Electrification Scenario'!F$4)/('Electrification Scenario'!F$5-'Electrification Scenario'!F$4))*VLOOKUP(F$3,'Static Parameters'!$A$3:$B$9,2)*VLOOKUP($A53,'Growth Scenarios'!$E$3:$I$80,MATCH('Scenario Picker'!$B$3,'Growth Scenarios'!$F$2:$I$2,0)+1)/1000000000*VLOOKUP($A53,'Growth Scenarios'!$A$3:$D$80,MATCH('Scenario Picker'!$B$2,'Growth Scenarios'!$B$2:$D$2,0)+1)</f>
        <v>3.1908629315332129</v>
      </c>
      <c r="G53" s="21">
        <f ca="1">'Electrification Scenario'!G59*(1-'Electrification Scenario'!G$8*('Electrification Scenario'!G59-'Electrification Scenario'!G$4)/('Electrification Scenario'!G$5-'Electrification Scenario'!G$4))*VLOOKUP(G$3,'Static Parameters'!$A$3:$B$9,2)*VLOOKUP($A53,'Growth Scenarios'!$E$3:$I$80,MATCH('Scenario Picker'!$B$3,'Growth Scenarios'!$F$2:$I$2,0)+1)/1000000000*VLOOKUP($A53,'Growth Scenarios'!$A$3:$D$80,MATCH('Scenario Picker'!$B$2,'Growth Scenarios'!$B$2:$D$2,0)+1)</f>
        <v>56.309345850586105</v>
      </c>
      <c r="H53" s="21">
        <f ca="1">'Electrification Scenario'!H59*(1-'Electrification Scenario'!H$8*('Electrification Scenario'!H59-'Electrification Scenario'!H$4)/('Electrification Scenario'!H$5-'Electrification Scenario'!H$4))*VLOOKUP(H$3,'Static Parameters'!$A$3:$B$9,2)*VLOOKUP($A53,'Growth Scenarios'!$E$3:$I$80,MATCH('Scenario Picker'!$B$3,'Growth Scenarios'!$F$2:$I$2,0)+1)/1000000000*VLOOKUP($A53,'Growth Scenarios'!$A$3:$D$80,MATCH('Scenario Picker'!$B$2,'Growth Scenarios'!$B$2:$D$2,0)+1)</f>
        <v>36.131830254126079</v>
      </c>
      <c r="I53" s="28">
        <f t="shared" ca="1" si="0"/>
        <v>205.74809314405823</v>
      </c>
      <c r="J53" s="25">
        <f ca="1">(1-'Electrification Scenario'!B59)*VLOOKUP(B$3,'Static Parameters'!$A$3:$B$9,2)*VLOOKUP($A53,'Growth Scenarios'!$E$3:$I$80,MATCH('Scenario Picker'!$B$3,'Growth Scenarios'!$F$2:$I$2,0)+1)/1000000000*VLOOKUP($A53,'Growth Scenarios'!$A$3:$D$80,MATCH('Scenario Picker'!$B$2,'Growth Scenarios'!$B$2:$D$2,0)+1)</f>
        <v>3.0031651120312586</v>
      </c>
      <c r="K53" s="21">
        <f ca="1">(1-'Electrification Scenario'!C59)*VLOOKUP(C$3,'Static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L53" s="21">
        <f ca="1">(1-'Electrification Scenario'!D59)*VLOOKUP(D$3,'Static Parameters'!$A$3:$B$9,2)*VLOOKUP($A53,'Growth Scenarios'!$E$3:$I$80,MATCH('Scenario Picker'!$B$3,'Growth Scenarios'!$F$2:$I$2,0)+1)/1000000000*VLOOKUP($A53,'Growth Scenarios'!$A$3:$D$80,MATCH('Scenario Picker'!$B$2,'Growth Scenarios'!$B$2:$D$2,0)+1)</f>
        <v>0.12513187966796913</v>
      </c>
      <c r="M53" s="21">
        <f ca="1">(1-'Electrification Scenario'!E59)*VLOOKUP(E$3,'Static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N53" s="21">
        <f ca="1">(1-'Electrification Scenario'!F59)*VLOOKUP(F$3,'Static Parameters'!$A$3:$B$9,2)*VLOOKUP($A53,'Growth Scenarios'!$E$3:$I$80,MATCH('Scenario Picker'!$B$3,'Growth Scenarios'!$F$2:$I$2,0)+1)/1000000000*VLOOKUP($A53,'Growth Scenarios'!$A$3:$D$80,MATCH('Scenario Picker'!$B$2,'Growth Scenarios'!$B$2:$D$2,0)+1)</f>
        <v>1.3295262214721719</v>
      </c>
      <c r="O53" s="21">
        <f ca="1">(1-'Electrification Scenario'!G59)*VLOOKUP(G$3,'Static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P53" s="21">
        <f ca="1">(1-'Electrification Scenario'!H59)*VLOOKUP(H$3,'Static Parameters'!$A$3:$B$9,2)*VLOOKUP($A53,'Growth Scenarios'!$E$3:$I$80,MATCH('Scenario Picker'!$B$3,'Growth Scenarios'!$F$2:$I$2,0)+1)/1000000000*VLOOKUP($A53,'Growth Scenarios'!$A$3:$D$80,MATCH('Scenario Picker'!$B$2,'Growth Scenarios'!$B$2:$D$2,0)+1)</f>
        <v>24.087886836084053</v>
      </c>
      <c r="Q53" s="28">
        <f t="shared" ca="1" si="1"/>
        <v>28.545710049255455</v>
      </c>
      <c r="R53" s="28">
        <f t="shared" ca="1" si="2"/>
        <v>234.29380319331369</v>
      </c>
    </row>
    <row r="54" spans="1:18" ht="15" x14ac:dyDescent="0.35">
      <c r="A54" s="31">
        <v>2072</v>
      </c>
      <c r="B54" s="25">
        <f ca="1">'Electrification Scenario'!B60*(1-'Electrification Scenario'!B$8*('Electrification Scenario'!B60-'Electrification Scenario'!B$4)/('Electrification Scenario'!B$5-'Electrification Scenario'!B$4))*VLOOKUP(B$3,'Static Parameters'!$A$3:$B$9,2)*VLOOKUP($A54,'Growth Scenarios'!$E$3:$I$80,MATCH('Scenario Picker'!$B$3,'Growth Scenarios'!$F$2:$I$2,0)+1)/1000000000*VLOOKUP($A54,'Growth Scenarios'!$A$3:$D$80,MATCH('Scenario Picker'!$B$2,'Growth Scenarios'!$B$2:$D$2,0)+1)</f>
        <v>3.5621749202245305</v>
      </c>
      <c r="C54" s="21">
        <f ca="1">'Electrification Scenario'!C60*(1-'Electrification Scenario'!C$8*('Electrification Scenario'!C60-'Electrification Scenario'!C$4)/('Electrification Scenario'!C$5-'Electrification Scenario'!C$4))*VLOOKUP(C$3,'Static Parameters'!$A$3:$B$9,2)*VLOOKUP($A54,'Growth Scenarios'!$E$3:$I$80,MATCH('Scenario Picker'!$B$3,'Growth Scenarios'!$F$2:$I$2,0)+1)/1000000000*VLOOKUP($A54,'Growth Scenarios'!$A$3:$D$80,MATCH('Scenario Picker'!$B$2,'Growth Scenarios'!$B$2:$D$2,0)+1)</f>
        <v>21.768846734705466</v>
      </c>
      <c r="D54" s="21">
        <f ca="1">'Electrification Scenario'!D60*(1-'Electrification Scenario'!D$8*('Electrification Scenario'!D60-'Electrification Scenario'!D$4)/('Electrification Scenario'!D$5-'Electrification Scenario'!D$4))*VLOOKUP(D$3,'Static Parameters'!$A$3:$B$9,2)*VLOOKUP($A54,'Growth Scenarios'!$E$3:$I$80,MATCH('Scenario Picker'!$B$3,'Growth Scenarios'!$F$2:$I$2,0)+1)/1000000000*VLOOKUP($A54,'Growth Scenarios'!$A$3:$D$80,MATCH('Scenario Picker'!$B$2,'Growth Scenarios'!$B$2:$D$2,0)+1)</f>
        <v>0.14842395500935543</v>
      </c>
      <c r="E54" s="21">
        <f ca="1">'Electrification Scenario'!E60*(1-'Electrification Scenario'!E$8*('Electrification Scenario'!E60-'Electrification Scenario'!E$4)/('Electrification Scenario'!E$5-'Electrification Scenario'!E$4))*VLOOKUP(E$3,'Static Parameters'!$A$3:$B$9,2)*VLOOKUP($A54,'Growth Scenarios'!$E$3:$I$80,MATCH('Scenario Picker'!$B$3,'Growth Scenarios'!$F$2:$I$2,0)+1)/1000000000*VLOOKUP($A54,'Growth Scenarios'!$A$3:$D$80,MATCH('Scenario Picker'!$B$2,'Growth Scenarios'!$B$2:$D$2,0)+1)</f>
        <v>83.36478806358798</v>
      </c>
      <c r="F54" s="21">
        <f ca="1">'Electrification Scenario'!F60*(1-'Electrification Scenario'!F$8*('Electrification Scenario'!F60-'Electrification Scenario'!F$4)/('Electrification Scenario'!F$5-'Electrification Scenario'!F$4))*VLOOKUP(F$3,'Static Parameters'!$A$3:$B$9,2)*VLOOKUP($A54,'Growth Scenarios'!$E$3:$I$80,MATCH('Scenario Picker'!$B$3,'Growth Scenarios'!$F$2:$I$2,0)+1)/1000000000*VLOOKUP($A54,'Growth Scenarios'!$A$3:$D$80,MATCH('Scenario Picker'!$B$2,'Growth Scenarios'!$B$2:$D$2,0)+1)</f>
        <v>3.154009043948804</v>
      </c>
      <c r="G54" s="21">
        <f ca="1">'Electrification Scenario'!G60*(1-'Electrification Scenario'!G$8*('Electrification Scenario'!G60-'Electrification Scenario'!G$4)/('Electrification Scenario'!G$5-'Electrification Scenario'!G$4))*VLOOKUP(G$3,'Static Parameters'!$A$3:$B$9,2)*VLOOKUP($A54,'Growth Scenarios'!$E$3:$I$80,MATCH('Scenario Picker'!$B$3,'Growth Scenarios'!$F$2:$I$2,0)+1)/1000000000*VLOOKUP($A54,'Growth Scenarios'!$A$3:$D$80,MATCH('Scenario Picker'!$B$2,'Growth Scenarios'!$B$2:$D$2,0)+1)</f>
        <v>55.658983128508304</v>
      </c>
      <c r="H54" s="21">
        <f ca="1">'Electrification Scenario'!H60*(1-'Electrification Scenario'!H$8*('Electrification Scenario'!H60-'Electrification Scenario'!H$4)/('Electrification Scenario'!H$5-'Electrification Scenario'!H$4))*VLOOKUP(H$3,'Static Parameters'!$A$3:$B$9,2)*VLOOKUP($A54,'Growth Scenarios'!$E$3:$I$80,MATCH('Scenario Picker'!$B$3,'Growth Scenarios'!$F$2:$I$2,0)+1)/1000000000*VLOOKUP($A54,'Growth Scenarios'!$A$3:$D$80,MATCH('Scenario Picker'!$B$2,'Growth Scenarios'!$B$2:$D$2,0)+1)</f>
        <v>35.714514174126151</v>
      </c>
      <c r="I54" s="28">
        <f t="shared" ca="1" si="0"/>
        <v>203.37174002011059</v>
      </c>
      <c r="J54" s="25">
        <f ca="1">(1-'Electrification Scenario'!B60)*VLOOKUP(B$3,'Static Parameters'!$A$3:$B$9,2)*VLOOKUP($A54,'Growth Scenarios'!$E$3:$I$80,MATCH('Scenario Picker'!$B$3,'Growth Scenarios'!$F$2:$I$2,0)+1)/1000000000*VLOOKUP($A54,'Growth Scenarios'!$A$3:$D$80,MATCH('Scenario Picker'!$B$2,'Growth Scenarios'!$B$2:$D$2,0)+1)</f>
        <v>2.9684791001871091</v>
      </c>
      <c r="K54" s="21">
        <f ca="1">(1-'Electrification Scenario'!C60)*VLOOKUP(C$3,'Static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L54" s="21">
        <f ca="1">(1-'Electrification Scenario'!D60)*VLOOKUP(D$3,'Static Parameters'!$A$3:$B$9,2)*VLOOKUP($A54,'Growth Scenarios'!$E$3:$I$80,MATCH('Scenario Picker'!$B$3,'Growth Scenarios'!$F$2:$I$2,0)+1)/1000000000*VLOOKUP($A54,'Growth Scenarios'!$A$3:$D$80,MATCH('Scenario Picker'!$B$2,'Growth Scenarios'!$B$2:$D$2,0)+1)</f>
        <v>0.12368662917446288</v>
      </c>
      <c r="M54" s="21">
        <f ca="1">(1-'Electrification Scenario'!E60)*VLOOKUP(E$3,'Static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N54" s="21">
        <f ca="1">(1-'Electrification Scenario'!F60)*VLOOKUP(F$3,'Static Parameters'!$A$3:$B$9,2)*VLOOKUP($A54,'Growth Scenarios'!$E$3:$I$80,MATCH('Scenario Picker'!$B$3,'Growth Scenarios'!$F$2:$I$2,0)+1)/1000000000*VLOOKUP($A54,'Growth Scenarios'!$A$3:$D$80,MATCH('Scenario Picker'!$B$2,'Growth Scenarios'!$B$2:$D$2,0)+1)</f>
        <v>1.314170434978668</v>
      </c>
      <c r="O54" s="21">
        <f ca="1">(1-'Electrification Scenario'!G60)*VLOOKUP(G$3,'Static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P54" s="21">
        <f ca="1">(1-'Electrification Scenario'!H60)*VLOOKUP(H$3,'Static Parameters'!$A$3:$B$9,2)*VLOOKUP($A54,'Growth Scenarios'!$E$3:$I$80,MATCH('Scenario Picker'!$B$3,'Growth Scenarios'!$F$2:$I$2,0)+1)/1000000000*VLOOKUP($A54,'Growth Scenarios'!$A$3:$D$80,MATCH('Scenario Picker'!$B$2,'Growth Scenarios'!$B$2:$D$2,0)+1)</f>
        <v>23.809676116084106</v>
      </c>
      <c r="Q54" s="28">
        <f t="shared" ca="1" si="1"/>
        <v>28.216012280424344</v>
      </c>
      <c r="R54" s="28">
        <f t="shared" ca="1" si="2"/>
        <v>231.58775230053493</v>
      </c>
    </row>
    <row r="55" spans="1:18" ht="15" x14ac:dyDescent="0.35">
      <c r="A55" s="31">
        <v>2073</v>
      </c>
      <c r="B55" s="25">
        <f ca="1">'Electrification Scenario'!B61*(1-'Electrification Scenario'!B$8*('Electrification Scenario'!B61-'Electrification Scenario'!B$4)/('Electrification Scenario'!B$5-'Electrification Scenario'!B$4))*VLOOKUP(B$3,'Static Parameters'!$A$3:$B$9,2)*VLOOKUP($A55,'Growth Scenarios'!$E$3:$I$80,MATCH('Scenario Picker'!$B$3,'Growth Scenarios'!$F$2:$I$2,0)+1)/1000000000*VLOOKUP($A55,'Growth Scenarios'!$A$3:$D$80,MATCH('Scenario Picker'!$B$2,'Growth Scenarios'!$B$2:$D$2,0)+1)</f>
        <v>3.5214206020638663</v>
      </c>
      <c r="C55" s="21">
        <f ca="1">'Electrification Scenario'!C61*(1-'Electrification Scenario'!C$8*('Electrification Scenario'!C61-'Electrification Scenario'!C$4)/('Electrification Scenario'!C$5-'Electrification Scenario'!C$4))*VLOOKUP(C$3,'Static Parameters'!$A$3:$B$9,2)*VLOOKUP($A55,'Growth Scenarios'!$E$3:$I$80,MATCH('Scenario Picker'!$B$3,'Growth Scenarios'!$F$2:$I$2,0)+1)/1000000000*VLOOKUP($A55,'Growth Scenarios'!$A$3:$D$80,MATCH('Scenario Picker'!$B$2,'Growth Scenarios'!$B$2:$D$2,0)+1)</f>
        <v>21.519792568168075</v>
      </c>
      <c r="D55" s="21">
        <f ca="1">'Electrification Scenario'!D61*(1-'Electrification Scenario'!D$8*('Electrification Scenario'!D61-'Electrification Scenario'!D$4)/('Electrification Scenario'!D$5-'Electrification Scenario'!D$4))*VLOOKUP(D$3,'Static Parameters'!$A$3:$B$9,2)*VLOOKUP($A55,'Growth Scenarios'!$E$3:$I$80,MATCH('Scenario Picker'!$B$3,'Growth Scenarios'!$F$2:$I$2,0)+1)/1000000000*VLOOKUP($A55,'Growth Scenarios'!$A$3:$D$80,MATCH('Scenario Picker'!$B$2,'Growth Scenarios'!$B$2:$D$2,0)+1)</f>
        <v>0.14672585841932781</v>
      </c>
      <c r="E55" s="21">
        <f ca="1">'Electrification Scenario'!E61*(1-'Electrification Scenario'!E$8*('Electrification Scenario'!E61-'Electrification Scenario'!E$4)/('Electrification Scenario'!E$5-'Electrification Scenario'!E$4))*VLOOKUP(E$3,'Static Parameters'!$A$3:$B$9,2)*VLOOKUP($A55,'Growth Scenarios'!$E$3:$I$80,MATCH('Scenario Picker'!$B$3,'Growth Scenarios'!$F$2:$I$2,0)+1)/1000000000*VLOOKUP($A55,'Growth Scenarios'!$A$3:$D$80,MATCH('Scenario Picker'!$B$2,'Growth Scenarios'!$B$2:$D$2,0)+1)</f>
        <v>82.4110238121891</v>
      </c>
      <c r="F55" s="21">
        <f ca="1">'Electrification Scenario'!F61*(1-'Electrification Scenario'!F$8*('Electrification Scenario'!F61-'Electrification Scenario'!F$4)/('Electrification Scenario'!F$5-'Electrification Scenario'!F$4))*VLOOKUP(F$3,'Static Parameters'!$A$3:$B$9,2)*VLOOKUP($A55,'Growth Scenarios'!$E$3:$I$80,MATCH('Scenario Picker'!$B$3,'Growth Scenarios'!$F$2:$I$2,0)+1)/1000000000*VLOOKUP($A55,'Growth Scenarios'!$A$3:$D$80,MATCH('Scenario Picker'!$B$2,'Growth Scenarios'!$B$2:$D$2,0)+1)</f>
        <v>3.117924491410716</v>
      </c>
      <c r="G55" s="21">
        <f ca="1">'Electrification Scenario'!G61*(1-'Electrification Scenario'!G$8*('Electrification Scenario'!G61-'Electrification Scenario'!G$4)/('Electrification Scenario'!G$5-'Electrification Scenario'!G$4))*VLOOKUP(G$3,'Static Parameters'!$A$3:$B$9,2)*VLOOKUP($A55,'Growth Scenarios'!$E$3:$I$80,MATCH('Scenario Picker'!$B$3,'Growth Scenarios'!$F$2:$I$2,0)+1)/1000000000*VLOOKUP($A55,'Growth Scenarios'!$A$3:$D$80,MATCH('Scenario Picker'!$B$2,'Growth Scenarios'!$B$2:$D$2,0)+1)</f>
        <v>55.022196907247924</v>
      </c>
      <c r="H55" s="21">
        <f ca="1">'Electrification Scenario'!H61*(1-'Electrification Scenario'!H$8*('Electrification Scenario'!H61-'Electrification Scenario'!H$4)/('Electrification Scenario'!H$5-'Electrification Scenario'!H$4))*VLOOKUP(H$3,'Static Parameters'!$A$3:$B$9,2)*VLOOKUP($A55,'Growth Scenarios'!$E$3:$I$80,MATCH('Scenario Picker'!$B$3,'Growth Scenarios'!$F$2:$I$2,0)+1)/1000000000*VLOOKUP($A55,'Growth Scenarios'!$A$3:$D$80,MATCH('Scenario Picker'!$B$2,'Growth Scenarios'!$B$2:$D$2,0)+1)</f>
        <v>35.305909682150741</v>
      </c>
      <c r="I55" s="28">
        <f t="shared" ca="1" si="0"/>
        <v>201.04499392164976</v>
      </c>
      <c r="J55" s="25">
        <f ca="1">(1-'Electrification Scenario'!B61)*VLOOKUP(B$3,'Static Parameters'!$A$3:$B$9,2)*VLOOKUP($A55,'Growth Scenarios'!$E$3:$I$80,MATCH('Scenario Picker'!$B$3,'Growth Scenarios'!$F$2:$I$2,0)+1)/1000000000*VLOOKUP($A55,'Growth Scenarios'!$A$3:$D$80,MATCH('Scenario Picker'!$B$2,'Growth Scenarios'!$B$2:$D$2,0)+1)</f>
        <v>2.9345171683865559</v>
      </c>
      <c r="K55" s="21">
        <f ca="1">(1-'Electrification Scenario'!C61)*VLOOKUP(C$3,'Static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L55" s="21">
        <f ca="1">(1-'Electrification Scenario'!D61)*VLOOKUP(D$3,'Static Parameters'!$A$3:$B$9,2)*VLOOKUP($A55,'Growth Scenarios'!$E$3:$I$80,MATCH('Scenario Picker'!$B$3,'Growth Scenarios'!$F$2:$I$2,0)+1)/1000000000*VLOOKUP($A55,'Growth Scenarios'!$A$3:$D$80,MATCH('Scenario Picker'!$B$2,'Growth Scenarios'!$B$2:$D$2,0)+1)</f>
        <v>0.12227154868277315</v>
      </c>
      <c r="M55" s="21">
        <f ca="1">(1-'Electrification Scenario'!E61)*VLOOKUP(E$3,'Static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N55" s="21">
        <f ca="1">(1-'Electrification Scenario'!F61)*VLOOKUP(F$3,'Static Parameters'!$A$3:$B$9,2)*VLOOKUP($A55,'Growth Scenarios'!$E$3:$I$80,MATCH('Scenario Picker'!$B$3,'Growth Scenarios'!$F$2:$I$2,0)+1)/1000000000*VLOOKUP($A55,'Growth Scenarios'!$A$3:$D$80,MATCH('Scenario Picker'!$B$2,'Growth Scenarios'!$B$2:$D$2,0)+1)</f>
        <v>1.2991352047544649</v>
      </c>
      <c r="O55" s="21">
        <f ca="1">(1-'Electrification Scenario'!G61)*VLOOKUP(G$3,'Static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P55" s="21">
        <f ca="1">(1-'Electrification Scenario'!H61)*VLOOKUP(H$3,'Static Parameters'!$A$3:$B$9,2)*VLOOKUP($A55,'Growth Scenarios'!$E$3:$I$80,MATCH('Scenario Picker'!$B$3,'Growth Scenarios'!$F$2:$I$2,0)+1)/1000000000*VLOOKUP($A55,'Growth Scenarios'!$A$3:$D$80,MATCH('Scenario Picker'!$B$2,'Growth Scenarios'!$B$2:$D$2,0)+1)</f>
        <v>23.537273121433827</v>
      </c>
      <c r="Q55" s="28">
        <f t="shared" ca="1" si="1"/>
        <v>27.893197043257622</v>
      </c>
      <c r="R55" s="28">
        <f t="shared" ca="1" si="2"/>
        <v>228.93819096490739</v>
      </c>
    </row>
    <row r="56" spans="1:18" ht="15" x14ac:dyDescent="0.35">
      <c r="A56" s="31">
        <v>2074</v>
      </c>
      <c r="B56" s="25">
        <f ca="1">'Electrification Scenario'!B62*(1-'Electrification Scenario'!B$8*('Electrification Scenario'!B62-'Electrification Scenario'!B$4)/('Electrification Scenario'!B$5-'Electrification Scenario'!B$4))*VLOOKUP(B$3,'Static Parameters'!$A$3:$B$9,2)*VLOOKUP($A56,'Growth Scenarios'!$E$3:$I$80,MATCH('Scenario Picker'!$B$3,'Growth Scenarios'!$F$2:$I$2,0)+1)/1000000000*VLOOKUP($A56,'Growth Scenarios'!$A$3:$D$80,MATCH('Scenario Picker'!$B$2,'Growth Scenarios'!$B$2:$D$2,0)+1)</f>
        <v>3.4816282237100289</v>
      </c>
      <c r="C56" s="21">
        <f ca="1">'Electrification Scenario'!C62*(1-'Electrification Scenario'!C$8*('Electrification Scenario'!C62-'Electrification Scenario'!C$4)/('Electrification Scenario'!C$5-'Electrification Scenario'!C$4))*VLOOKUP(C$3,'Static Parameters'!$A$3:$B$9,2)*VLOOKUP($A56,'Growth Scenarios'!$E$3:$I$80,MATCH('Scenario Picker'!$B$3,'Growth Scenarios'!$F$2:$I$2,0)+1)/1000000000*VLOOKUP($A56,'Growth Scenarios'!$A$3:$D$80,MATCH('Scenario Picker'!$B$2,'Growth Scenarios'!$B$2:$D$2,0)+1)</f>
        <v>21.2766169226724</v>
      </c>
      <c r="D56" s="21">
        <f ca="1">'Electrification Scenario'!D62*(1-'Electrification Scenario'!D$8*('Electrification Scenario'!D62-'Electrification Scenario'!D$4)/('Electrification Scenario'!D$5-'Electrification Scenario'!D$4))*VLOOKUP(D$3,'Static Parameters'!$A$3:$B$9,2)*VLOOKUP($A56,'Growth Scenarios'!$E$3:$I$80,MATCH('Scenario Picker'!$B$3,'Growth Scenarios'!$F$2:$I$2,0)+1)/1000000000*VLOOKUP($A56,'Growth Scenarios'!$A$3:$D$80,MATCH('Scenario Picker'!$B$2,'Growth Scenarios'!$B$2:$D$2,0)+1)</f>
        <v>0.14506784265458456</v>
      </c>
      <c r="E56" s="21">
        <f ca="1">'Electrification Scenario'!E62*(1-'Electrification Scenario'!E$8*('Electrification Scenario'!E62-'Electrification Scenario'!E$4)/('Electrification Scenario'!E$5-'Electrification Scenario'!E$4))*VLOOKUP(E$3,'Static Parameters'!$A$3:$B$9,2)*VLOOKUP($A56,'Growth Scenarios'!$E$3:$I$80,MATCH('Scenario Picker'!$B$3,'Growth Scenarios'!$F$2:$I$2,0)+1)/1000000000*VLOOKUP($A56,'Growth Scenarios'!$A$3:$D$80,MATCH('Scenario Picker'!$B$2,'Growth Scenarios'!$B$2:$D$2,0)+1)</f>
        <v>81.479771624324997</v>
      </c>
      <c r="F56" s="21">
        <f ca="1">'Electrification Scenario'!F62*(1-'Electrification Scenario'!F$8*('Electrification Scenario'!F62-'Electrification Scenario'!F$4)/('Electrification Scenario'!F$5-'Electrification Scenario'!F$4))*VLOOKUP(F$3,'Static Parameters'!$A$3:$B$9,2)*VLOOKUP($A56,'Growth Scenarios'!$E$3:$I$80,MATCH('Scenario Picker'!$B$3,'Growth Scenarios'!$F$2:$I$2,0)+1)/1000000000*VLOOKUP($A56,'Growth Scenarios'!$A$3:$D$80,MATCH('Scenario Picker'!$B$2,'Growth Scenarios'!$B$2:$D$2,0)+1)</f>
        <v>3.0826916564099225</v>
      </c>
      <c r="G56" s="21">
        <f ca="1">'Electrification Scenario'!G62*(1-'Electrification Scenario'!G$8*('Electrification Scenario'!G62-'Electrification Scenario'!G$4)/('Electrification Scenario'!G$5-'Electrification Scenario'!G$4))*VLOOKUP(G$3,'Static Parameters'!$A$3:$B$9,2)*VLOOKUP($A56,'Growth Scenarios'!$E$3:$I$80,MATCH('Scenario Picker'!$B$3,'Growth Scenarios'!$F$2:$I$2,0)+1)/1000000000*VLOOKUP($A56,'Growth Scenarios'!$A$3:$D$80,MATCH('Scenario Picker'!$B$2,'Growth Scenarios'!$B$2:$D$2,0)+1)</f>
        <v>54.400440995469211</v>
      </c>
      <c r="H56" s="21">
        <f ca="1">'Electrification Scenario'!H62*(1-'Electrification Scenario'!H$8*('Electrification Scenario'!H62-'Electrification Scenario'!H$4)/('Electrification Scenario'!H$5-'Electrification Scenario'!H$4))*VLOOKUP(H$3,'Static Parameters'!$A$3:$B$9,2)*VLOOKUP($A56,'Growth Scenarios'!$E$3:$I$80,MATCH('Scenario Picker'!$B$3,'Growth Scenarios'!$F$2:$I$2,0)+1)/1000000000*VLOOKUP($A56,'Growth Scenarios'!$A$3:$D$80,MATCH('Scenario Picker'!$B$2,'Growth Scenarios'!$B$2:$D$2,0)+1)</f>
        <v>34.9069496387594</v>
      </c>
      <c r="I56" s="28">
        <f t="shared" ca="1" si="0"/>
        <v>198.7731669040005</v>
      </c>
      <c r="J56" s="25">
        <f ca="1">(1-'Electrification Scenario'!B62)*VLOOKUP(B$3,'Static Parameters'!$A$3:$B$9,2)*VLOOKUP($A56,'Growth Scenarios'!$E$3:$I$80,MATCH('Scenario Picker'!$B$3,'Growth Scenarios'!$F$2:$I$2,0)+1)/1000000000*VLOOKUP($A56,'Growth Scenarios'!$A$3:$D$80,MATCH('Scenario Picker'!$B$2,'Growth Scenarios'!$B$2:$D$2,0)+1)</f>
        <v>2.9013568530916913</v>
      </c>
      <c r="K56" s="21">
        <f ca="1">(1-'Electrification Scenario'!C62)*VLOOKUP(C$3,'Static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L56" s="21">
        <f ca="1">(1-'Electrification Scenario'!D62)*VLOOKUP(D$3,'Static Parameters'!$A$3:$B$9,2)*VLOOKUP($A56,'Growth Scenarios'!$E$3:$I$80,MATCH('Scenario Picker'!$B$3,'Growth Scenarios'!$F$2:$I$2,0)+1)/1000000000*VLOOKUP($A56,'Growth Scenarios'!$A$3:$D$80,MATCH('Scenario Picker'!$B$2,'Growth Scenarios'!$B$2:$D$2,0)+1)</f>
        <v>0.12088986887882047</v>
      </c>
      <c r="M56" s="21">
        <f ca="1">(1-'Electrification Scenario'!E62)*VLOOKUP(E$3,'Static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N56" s="21">
        <f ca="1">(1-'Electrification Scenario'!F62)*VLOOKUP(F$3,'Static Parameters'!$A$3:$B$9,2)*VLOOKUP($A56,'Growth Scenarios'!$E$3:$I$80,MATCH('Scenario Picker'!$B$3,'Growth Scenarios'!$F$2:$I$2,0)+1)/1000000000*VLOOKUP($A56,'Growth Scenarios'!$A$3:$D$80,MATCH('Scenario Picker'!$B$2,'Growth Scenarios'!$B$2:$D$2,0)+1)</f>
        <v>1.2844548568374674</v>
      </c>
      <c r="O56" s="21">
        <f ca="1">(1-'Electrification Scenario'!G62)*VLOOKUP(G$3,'Static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P56" s="21">
        <f ca="1">(1-'Electrification Scenario'!H62)*VLOOKUP(H$3,'Static Parameters'!$A$3:$B$9,2)*VLOOKUP($A56,'Growth Scenarios'!$E$3:$I$80,MATCH('Scenario Picker'!$B$3,'Growth Scenarios'!$F$2:$I$2,0)+1)/1000000000*VLOOKUP($A56,'Growth Scenarios'!$A$3:$D$80,MATCH('Scenario Picker'!$B$2,'Growth Scenarios'!$B$2:$D$2,0)+1)</f>
        <v>23.271299759172937</v>
      </c>
      <c r="Q56" s="28">
        <f t="shared" ca="1" si="1"/>
        <v>27.578001337980915</v>
      </c>
      <c r="R56" s="28">
        <f t="shared" ca="1" si="2"/>
        <v>226.35116824198141</v>
      </c>
    </row>
    <row r="57" spans="1:18" ht="15" x14ac:dyDescent="0.35">
      <c r="A57" s="31">
        <v>2075</v>
      </c>
      <c r="B57" s="25">
        <f ca="1">'Electrification Scenario'!B63*(1-'Electrification Scenario'!B$8*('Electrification Scenario'!B63-'Electrification Scenario'!B$4)/('Electrification Scenario'!B$5-'Electrification Scenario'!B$4))*VLOOKUP(B$3,'Static Parameters'!$A$3:$B$9,2)*VLOOKUP($A57,'Growth Scenarios'!$E$3:$I$80,MATCH('Scenario Picker'!$B$3,'Growth Scenarios'!$F$2:$I$2,0)+1)/1000000000*VLOOKUP($A57,'Growth Scenarios'!$A$3:$D$80,MATCH('Scenario Picker'!$B$2,'Growth Scenarios'!$B$2:$D$2,0)+1)</f>
        <v>3.442862631408337</v>
      </c>
      <c r="C57" s="21">
        <f ca="1">'Electrification Scenario'!C63*(1-'Electrification Scenario'!C$8*('Electrification Scenario'!C63-'Electrification Scenario'!C$4)/('Electrification Scenario'!C$5-'Electrification Scenario'!C$4))*VLOOKUP(C$3,'Static Parameters'!$A$3:$B$9,2)*VLOOKUP($A57,'Growth Scenarios'!$E$3:$I$80,MATCH('Scenario Picker'!$B$3,'Growth Scenarios'!$F$2:$I$2,0)+1)/1000000000*VLOOKUP($A57,'Growth Scenarios'!$A$3:$D$80,MATCH('Scenario Picker'!$B$2,'Growth Scenarios'!$B$2:$D$2,0)+1)</f>
        <v>21.039716080828729</v>
      </c>
      <c r="D57" s="21">
        <f ca="1">'Electrification Scenario'!D63*(1-'Electrification Scenario'!D$8*('Electrification Scenario'!D63-'Electrification Scenario'!D$4)/('Electrification Scenario'!D$5-'Electrification Scenario'!D$4))*VLOOKUP(D$3,'Static Parameters'!$A$3:$B$9,2)*VLOOKUP($A57,'Growth Scenarios'!$E$3:$I$80,MATCH('Scenario Picker'!$B$3,'Growth Scenarios'!$F$2:$I$2,0)+1)/1000000000*VLOOKUP($A57,'Growth Scenarios'!$A$3:$D$80,MATCH('Scenario Picker'!$B$2,'Growth Scenarios'!$B$2:$D$2,0)+1)</f>
        <v>0.14345260964201403</v>
      </c>
      <c r="E57" s="21">
        <f ca="1">'Electrification Scenario'!E63*(1-'Electrification Scenario'!E$8*('Electrification Scenario'!E63-'Electrification Scenario'!E$4)/('Electrification Scenario'!E$5-'Electrification Scenario'!E$4))*VLOOKUP(E$3,'Static Parameters'!$A$3:$B$9,2)*VLOOKUP($A57,'Growth Scenarios'!$E$3:$I$80,MATCH('Scenario Picker'!$B$3,'Growth Scenarios'!$F$2:$I$2,0)+1)/1000000000*VLOOKUP($A57,'Growth Scenarios'!$A$3:$D$80,MATCH('Scenario Picker'!$B$2,'Growth Scenarios'!$B$2:$D$2,0)+1)</f>
        <v>80.572549082264558</v>
      </c>
      <c r="F57" s="21">
        <f ca="1">'Electrification Scenario'!F63*(1-'Electrification Scenario'!F$8*('Electrification Scenario'!F63-'Electrification Scenario'!F$4)/('Electrification Scenario'!F$5-'Electrification Scenario'!F$4))*VLOOKUP(F$3,'Static Parameters'!$A$3:$B$9,2)*VLOOKUP($A57,'Growth Scenarios'!$E$3:$I$80,MATCH('Scenario Picker'!$B$3,'Growth Scenarios'!$F$2:$I$2,0)+1)/1000000000*VLOOKUP($A57,'Growth Scenarios'!$A$3:$D$80,MATCH('Scenario Picker'!$B$2,'Growth Scenarios'!$B$2:$D$2,0)+1)</f>
        <v>3.0483679548927993</v>
      </c>
      <c r="G57" s="21">
        <f ca="1">'Electrification Scenario'!G63*(1-'Electrification Scenario'!G$8*('Electrification Scenario'!G63-'Electrification Scenario'!G$4)/('Electrification Scenario'!G$5-'Electrification Scenario'!G$4))*VLOOKUP(G$3,'Static Parameters'!$A$3:$B$9,2)*VLOOKUP($A57,'Growth Scenarios'!$E$3:$I$80,MATCH('Scenario Picker'!$B$3,'Growth Scenarios'!$F$2:$I$2,0)+1)/1000000000*VLOOKUP($A57,'Growth Scenarios'!$A$3:$D$80,MATCH('Scenario Picker'!$B$2,'Growth Scenarios'!$B$2:$D$2,0)+1)</f>
        <v>53.794728615755268</v>
      </c>
      <c r="H57" s="21">
        <f ca="1">'Electrification Scenario'!H63*(1-'Electrification Scenario'!H$8*('Electrification Scenario'!H63-'Electrification Scenario'!H$4)/('Electrification Scenario'!H$5-'Electrification Scenario'!H$4))*VLOOKUP(H$3,'Static Parameters'!$A$3:$B$9,2)*VLOOKUP($A57,'Growth Scenarios'!$E$3:$I$80,MATCH('Scenario Picker'!$B$3,'Growth Scenarios'!$F$2:$I$2,0)+1)/1000000000*VLOOKUP($A57,'Growth Scenarios'!$A$3:$D$80,MATCH('Scenario Picker'!$B$2,'Growth Scenarios'!$B$2:$D$2,0)+1)</f>
        <v>34.518284195109629</v>
      </c>
      <c r="I57" s="28">
        <f t="shared" ca="1" si="0"/>
        <v>196.55996116990133</v>
      </c>
      <c r="J57" s="25">
        <f ca="1">(1-'Electrification Scenario'!B63)*VLOOKUP(B$3,'Static Parameters'!$A$3:$B$9,2)*VLOOKUP($A57,'Growth Scenarios'!$E$3:$I$80,MATCH('Scenario Picker'!$B$3,'Growth Scenarios'!$F$2:$I$2,0)+1)/1000000000*VLOOKUP($A57,'Growth Scenarios'!$A$3:$D$80,MATCH('Scenario Picker'!$B$2,'Growth Scenarios'!$B$2:$D$2,0)+1)</f>
        <v>2.8690521928402815</v>
      </c>
      <c r="K57" s="21">
        <f ca="1">(1-'Electrification Scenario'!C63)*VLOOKUP(C$3,'Static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L57" s="21">
        <f ca="1">(1-'Electrification Scenario'!D63)*VLOOKUP(D$3,'Static Parameters'!$A$3:$B$9,2)*VLOOKUP($A57,'Growth Scenarios'!$E$3:$I$80,MATCH('Scenario Picker'!$B$3,'Growth Scenarios'!$F$2:$I$2,0)+1)/1000000000*VLOOKUP($A57,'Growth Scenarios'!$A$3:$D$80,MATCH('Scenario Picker'!$B$2,'Growth Scenarios'!$B$2:$D$2,0)+1)</f>
        <v>0.11954384136834503</v>
      </c>
      <c r="M57" s="21">
        <f ca="1">(1-'Electrification Scenario'!E63)*VLOOKUP(E$3,'Static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N57" s="21">
        <f ca="1">(1-'Electrification Scenario'!F63)*VLOOKUP(F$3,'Static Parameters'!$A$3:$B$9,2)*VLOOKUP($A57,'Growth Scenarios'!$E$3:$I$80,MATCH('Scenario Picker'!$B$3,'Growth Scenarios'!$F$2:$I$2,0)+1)/1000000000*VLOOKUP($A57,'Growth Scenarios'!$A$3:$D$80,MATCH('Scenario Picker'!$B$2,'Growth Scenarios'!$B$2:$D$2,0)+1)</f>
        <v>1.2701533145386663</v>
      </c>
      <c r="O57" s="21">
        <f ca="1">(1-'Electrification Scenario'!G63)*VLOOKUP(G$3,'Static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P57" s="21">
        <f ca="1">(1-'Electrification Scenario'!H63)*VLOOKUP(H$3,'Static Parameters'!$A$3:$B$9,2)*VLOOKUP($A57,'Growth Scenarios'!$E$3:$I$80,MATCH('Scenario Picker'!$B$3,'Growth Scenarios'!$F$2:$I$2,0)+1)/1000000000*VLOOKUP($A57,'Growth Scenarios'!$A$3:$D$80,MATCH('Scenario Picker'!$B$2,'Growth Scenarios'!$B$2:$D$2,0)+1)</f>
        <v>23.012189463406422</v>
      </c>
      <c r="Q57" s="28">
        <f t="shared" ca="1" si="1"/>
        <v>27.270938812153716</v>
      </c>
      <c r="R57" s="28">
        <f t="shared" ca="1" si="2"/>
        <v>223.83089998205503</v>
      </c>
    </row>
    <row r="58" spans="1:18" ht="15" x14ac:dyDescent="0.35">
      <c r="A58" s="31">
        <v>2076</v>
      </c>
      <c r="B58" s="25">
        <f ca="1">'Electrification Scenario'!B64*(1-'Electrification Scenario'!B$8*('Electrification Scenario'!B64-'Electrification Scenario'!B$4)/('Electrification Scenario'!B$5-'Electrification Scenario'!B$4))*VLOOKUP(B$3,'Static Parameters'!$A$3:$B$9,2)*VLOOKUP($A58,'Growth Scenarios'!$E$3:$I$80,MATCH('Scenario Picker'!$B$3,'Growth Scenarios'!$F$2:$I$2,0)+1)/1000000000*VLOOKUP($A58,'Growth Scenarios'!$A$3:$D$80,MATCH('Scenario Picker'!$B$2,'Growth Scenarios'!$B$2:$D$2,0)+1)</f>
        <v>3.4051864066245234</v>
      </c>
      <c r="C58" s="21">
        <f ca="1">'Electrification Scenario'!C64*(1-'Electrification Scenario'!C$8*('Electrification Scenario'!C64-'Electrification Scenario'!C$4)/('Electrification Scenario'!C$5-'Electrification Scenario'!C$4))*VLOOKUP(C$3,'Static Parameters'!$A$3:$B$9,2)*VLOOKUP($A58,'Growth Scenarios'!$E$3:$I$80,MATCH('Scenario Picker'!$B$3,'Growth Scenarios'!$F$2:$I$2,0)+1)/1000000000*VLOOKUP($A58,'Growth Scenarios'!$A$3:$D$80,MATCH('Scenario Picker'!$B$2,'Growth Scenarios'!$B$2:$D$2,0)+1)</f>
        <v>20.809472484927646</v>
      </c>
      <c r="D58" s="21">
        <f ca="1">'Electrification Scenario'!D64*(1-'Electrification Scenario'!D$8*('Electrification Scenario'!D64-'Electrification Scenario'!D$4)/('Electrification Scenario'!D$5-'Electrification Scenario'!D$4))*VLOOKUP(D$3,'Static Parameters'!$A$3:$B$9,2)*VLOOKUP($A58,'Growth Scenarios'!$E$3:$I$80,MATCH('Scenario Picker'!$B$3,'Growth Scenarios'!$F$2:$I$2,0)+1)/1000000000*VLOOKUP($A58,'Growth Scenarios'!$A$3:$D$80,MATCH('Scenario Picker'!$B$2,'Growth Scenarios'!$B$2:$D$2,0)+1)</f>
        <v>0.14188276694268848</v>
      </c>
      <c r="E58" s="21">
        <f ca="1">'Electrification Scenario'!E64*(1-'Electrification Scenario'!E$8*('Electrification Scenario'!E64-'Electrification Scenario'!E$4)/('Electrification Scenario'!E$5-'Electrification Scenario'!E$4))*VLOOKUP(E$3,'Static Parameters'!$A$3:$B$9,2)*VLOOKUP($A58,'Growth Scenarios'!$E$3:$I$80,MATCH('Scenario Picker'!$B$3,'Growth Scenarios'!$F$2:$I$2,0)+1)/1000000000*VLOOKUP($A58,'Growth Scenarios'!$A$3:$D$80,MATCH('Scenario Picker'!$B$2,'Growth Scenarios'!$B$2:$D$2,0)+1)</f>
        <v>79.690820766143361</v>
      </c>
      <c r="F58" s="21">
        <f ca="1">'Electrification Scenario'!F64*(1-'Electrification Scenario'!F$8*('Electrification Scenario'!F64-'Electrification Scenario'!F$4)/('Electrification Scenario'!F$5-'Electrification Scenario'!F$4))*VLOOKUP(F$3,'Static Parameters'!$A$3:$B$9,2)*VLOOKUP($A58,'Growth Scenarios'!$E$3:$I$80,MATCH('Scenario Picker'!$B$3,'Growth Scenarios'!$F$2:$I$2,0)+1)/1000000000*VLOOKUP($A58,'Growth Scenarios'!$A$3:$D$80,MATCH('Scenario Picker'!$B$2,'Growth Scenarios'!$B$2:$D$2,0)+1)</f>
        <v>3.0150087975321309</v>
      </c>
      <c r="G58" s="21">
        <f ca="1">'Electrification Scenario'!G64*(1-'Electrification Scenario'!G$8*('Electrification Scenario'!G64-'Electrification Scenario'!G$4)/('Electrification Scenario'!G$5-'Electrification Scenario'!G$4))*VLOOKUP(G$3,'Static Parameters'!$A$3:$B$9,2)*VLOOKUP($A58,'Growth Scenarios'!$E$3:$I$80,MATCH('Scenario Picker'!$B$3,'Growth Scenarios'!$F$2:$I$2,0)+1)/1000000000*VLOOKUP($A58,'Growth Scenarios'!$A$3:$D$80,MATCH('Scenario Picker'!$B$2,'Growth Scenarios'!$B$2:$D$2,0)+1)</f>
        <v>53.206037603508186</v>
      </c>
      <c r="H58" s="21">
        <f ca="1">'Electrification Scenario'!H64*(1-'Electrification Scenario'!H$8*('Electrification Scenario'!H64-'Electrification Scenario'!H$4)/('Electrification Scenario'!H$5-'Electrification Scenario'!H$4))*VLOOKUP(H$3,'Static Parameters'!$A$3:$B$9,2)*VLOOKUP($A58,'Growth Scenarios'!$E$3:$I$80,MATCH('Scenario Picker'!$B$3,'Growth Scenarios'!$F$2:$I$2,0)+1)/1000000000*VLOOKUP($A58,'Growth Scenarios'!$A$3:$D$80,MATCH('Scenario Picker'!$B$2,'Growth Scenarios'!$B$2:$D$2,0)+1)</f>
        <v>34.140540795584414</v>
      </c>
      <c r="I58" s="28">
        <f t="shared" ca="1" si="0"/>
        <v>194.40894962126293</v>
      </c>
      <c r="J58" s="25">
        <f ca="1">(1-'Electrification Scenario'!B64)*VLOOKUP(B$3,'Static Parameters'!$A$3:$B$9,2)*VLOOKUP($A58,'Growth Scenarios'!$E$3:$I$80,MATCH('Scenario Picker'!$B$3,'Growth Scenarios'!$F$2:$I$2,0)+1)/1000000000*VLOOKUP($A58,'Growth Scenarios'!$A$3:$D$80,MATCH('Scenario Picker'!$B$2,'Growth Scenarios'!$B$2:$D$2,0)+1)</f>
        <v>2.8376553388537702</v>
      </c>
      <c r="K58" s="21">
        <f ca="1">(1-'Electrification Scenario'!C64)*VLOOKUP(C$3,'Static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L58" s="21">
        <f ca="1">(1-'Electrification Scenario'!D64)*VLOOKUP(D$3,'Static Parameters'!$A$3:$B$9,2)*VLOOKUP($A58,'Growth Scenarios'!$E$3:$I$80,MATCH('Scenario Picker'!$B$3,'Growth Scenarios'!$F$2:$I$2,0)+1)/1000000000*VLOOKUP($A58,'Growth Scenarios'!$A$3:$D$80,MATCH('Scenario Picker'!$B$2,'Growth Scenarios'!$B$2:$D$2,0)+1)</f>
        <v>0.11823563911890708</v>
      </c>
      <c r="M58" s="21">
        <f ca="1">(1-'Electrification Scenario'!E64)*VLOOKUP(E$3,'Static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N58" s="21">
        <f ca="1">(1-'Electrification Scenario'!F64)*VLOOKUP(F$3,'Static Parameters'!$A$3:$B$9,2)*VLOOKUP($A58,'Growth Scenarios'!$E$3:$I$80,MATCH('Scenario Picker'!$B$3,'Growth Scenarios'!$F$2:$I$2,0)+1)/1000000000*VLOOKUP($A58,'Growth Scenarios'!$A$3:$D$80,MATCH('Scenario Picker'!$B$2,'Growth Scenarios'!$B$2:$D$2,0)+1)</f>
        <v>1.2562536656383876</v>
      </c>
      <c r="O58" s="21">
        <f ca="1">(1-'Electrification Scenario'!G64)*VLOOKUP(G$3,'Static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P58" s="21">
        <f ca="1">(1-'Electrification Scenario'!H64)*VLOOKUP(H$3,'Static Parameters'!$A$3:$B$9,2)*VLOOKUP($A58,'Growth Scenarios'!$E$3:$I$80,MATCH('Scenario Picker'!$B$3,'Growth Scenarios'!$F$2:$I$2,0)+1)/1000000000*VLOOKUP($A58,'Growth Scenarios'!$A$3:$D$80,MATCH('Scenario Picker'!$B$2,'Growth Scenarios'!$B$2:$D$2,0)+1)</f>
        <v>22.760360530389612</v>
      </c>
      <c r="Q58" s="28">
        <f t="shared" ca="1" si="1"/>
        <v>26.972505174000677</v>
      </c>
      <c r="R58" s="28">
        <f t="shared" ca="1" si="2"/>
        <v>221.38145479526361</v>
      </c>
    </row>
    <row r="59" spans="1:18" ht="15" x14ac:dyDescent="0.35">
      <c r="A59" s="31">
        <v>2077</v>
      </c>
      <c r="B59" s="25">
        <f ca="1">'Electrification Scenario'!B65*(1-'Electrification Scenario'!B$8*('Electrification Scenario'!B65-'Electrification Scenario'!B$4)/('Electrification Scenario'!B$5-'Electrification Scenario'!B$4))*VLOOKUP(B$3,'Static Parameters'!$A$3:$B$9,2)*VLOOKUP($A59,'Growth Scenarios'!$E$3:$I$80,MATCH('Scenario Picker'!$B$3,'Growth Scenarios'!$F$2:$I$2,0)+1)/1000000000*VLOOKUP($A59,'Growth Scenarios'!$A$3:$D$80,MATCH('Scenario Picker'!$B$2,'Growth Scenarios'!$B$2:$D$2,0)+1)</f>
        <v>3.368657988855579</v>
      </c>
      <c r="C59" s="21">
        <f ca="1">'Electrification Scenario'!C65*(1-'Electrification Scenario'!C$8*('Electrification Scenario'!C65-'Electrification Scenario'!C$4)/('Electrification Scenario'!C$5-'Electrification Scenario'!C$4))*VLOOKUP(C$3,'Static Parameters'!$A$3:$B$9,2)*VLOOKUP($A59,'Growth Scenarios'!$E$3:$I$80,MATCH('Scenario Picker'!$B$3,'Growth Scenarios'!$F$2:$I$2,0)+1)/1000000000*VLOOKUP($A59,'Growth Scenarios'!$A$3:$D$80,MATCH('Scenario Picker'!$B$2,'Growth Scenarios'!$B$2:$D$2,0)+1)</f>
        <v>20.586243265228539</v>
      </c>
      <c r="D59" s="21">
        <f ca="1">'Electrification Scenario'!D65*(1-'Electrification Scenario'!D$8*('Electrification Scenario'!D65-'Electrification Scenario'!D$4)/('Electrification Scenario'!D$5-'Electrification Scenario'!D$4))*VLOOKUP(D$3,'Static Parameters'!$A$3:$B$9,2)*VLOOKUP($A59,'Growth Scenarios'!$E$3:$I$80,MATCH('Scenario Picker'!$B$3,'Growth Scenarios'!$F$2:$I$2,0)+1)/1000000000*VLOOKUP($A59,'Growth Scenarios'!$A$3:$D$80,MATCH('Scenario Picker'!$B$2,'Growth Scenarios'!$B$2:$D$2,0)+1)</f>
        <v>0.14036074953564914</v>
      </c>
      <c r="E59" s="21">
        <f ca="1">'Electrification Scenario'!E65*(1-'Electrification Scenario'!E$8*('Electrification Scenario'!E65-'Electrification Scenario'!E$4)/('Electrification Scenario'!E$5-'Electrification Scenario'!E$4))*VLOOKUP(E$3,'Static Parameters'!$A$3:$B$9,2)*VLOOKUP($A59,'Growth Scenarios'!$E$3:$I$80,MATCH('Scenario Picker'!$B$3,'Growth Scenarios'!$F$2:$I$2,0)+1)/1000000000*VLOOKUP($A59,'Growth Scenarios'!$A$3:$D$80,MATCH('Scenario Picker'!$B$2,'Growth Scenarios'!$B$2:$D$2,0)+1)</f>
        <v>78.835954322522923</v>
      </c>
      <c r="F59" s="21">
        <f ca="1">'Electrification Scenario'!F65*(1-'Electrification Scenario'!F$8*('Electrification Scenario'!F65-'Electrification Scenario'!F$4)/('Electrification Scenario'!F$5-'Electrification Scenario'!F$4))*VLOOKUP(F$3,'Static Parameters'!$A$3:$B$9,2)*VLOOKUP($A59,'Growth Scenarios'!$E$3:$I$80,MATCH('Scenario Picker'!$B$3,'Growth Scenarios'!$F$2:$I$2,0)+1)/1000000000*VLOOKUP($A59,'Growth Scenarios'!$A$3:$D$80,MATCH('Scenario Picker'!$B$2,'Growth Scenarios'!$B$2:$D$2,0)+1)</f>
        <v>2.9826659276325449</v>
      </c>
      <c r="G59" s="21">
        <f ca="1">'Electrification Scenario'!G65*(1-'Electrification Scenario'!G$8*('Electrification Scenario'!G65-'Electrification Scenario'!G$4)/('Electrification Scenario'!G$5-'Electrification Scenario'!G$4))*VLOOKUP(G$3,'Static Parameters'!$A$3:$B$9,2)*VLOOKUP($A59,'Growth Scenarios'!$E$3:$I$80,MATCH('Scenario Picker'!$B$3,'Growth Scenarios'!$F$2:$I$2,0)+1)/1000000000*VLOOKUP($A59,'Growth Scenarios'!$A$3:$D$80,MATCH('Scenario Picker'!$B$2,'Growth Scenarios'!$B$2:$D$2,0)+1)</f>
        <v>52.635281075868434</v>
      </c>
      <c r="H59" s="21">
        <f ca="1">'Electrification Scenario'!H65*(1-'Electrification Scenario'!H$8*('Electrification Scenario'!H65-'Electrification Scenario'!H$4)/('Electrification Scenario'!H$5-'Electrification Scenario'!H$4))*VLOOKUP(H$3,'Static Parameters'!$A$3:$B$9,2)*VLOOKUP($A59,'Growth Scenarios'!$E$3:$I$80,MATCH('Scenario Picker'!$B$3,'Growth Scenarios'!$F$2:$I$2,0)+1)/1000000000*VLOOKUP($A59,'Growth Scenarios'!$A$3:$D$80,MATCH('Scenario Picker'!$B$2,'Growth Scenarios'!$B$2:$D$2,0)+1)</f>
        <v>33.774305357015571</v>
      </c>
      <c r="I59" s="28">
        <f t="shared" ca="1" si="0"/>
        <v>192.32346868665923</v>
      </c>
      <c r="J59" s="25">
        <f ca="1">(1-'Electrification Scenario'!B65)*VLOOKUP(B$3,'Static Parameters'!$A$3:$B$9,2)*VLOOKUP($A59,'Growth Scenarios'!$E$3:$I$80,MATCH('Scenario Picker'!$B$3,'Growth Scenarios'!$F$2:$I$2,0)+1)/1000000000*VLOOKUP($A59,'Growth Scenarios'!$A$3:$D$80,MATCH('Scenario Picker'!$B$2,'Growth Scenarios'!$B$2:$D$2,0)+1)</f>
        <v>2.8072149907129829</v>
      </c>
      <c r="K59" s="21">
        <f ca="1">(1-'Electrification Scenario'!C65)*VLOOKUP(C$3,'Static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L59" s="21">
        <f ca="1">(1-'Electrification Scenario'!D65)*VLOOKUP(D$3,'Static Parameters'!$A$3:$B$9,2)*VLOOKUP($A59,'Growth Scenarios'!$E$3:$I$80,MATCH('Scenario Picker'!$B$3,'Growth Scenarios'!$F$2:$I$2,0)+1)/1000000000*VLOOKUP($A59,'Growth Scenarios'!$A$3:$D$80,MATCH('Scenario Picker'!$B$2,'Growth Scenarios'!$B$2:$D$2,0)+1)</f>
        <v>0.11696729127970762</v>
      </c>
      <c r="M59" s="21">
        <f ca="1">(1-'Electrification Scenario'!E65)*VLOOKUP(E$3,'Static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N59" s="21">
        <f ca="1">(1-'Electrification Scenario'!F65)*VLOOKUP(F$3,'Static Parameters'!$A$3:$B$9,2)*VLOOKUP($A59,'Growth Scenarios'!$E$3:$I$80,MATCH('Scenario Picker'!$B$3,'Growth Scenarios'!$F$2:$I$2,0)+1)/1000000000*VLOOKUP($A59,'Growth Scenarios'!$A$3:$D$80,MATCH('Scenario Picker'!$B$2,'Growth Scenarios'!$B$2:$D$2,0)+1)</f>
        <v>1.2427774698468934</v>
      </c>
      <c r="O59" s="21">
        <f ca="1">(1-'Electrification Scenario'!G65)*VLOOKUP(G$3,'Static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P59" s="21">
        <f ca="1">(1-'Electrification Scenario'!H65)*VLOOKUP(H$3,'Static Parameters'!$A$3:$B$9,2)*VLOOKUP($A59,'Growth Scenarios'!$E$3:$I$80,MATCH('Scenario Picker'!$B$3,'Growth Scenarios'!$F$2:$I$2,0)+1)/1000000000*VLOOKUP($A59,'Growth Scenarios'!$A$3:$D$80,MATCH('Scenario Picker'!$B$2,'Growth Scenarios'!$B$2:$D$2,0)+1)</f>
        <v>22.516203571343713</v>
      </c>
      <c r="Q59" s="28">
        <f t="shared" ca="1" si="1"/>
        <v>26.683163323183297</v>
      </c>
      <c r="R59" s="28">
        <f t="shared" ca="1" si="2"/>
        <v>219.00663200984252</v>
      </c>
    </row>
    <row r="60" spans="1:18" ht="15" x14ac:dyDescent="0.35">
      <c r="A60" s="31">
        <v>2078</v>
      </c>
      <c r="B60" s="25">
        <f ca="1">'Electrification Scenario'!B66*(1-'Electrification Scenario'!B$8*('Electrification Scenario'!B66-'Electrification Scenario'!B$4)/('Electrification Scenario'!B$5-'Electrification Scenario'!B$4))*VLOOKUP(B$3,'Static Parameters'!$A$3:$B$9,2)*VLOOKUP($A60,'Growth Scenarios'!$E$3:$I$80,MATCH('Scenario Picker'!$B$3,'Growth Scenarios'!$F$2:$I$2,0)+1)/1000000000*VLOOKUP($A60,'Growth Scenarios'!$A$3:$D$80,MATCH('Scenario Picker'!$B$2,'Growth Scenarios'!$B$2:$D$2,0)+1)</f>
        <v>3.3333231675728254</v>
      </c>
      <c r="C60" s="21">
        <f ca="1">'Electrification Scenario'!C66*(1-'Electrification Scenario'!C$8*('Electrification Scenario'!C66-'Electrification Scenario'!C$4)/('Electrification Scenario'!C$5-'Electrification Scenario'!C$4))*VLOOKUP(C$3,'Static Parameters'!$A$3:$B$9,2)*VLOOKUP($A60,'Growth Scenarios'!$E$3:$I$80,MATCH('Scenario Picker'!$B$3,'Growth Scenarios'!$F$2:$I$2,0)+1)/1000000000*VLOOKUP($A60,'Growth Scenarios'!$A$3:$D$80,MATCH('Scenario Picker'!$B$2,'Growth Scenarios'!$B$2:$D$2,0)+1)</f>
        <v>20.370308246278377</v>
      </c>
      <c r="D60" s="21">
        <f ca="1">'Electrification Scenario'!D66*(1-'Electrification Scenario'!D$8*('Electrification Scenario'!D66-'Electrification Scenario'!D$4)/('Electrification Scenario'!D$5-'Electrification Scenario'!D$4))*VLOOKUP(D$3,'Static Parameters'!$A$3:$B$9,2)*VLOOKUP($A60,'Growth Scenarios'!$E$3:$I$80,MATCH('Scenario Picker'!$B$3,'Growth Scenarios'!$F$2:$I$2,0)+1)/1000000000*VLOOKUP($A60,'Growth Scenarios'!$A$3:$D$80,MATCH('Scenario Picker'!$B$2,'Growth Scenarios'!$B$2:$D$2,0)+1)</f>
        <v>0.13888846531553439</v>
      </c>
      <c r="E60" s="21">
        <f ca="1">'Electrification Scenario'!E66*(1-'Electrification Scenario'!E$8*('Electrification Scenario'!E66-'Electrification Scenario'!E$4)/('Electrification Scenario'!E$5-'Electrification Scenario'!E$4))*VLOOKUP(E$3,'Static Parameters'!$A$3:$B$9,2)*VLOOKUP($A60,'Growth Scenarios'!$E$3:$I$80,MATCH('Scenario Picker'!$B$3,'Growth Scenarios'!$F$2:$I$2,0)+1)/1000000000*VLOOKUP($A60,'Growth Scenarios'!$A$3:$D$80,MATCH('Scenario Picker'!$B$2,'Growth Scenarios'!$B$2:$D$2,0)+1)</f>
        <v>78.009021352225147</v>
      </c>
      <c r="F60" s="21">
        <f ca="1">'Electrification Scenario'!F66*(1-'Electrification Scenario'!F$8*('Electrification Scenario'!F66-'Electrification Scenario'!F$4)/('Electrification Scenario'!F$5-'Electrification Scenario'!F$4))*VLOOKUP(F$3,'Static Parameters'!$A$3:$B$9,2)*VLOOKUP($A60,'Growth Scenarios'!$E$3:$I$80,MATCH('Scenario Picker'!$B$3,'Growth Scenarios'!$F$2:$I$2,0)+1)/1000000000*VLOOKUP($A60,'Growth Scenarios'!$A$3:$D$80,MATCH('Scenario Picker'!$B$2,'Growth Scenarios'!$B$2:$D$2,0)+1)</f>
        <v>2.9513798879551065</v>
      </c>
      <c r="G60" s="21">
        <f ca="1">'Electrification Scenario'!G66*(1-'Electrification Scenario'!G$8*('Electrification Scenario'!G66-'Electrification Scenario'!G$4)/('Electrification Scenario'!G$5-'Electrification Scenario'!G$4))*VLOOKUP(G$3,'Static Parameters'!$A$3:$B$9,2)*VLOOKUP($A60,'Growth Scenarios'!$E$3:$I$80,MATCH('Scenario Picker'!$B$3,'Growth Scenarios'!$F$2:$I$2,0)+1)/1000000000*VLOOKUP($A60,'Growth Scenarios'!$A$3:$D$80,MATCH('Scenario Picker'!$B$2,'Growth Scenarios'!$B$2:$D$2,0)+1)</f>
        <v>52.083174493325394</v>
      </c>
      <c r="H60" s="21">
        <f ca="1">'Electrification Scenario'!H66*(1-'Electrification Scenario'!H$8*('Electrification Scenario'!H66-'Electrification Scenario'!H$4)/('Electrification Scenario'!H$5-'Electrification Scenario'!H$4))*VLOOKUP(H$3,'Static Parameters'!$A$3:$B$9,2)*VLOOKUP($A60,'Growth Scenarios'!$E$3:$I$80,MATCH('Scenario Picker'!$B$3,'Growth Scenarios'!$F$2:$I$2,0)+1)/1000000000*VLOOKUP($A60,'Growth Scenarios'!$A$3:$D$80,MATCH('Scenario Picker'!$B$2,'Growth Scenarios'!$B$2:$D$2,0)+1)</f>
        <v>33.420036966550455</v>
      </c>
      <c r="I60" s="28">
        <f t="shared" ca="1" si="0"/>
        <v>190.30613257922283</v>
      </c>
      <c r="J60" s="25">
        <f ca="1">(1-'Electrification Scenario'!B66)*VLOOKUP(B$3,'Static Parameters'!$A$3:$B$9,2)*VLOOKUP($A60,'Growth Scenarios'!$E$3:$I$80,MATCH('Scenario Picker'!$B$3,'Growth Scenarios'!$F$2:$I$2,0)+1)/1000000000*VLOOKUP($A60,'Growth Scenarios'!$A$3:$D$80,MATCH('Scenario Picker'!$B$2,'Growth Scenarios'!$B$2:$D$2,0)+1)</f>
        <v>2.7777693063106881</v>
      </c>
      <c r="K60" s="21">
        <f ca="1">(1-'Electrification Scenario'!C66)*VLOOKUP(C$3,'Static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L60" s="21">
        <f ca="1">(1-'Electrification Scenario'!D66)*VLOOKUP(D$3,'Static Parameters'!$A$3:$B$9,2)*VLOOKUP($A60,'Growth Scenarios'!$E$3:$I$80,MATCH('Scenario Picker'!$B$3,'Growth Scenarios'!$F$2:$I$2,0)+1)/1000000000*VLOOKUP($A60,'Growth Scenarios'!$A$3:$D$80,MATCH('Scenario Picker'!$B$2,'Growth Scenarios'!$B$2:$D$2,0)+1)</f>
        <v>0.1157403877629453</v>
      </c>
      <c r="M60" s="21">
        <f ca="1">(1-'Electrification Scenario'!E66)*VLOOKUP(E$3,'Static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N60" s="21">
        <f ca="1">(1-'Electrification Scenario'!F66)*VLOOKUP(F$3,'Static Parameters'!$A$3:$B$9,2)*VLOOKUP($A60,'Growth Scenarios'!$E$3:$I$80,MATCH('Scenario Picker'!$B$3,'Growth Scenarios'!$F$2:$I$2,0)+1)/1000000000*VLOOKUP($A60,'Growth Scenarios'!$A$3:$D$80,MATCH('Scenario Picker'!$B$2,'Growth Scenarios'!$B$2:$D$2,0)+1)</f>
        <v>1.2297416199812941</v>
      </c>
      <c r="O60" s="21">
        <f ca="1">(1-'Electrification Scenario'!G66)*VLOOKUP(G$3,'Static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P60" s="21">
        <f ca="1">(1-'Electrification Scenario'!H66)*VLOOKUP(H$3,'Static Parameters'!$A$3:$B$9,2)*VLOOKUP($A60,'Growth Scenarios'!$E$3:$I$80,MATCH('Scenario Picker'!$B$3,'Growth Scenarios'!$F$2:$I$2,0)+1)/1000000000*VLOOKUP($A60,'Growth Scenarios'!$A$3:$D$80,MATCH('Scenario Picker'!$B$2,'Growth Scenarios'!$B$2:$D$2,0)+1)</f>
        <v>22.280024644366975</v>
      </c>
      <c r="Q60" s="28">
        <f t="shared" ca="1" si="1"/>
        <v>26.403275958421901</v>
      </c>
      <c r="R60" s="28">
        <f t="shared" ca="1" si="2"/>
        <v>216.70940853764472</v>
      </c>
    </row>
    <row r="61" spans="1:18" ht="15" x14ac:dyDescent="0.35">
      <c r="A61" s="31">
        <v>2079</v>
      </c>
      <c r="B61" s="25">
        <f ca="1">'Electrification Scenario'!B67*(1-'Electrification Scenario'!B$8*('Electrification Scenario'!B67-'Electrification Scenario'!B$4)/('Electrification Scenario'!B$5-'Electrification Scenario'!B$4))*VLOOKUP(B$3,'Static Parameters'!$A$3:$B$9,2)*VLOOKUP($A61,'Growth Scenarios'!$E$3:$I$80,MATCH('Scenario Picker'!$B$3,'Growth Scenarios'!$F$2:$I$2,0)+1)/1000000000*VLOOKUP($A61,'Growth Scenarios'!$A$3:$D$80,MATCH('Scenario Picker'!$B$2,'Growth Scenarios'!$B$2:$D$2,0)+1)</f>
        <v>3.2992096156997559</v>
      </c>
      <c r="C61" s="21">
        <f ca="1">'Electrification Scenario'!C67*(1-'Electrification Scenario'!C$8*('Electrification Scenario'!C67-'Electrification Scenario'!C$4)/('Electrification Scenario'!C$5-'Electrification Scenario'!C$4))*VLOOKUP(C$3,'Static Parameters'!$A$3:$B$9,2)*VLOOKUP($A61,'Growth Scenarios'!$E$3:$I$80,MATCH('Scenario Picker'!$B$3,'Growth Scenarios'!$F$2:$I$2,0)+1)/1000000000*VLOOKUP($A61,'Growth Scenarios'!$A$3:$D$80,MATCH('Scenario Picker'!$B$2,'Growth Scenarios'!$B$2:$D$2,0)+1)</f>
        <v>20.161836540387402</v>
      </c>
      <c r="D61" s="21">
        <f ca="1">'Electrification Scenario'!D67*(1-'Electrification Scenario'!D$8*('Electrification Scenario'!D67-'Electrification Scenario'!D$4)/('Electrification Scenario'!D$5-'Electrification Scenario'!D$4))*VLOOKUP(D$3,'Static Parameters'!$A$3:$B$9,2)*VLOOKUP($A61,'Growth Scenarios'!$E$3:$I$80,MATCH('Scenario Picker'!$B$3,'Growth Scenarios'!$F$2:$I$2,0)+1)/1000000000*VLOOKUP($A61,'Growth Scenarios'!$A$3:$D$80,MATCH('Scenario Picker'!$B$2,'Growth Scenarios'!$B$2:$D$2,0)+1)</f>
        <v>0.13746706732082317</v>
      </c>
      <c r="E61" s="21">
        <f ca="1">'Electrification Scenario'!E67*(1-'Electrification Scenario'!E$8*('Electrification Scenario'!E67-'Electrification Scenario'!E$4)/('Electrification Scenario'!E$5-'Electrification Scenario'!E$4))*VLOOKUP(E$3,'Static Parameters'!$A$3:$B$9,2)*VLOOKUP($A61,'Growth Scenarios'!$E$3:$I$80,MATCH('Scenario Picker'!$B$3,'Growth Scenarios'!$F$2:$I$2,0)+1)/1000000000*VLOOKUP($A61,'Growth Scenarios'!$A$3:$D$80,MATCH('Scenario Picker'!$B$2,'Growth Scenarios'!$B$2:$D$2,0)+1)</f>
        <v>77.210669478529013</v>
      </c>
      <c r="F61" s="21">
        <f ca="1">'Electrification Scenario'!F67*(1-'Electrification Scenario'!F$8*('Electrification Scenario'!F67-'Electrification Scenario'!F$4)/('Electrification Scenario'!F$5-'Electrification Scenario'!F$4))*VLOOKUP(F$3,'Static Parameters'!$A$3:$B$9,2)*VLOOKUP($A61,'Growth Scenarios'!$E$3:$I$80,MATCH('Scenario Picker'!$B$3,'Growth Scenarios'!$F$2:$I$2,0)+1)/1000000000*VLOOKUP($A61,'Growth Scenarios'!$A$3:$D$80,MATCH('Scenario Picker'!$B$2,'Growth Scenarios'!$B$2:$D$2,0)+1)</f>
        <v>2.9211751805674933</v>
      </c>
      <c r="G61" s="21">
        <f ca="1">'Electrification Scenario'!G67*(1-'Electrification Scenario'!G$8*('Electrification Scenario'!G67-'Electrification Scenario'!G$4)/('Electrification Scenario'!G$5-'Electrification Scenario'!G$4))*VLOOKUP(G$3,'Static Parameters'!$A$3:$B$9,2)*VLOOKUP($A61,'Growth Scenarios'!$E$3:$I$80,MATCH('Scenario Picker'!$B$3,'Growth Scenarios'!$F$2:$I$2,0)+1)/1000000000*VLOOKUP($A61,'Growth Scenarios'!$A$3:$D$80,MATCH('Scenario Picker'!$B$2,'Growth Scenarios'!$B$2:$D$2,0)+1)</f>
        <v>51.5501502453087</v>
      </c>
      <c r="H61" s="21">
        <f ca="1">'Electrification Scenario'!H67*(1-'Electrification Scenario'!H$8*('Electrification Scenario'!H67-'Electrification Scenario'!H$4)/('Electrification Scenario'!H$5-'Electrification Scenario'!H$4))*VLOOKUP(H$3,'Static Parameters'!$A$3:$B$9,2)*VLOOKUP($A61,'Growth Scenarios'!$E$3:$I$80,MATCH('Scenario Picker'!$B$3,'Growth Scenarios'!$F$2:$I$2,0)+1)/1000000000*VLOOKUP($A61,'Growth Scenarios'!$A$3:$D$80,MATCH('Scenario Picker'!$B$2,'Growth Scenarios'!$B$2:$D$2,0)+1)</f>
        <v>33.078013074073077</v>
      </c>
      <c r="I61" s="28">
        <f t="shared" ca="1" si="0"/>
        <v>188.35852120188625</v>
      </c>
      <c r="J61" s="25">
        <f ca="1">(1-'Electrification Scenario'!B67)*VLOOKUP(B$3,'Static Parameters'!$A$3:$B$9,2)*VLOOKUP($A61,'Growth Scenarios'!$E$3:$I$80,MATCH('Scenario Picker'!$B$3,'Growth Scenarios'!$F$2:$I$2,0)+1)/1000000000*VLOOKUP($A61,'Growth Scenarios'!$A$3:$D$80,MATCH('Scenario Picker'!$B$2,'Growth Scenarios'!$B$2:$D$2,0)+1)</f>
        <v>2.7493413464164638</v>
      </c>
      <c r="K61" s="21">
        <f ca="1">(1-'Electrification Scenario'!C67)*VLOOKUP(C$3,'Static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L61" s="21">
        <f ca="1">(1-'Electrification Scenario'!D67)*VLOOKUP(D$3,'Static Parameters'!$A$3:$B$9,2)*VLOOKUP($A61,'Growth Scenarios'!$E$3:$I$80,MATCH('Scenario Picker'!$B$3,'Growth Scenarios'!$F$2:$I$2,0)+1)/1000000000*VLOOKUP($A61,'Growth Scenarios'!$A$3:$D$80,MATCH('Scenario Picker'!$B$2,'Growth Scenarios'!$B$2:$D$2,0)+1)</f>
        <v>0.11455588943401931</v>
      </c>
      <c r="M61" s="21">
        <f ca="1">(1-'Electrification Scenario'!E67)*VLOOKUP(E$3,'Static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N61" s="21">
        <f ca="1">(1-'Electrification Scenario'!F67)*VLOOKUP(F$3,'Static Parameters'!$A$3:$B$9,2)*VLOOKUP($A61,'Growth Scenarios'!$E$3:$I$80,MATCH('Scenario Picker'!$B$3,'Growth Scenarios'!$F$2:$I$2,0)+1)/1000000000*VLOOKUP($A61,'Growth Scenarios'!$A$3:$D$80,MATCH('Scenario Picker'!$B$2,'Growth Scenarios'!$B$2:$D$2,0)+1)</f>
        <v>1.2171563252364552</v>
      </c>
      <c r="O61" s="21">
        <f ca="1">(1-'Electrification Scenario'!G67)*VLOOKUP(G$3,'Static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P61" s="21">
        <f ca="1">(1-'Electrification Scenario'!H67)*VLOOKUP(H$3,'Static Parameters'!$A$3:$B$9,2)*VLOOKUP($A61,'Growth Scenarios'!$E$3:$I$80,MATCH('Scenario Picker'!$B$3,'Growth Scenarios'!$F$2:$I$2,0)+1)/1000000000*VLOOKUP($A61,'Growth Scenarios'!$A$3:$D$80,MATCH('Scenario Picker'!$B$2,'Growth Scenarios'!$B$2:$D$2,0)+1)</f>
        <v>22.052008716048718</v>
      </c>
      <c r="Q61" s="28">
        <f t="shared" ca="1" si="1"/>
        <v>26.133062277135657</v>
      </c>
      <c r="R61" s="28">
        <f t="shared" ca="1" si="2"/>
        <v>214.4915834790219</v>
      </c>
    </row>
    <row r="62" spans="1:18" ht="15" x14ac:dyDescent="0.35">
      <c r="A62" s="31">
        <v>2080</v>
      </c>
      <c r="B62" s="25">
        <f ca="1">'Electrification Scenario'!B68*(1-'Electrification Scenario'!B$8*('Electrification Scenario'!B68-'Electrification Scenario'!B$4)/('Electrification Scenario'!B$5-'Electrification Scenario'!B$4))*VLOOKUP(B$3,'Static Parameters'!$A$3:$B$9,2)*VLOOKUP($A62,'Growth Scenarios'!$E$3:$I$80,MATCH('Scenario Picker'!$B$3,'Growth Scenarios'!$F$2:$I$2,0)+1)/1000000000*VLOOKUP($A62,'Growth Scenarios'!$A$3:$D$80,MATCH('Scenario Picker'!$B$2,'Growth Scenarios'!$B$2:$D$2,0)+1)</f>
        <v>3.2663577696582351</v>
      </c>
      <c r="C62" s="21">
        <f ca="1">'Electrification Scenario'!C68*(1-'Electrification Scenario'!C$8*('Electrification Scenario'!C68-'Electrification Scenario'!C$4)/('Electrification Scenario'!C$5-'Electrification Scenario'!C$4))*VLOOKUP(C$3,'Static Parameters'!$A$3:$B$9,2)*VLOOKUP($A62,'Growth Scenarios'!$E$3:$I$80,MATCH('Scenario Picker'!$B$3,'Growth Scenarios'!$F$2:$I$2,0)+1)/1000000000*VLOOKUP($A62,'Growth Scenarios'!$A$3:$D$80,MATCH('Scenario Picker'!$B$2,'Growth Scenarios'!$B$2:$D$2,0)+1)</f>
        <v>19.96107525902255</v>
      </c>
      <c r="D62" s="21">
        <f ca="1">'Electrification Scenario'!D68*(1-'Electrification Scenario'!D$8*('Electrification Scenario'!D68-'Electrification Scenario'!D$4)/('Electrification Scenario'!D$5-'Electrification Scenario'!D$4))*VLOOKUP(D$3,'Static Parameters'!$A$3:$B$9,2)*VLOOKUP($A62,'Growth Scenarios'!$E$3:$I$80,MATCH('Scenario Picker'!$B$3,'Growth Scenarios'!$F$2:$I$2,0)+1)/1000000000*VLOOKUP($A62,'Growth Scenarios'!$A$3:$D$80,MATCH('Scenario Picker'!$B$2,'Growth Scenarios'!$B$2:$D$2,0)+1)</f>
        <v>0.13609824040242646</v>
      </c>
      <c r="E62" s="21">
        <f ca="1">'Electrification Scenario'!E68*(1-'Electrification Scenario'!E$8*('Electrification Scenario'!E68-'Electrification Scenario'!E$4)/('Electrification Scenario'!E$5-'Electrification Scenario'!E$4))*VLOOKUP(E$3,'Static Parameters'!$A$3:$B$9,2)*VLOOKUP($A62,'Growth Scenarios'!$E$3:$I$80,MATCH('Scenario Picker'!$B$3,'Growth Scenarios'!$F$2:$I$2,0)+1)/1000000000*VLOOKUP($A62,'Growth Scenarios'!$A$3:$D$80,MATCH('Scenario Picker'!$B$2,'Growth Scenarios'!$B$2:$D$2,0)+1)</f>
        <v>76.441845026029526</v>
      </c>
      <c r="F62" s="21">
        <f ca="1">'Electrification Scenario'!F68*(1-'Electrification Scenario'!F$8*('Electrification Scenario'!F68-'Electrification Scenario'!F$4)/('Electrification Scenario'!F$5-'Electrification Scenario'!F$4))*VLOOKUP(F$3,'Static Parameters'!$A$3:$B$9,2)*VLOOKUP($A62,'Growth Scenarios'!$E$3:$I$80,MATCH('Scenario Picker'!$B$3,'Growth Scenarios'!$F$2:$I$2,0)+1)/1000000000*VLOOKUP($A62,'Growth Scenarios'!$A$3:$D$80,MATCH('Scenario Picker'!$B$2,'Growth Scenarios'!$B$2:$D$2,0)+1)</f>
        <v>2.892087608551563</v>
      </c>
      <c r="G62" s="21">
        <f ca="1">'Electrification Scenario'!G68*(1-'Electrification Scenario'!G$8*('Electrification Scenario'!G68-'Electrification Scenario'!G$4)/('Electrification Scenario'!G$5-'Electrification Scenario'!G$4))*VLOOKUP(G$3,'Static Parameters'!$A$3:$B$9,2)*VLOOKUP($A62,'Growth Scenarios'!$E$3:$I$80,MATCH('Scenario Picker'!$B$3,'Growth Scenarios'!$F$2:$I$2,0)+1)/1000000000*VLOOKUP($A62,'Growth Scenarios'!$A$3:$D$80,MATCH('Scenario Picker'!$B$2,'Growth Scenarios'!$B$2:$D$2,0)+1)</f>
        <v>51.036840150909931</v>
      </c>
      <c r="H62" s="21">
        <f ca="1">'Electrification Scenario'!H68*(1-'Electrification Scenario'!H$8*('Electrification Scenario'!H68-'Electrification Scenario'!H$4)/('Electrification Scenario'!H$5-'Electrification Scenario'!H$4))*VLOOKUP(H$3,'Static Parameters'!$A$3:$B$9,2)*VLOOKUP($A62,'Growth Scenarios'!$E$3:$I$80,MATCH('Scenario Picker'!$B$3,'Growth Scenarios'!$F$2:$I$2,0)+1)/1000000000*VLOOKUP($A62,'Growth Scenarios'!$A$3:$D$80,MATCH('Scenario Picker'!$B$2,'Growth Scenarios'!$B$2:$D$2,0)+1)</f>
        <v>32.748639096833863</v>
      </c>
      <c r="I62" s="28">
        <f t="shared" ca="1" si="0"/>
        <v>186.48294315140811</v>
      </c>
      <c r="J62" s="25">
        <f ca="1">(1-'Electrification Scenario'!B68)*VLOOKUP(B$3,'Static Parameters'!$A$3:$B$9,2)*VLOOKUP($A62,'Growth Scenarios'!$E$3:$I$80,MATCH('Scenario Picker'!$B$3,'Growth Scenarios'!$F$2:$I$2,0)+1)/1000000000*VLOOKUP($A62,'Growth Scenarios'!$A$3:$D$80,MATCH('Scenario Picker'!$B$2,'Growth Scenarios'!$B$2:$D$2,0)+1)</f>
        <v>2.7219648080485297</v>
      </c>
      <c r="K62" s="21">
        <f ca="1">(1-'Electrification Scenario'!C68)*VLOOKUP(C$3,'Static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L62" s="21">
        <f ca="1">(1-'Electrification Scenario'!D68)*VLOOKUP(D$3,'Static Parameters'!$A$3:$B$9,2)*VLOOKUP($A62,'Growth Scenarios'!$E$3:$I$80,MATCH('Scenario Picker'!$B$3,'Growth Scenarios'!$F$2:$I$2,0)+1)/1000000000*VLOOKUP($A62,'Growth Scenarios'!$A$3:$D$80,MATCH('Scenario Picker'!$B$2,'Growth Scenarios'!$B$2:$D$2,0)+1)</f>
        <v>0.1134152003353554</v>
      </c>
      <c r="M62" s="21">
        <f ca="1">(1-'Electrification Scenario'!E68)*VLOOKUP(E$3,'Static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N62" s="21">
        <f ca="1">(1-'Electrification Scenario'!F68)*VLOOKUP(F$3,'Static Parameters'!$A$3:$B$9,2)*VLOOKUP($A62,'Growth Scenarios'!$E$3:$I$80,MATCH('Scenario Picker'!$B$3,'Growth Scenarios'!$F$2:$I$2,0)+1)/1000000000*VLOOKUP($A62,'Growth Scenarios'!$A$3:$D$80,MATCH('Scenario Picker'!$B$2,'Growth Scenarios'!$B$2:$D$2,0)+1)</f>
        <v>1.2050365035631512</v>
      </c>
      <c r="O62" s="21">
        <f ca="1">(1-'Electrification Scenario'!G68)*VLOOKUP(G$3,'Static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P62" s="21">
        <f ca="1">(1-'Electrification Scenario'!H68)*VLOOKUP(H$3,'Static Parameters'!$A$3:$B$9,2)*VLOOKUP($A62,'Growth Scenarios'!$E$3:$I$80,MATCH('Scenario Picker'!$B$3,'Growth Scenarios'!$F$2:$I$2,0)+1)/1000000000*VLOOKUP($A62,'Growth Scenarios'!$A$3:$D$80,MATCH('Scenario Picker'!$B$2,'Growth Scenarios'!$B$2:$D$2,0)+1)</f>
        <v>21.832426064555914</v>
      </c>
      <c r="Q62" s="28">
        <f t="shared" ca="1" si="1"/>
        <v>25.872842576502951</v>
      </c>
      <c r="R62" s="28">
        <f t="shared" ca="1" si="2"/>
        <v>212.35578572791107</v>
      </c>
    </row>
    <row r="63" spans="1:18" ht="15" x14ac:dyDescent="0.35">
      <c r="A63" s="31">
        <v>2081</v>
      </c>
      <c r="B63" s="25">
        <f ca="1">'Electrification Scenario'!B69*(1-'Electrification Scenario'!B$8*('Electrification Scenario'!B69-'Electrification Scenario'!B$4)/('Electrification Scenario'!B$5-'Electrification Scenario'!B$4))*VLOOKUP(B$3,'Static Parameters'!$A$3:$B$9,2)*VLOOKUP($A63,'Growth Scenarios'!$E$3:$I$80,MATCH('Scenario Picker'!$B$3,'Growth Scenarios'!$F$2:$I$2,0)+1)/1000000000*VLOOKUP($A63,'Growth Scenarios'!$A$3:$D$80,MATCH('Scenario Picker'!$B$2,'Growth Scenarios'!$B$2:$D$2,0)+1)</f>
        <v>3.2347989779741075</v>
      </c>
      <c r="C63" s="21">
        <f ca="1">'Electrification Scenario'!C69*(1-'Electrification Scenario'!C$8*('Electrification Scenario'!C69-'Electrification Scenario'!C$4)/('Electrification Scenario'!C$5-'Electrification Scenario'!C$4))*VLOOKUP(C$3,'Static Parameters'!$A$3:$B$9,2)*VLOOKUP($A63,'Growth Scenarios'!$E$3:$I$80,MATCH('Scenario Picker'!$B$3,'Growth Scenarios'!$F$2:$I$2,0)+1)/1000000000*VLOOKUP($A63,'Growth Scenarios'!$A$3:$D$80,MATCH('Scenario Picker'!$B$2,'Growth Scenarios'!$B$2:$D$2,0)+1)</f>
        <v>19.76821597650844</v>
      </c>
      <c r="D63" s="21">
        <f ca="1">'Electrification Scenario'!D69*(1-'Electrification Scenario'!D$8*('Electrification Scenario'!D69-'Electrification Scenario'!D$4)/('Electrification Scenario'!D$5-'Electrification Scenario'!D$4))*VLOOKUP(D$3,'Static Parameters'!$A$3:$B$9,2)*VLOOKUP($A63,'Growth Scenarios'!$E$3:$I$80,MATCH('Scenario Picker'!$B$3,'Growth Scenarios'!$F$2:$I$2,0)+1)/1000000000*VLOOKUP($A63,'Growth Scenarios'!$A$3:$D$80,MATCH('Scenario Picker'!$B$2,'Growth Scenarios'!$B$2:$D$2,0)+1)</f>
        <v>0.13478329074892118</v>
      </c>
      <c r="E63" s="21">
        <f ca="1">'Electrification Scenario'!E69*(1-'Electrification Scenario'!E$8*('Electrification Scenario'!E69-'Electrification Scenario'!E$4)/('Electrification Scenario'!E$5-'Electrification Scenario'!E$4))*VLOOKUP(E$3,'Static Parameters'!$A$3:$B$9,2)*VLOOKUP($A63,'Growth Scenarios'!$E$3:$I$80,MATCH('Scenario Picker'!$B$3,'Growth Scenarios'!$F$2:$I$2,0)+1)/1000000000*VLOOKUP($A63,'Growth Scenarios'!$A$3:$D$80,MATCH('Scenario Picker'!$B$2,'Growth Scenarios'!$B$2:$D$2,0)+1)</f>
        <v>75.703281637310724</v>
      </c>
      <c r="F63" s="21">
        <f ca="1">'Electrification Scenario'!F69*(1-'Electrification Scenario'!F$8*('Electrification Scenario'!F69-'Electrification Scenario'!F$4)/('Electrification Scenario'!F$5-'Electrification Scenario'!F$4))*VLOOKUP(F$3,'Static Parameters'!$A$3:$B$9,2)*VLOOKUP($A63,'Growth Scenarios'!$E$3:$I$80,MATCH('Scenario Picker'!$B$3,'Growth Scenarios'!$F$2:$I$2,0)+1)/1000000000*VLOOKUP($A63,'Growth Scenarios'!$A$3:$D$80,MATCH('Scenario Picker'!$B$2,'Growth Scenarios'!$B$2:$D$2,0)+1)</f>
        <v>2.8641449284145755</v>
      </c>
      <c r="G63" s="21">
        <f ca="1">'Electrification Scenario'!G69*(1-'Electrification Scenario'!G$8*('Electrification Scenario'!G69-'Electrification Scenario'!G$4)/('Electrification Scenario'!G$5-'Electrification Scenario'!G$4))*VLOOKUP(G$3,'Static Parameters'!$A$3:$B$9,2)*VLOOKUP($A63,'Growth Scenarios'!$E$3:$I$80,MATCH('Scenario Picker'!$B$3,'Growth Scenarios'!$F$2:$I$2,0)+1)/1000000000*VLOOKUP($A63,'Growth Scenarios'!$A$3:$D$80,MATCH('Scenario Picker'!$B$2,'Growth Scenarios'!$B$2:$D$2,0)+1)</f>
        <v>50.543734030845442</v>
      </c>
      <c r="H63" s="21">
        <f ca="1">'Electrification Scenario'!H69*(1-'Electrification Scenario'!H$8*('Electrification Scenario'!H69-'Electrification Scenario'!H$4)/('Electrification Scenario'!H$5-'Electrification Scenario'!H$4))*VLOOKUP(H$3,'Static Parameters'!$A$3:$B$9,2)*VLOOKUP($A63,'Growth Scenarios'!$E$3:$I$80,MATCH('Scenario Picker'!$B$3,'Growth Scenarios'!$F$2:$I$2,0)+1)/1000000000*VLOOKUP($A63,'Growth Scenarios'!$A$3:$D$80,MATCH('Scenario Picker'!$B$2,'Growth Scenarios'!$B$2:$D$2,0)+1)</f>
        <v>32.432229336459152</v>
      </c>
      <c r="I63" s="28">
        <f t="shared" ca="1" si="0"/>
        <v>184.68118817826138</v>
      </c>
      <c r="J63" s="25">
        <f ca="1">(1-'Electrification Scenario'!B69)*VLOOKUP(B$3,'Static Parameters'!$A$3:$B$9,2)*VLOOKUP($A63,'Growth Scenarios'!$E$3:$I$80,MATCH('Scenario Picker'!$B$3,'Growth Scenarios'!$F$2:$I$2,0)+1)/1000000000*VLOOKUP($A63,'Growth Scenarios'!$A$3:$D$80,MATCH('Scenario Picker'!$B$2,'Growth Scenarios'!$B$2:$D$2,0)+1)</f>
        <v>2.6956658149784238</v>
      </c>
      <c r="K63" s="21">
        <f ca="1">(1-'Electrification Scenario'!C69)*VLOOKUP(C$3,'Static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L63" s="21">
        <f ca="1">(1-'Electrification Scenario'!D69)*VLOOKUP(D$3,'Static Parameters'!$A$3:$B$9,2)*VLOOKUP($A63,'Growth Scenarios'!$E$3:$I$80,MATCH('Scenario Picker'!$B$3,'Growth Scenarios'!$F$2:$I$2,0)+1)/1000000000*VLOOKUP($A63,'Growth Scenarios'!$A$3:$D$80,MATCH('Scenario Picker'!$B$2,'Growth Scenarios'!$B$2:$D$2,0)+1)</f>
        <v>0.11231940895743431</v>
      </c>
      <c r="M63" s="21">
        <f ca="1">(1-'Electrification Scenario'!E69)*VLOOKUP(E$3,'Static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N63" s="21">
        <f ca="1">(1-'Electrification Scenario'!F69)*VLOOKUP(F$3,'Static Parameters'!$A$3:$B$9,2)*VLOOKUP($A63,'Growth Scenarios'!$E$3:$I$80,MATCH('Scenario Picker'!$B$3,'Growth Scenarios'!$F$2:$I$2,0)+1)/1000000000*VLOOKUP($A63,'Growth Scenarios'!$A$3:$D$80,MATCH('Scenario Picker'!$B$2,'Growth Scenarios'!$B$2:$D$2,0)+1)</f>
        <v>1.1933937201727396</v>
      </c>
      <c r="O63" s="21">
        <f ca="1">(1-'Electrification Scenario'!G69)*VLOOKUP(G$3,'Static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P63" s="21">
        <f ca="1">(1-'Electrification Scenario'!H69)*VLOOKUP(H$3,'Static Parameters'!$A$3:$B$9,2)*VLOOKUP($A63,'Growth Scenarios'!$E$3:$I$80,MATCH('Scenario Picker'!$B$3,'Growth Scenarios'!$F$2:$I$2,0)+1)/1000000000*VLOOKUP($A63,'Growth Scenarios'!$A$3:$D$80,MATCH('Scenario Picker'!$B$2,'Growth Scenarios'!$B$2:$D$2,0)+1)</f>
        <v>21.6214862243061</v>
      </c>
      <c r="Q63" s="28">
        <f t="shared" ca="1" si="1"/>
        <v>25.622865168414698</v>
      </c>
      <c r="R63" s="28">
        <f t="shared" ca="1" si="2"/>
        <v>210.30405334667608</v>
      </c>
    </row>
    <row r="64" spans="1:18" ht="15" x14ac:dyDescent="0.35">
      <c r="A64" s="31">
        <v>2082</v>
      </c>
      <c r="B64" s="25">
        <f ca="1">'Electrification Scenario'!B70*(1-'Electrification Scenario'!B$8*('Electrification Scenario'!B70-'Electrification Scenario'!B$4)/('Electrification Scenario'!B$5-'Electrification Scenario'!B$4))*VLOOKUP(B$3,'Static Parameters'!$A$3:$B$9,2)*VLOOKUP($A64,'Growth Scenarios'!$E$3:$I$80,MATCH('Scenario Picker'!$B$3,'Growth Scenarios'!$F$2:$I$2,0)+1)/1000000000*VLOOKUP($A64,'Growth Scenarios'!$A$3:$D$80,MATCH('Scenario Picker'!$B$2,'Growth Scenarios'!$B$2:$D$2,0)+1)</f>
        <v>3.204549678005963</v>
      </c>
      <c r="C64" s="21">
        <f ca="1">'Electrification Scenario'!C70*(1-'Electrification Scenario'!C$8*('Electrification Scenario'!C70-'Electrification Scenario'!C$4)/('Electrification Scenario'!C$5-'Electrification Scenario'!C$4))*VLOOKUP(C$3,'Static Parameters'!$A$3:$B$9,2)*VLOOKUP($A64,'Growth Scenarios'!$E$3:$I$80,MATCH('Scenario Picker'!$B$3,'Growth Scenarios'!$F$2:$I$2,0)+1)/1000000000*VLOOKUP($A64,'Growth Scenarios'!$A$3:$D$80,MATCH('Scenario Picker'!$B$2,'Growth Scenarios'!$B$2:$D$2,0)+1)</f>
        <v>19.583359143369773</v>
      </c>
      <c r="D64" s="21">
        <f ca="1">'Electrification Scenario'!D70*(1-'Electrification Scenario'!D$8*('Electrification Scenario'!D70-'Electrification Scenario'!D$4)/('Electrification Scenario'!D$5-'Electrification Scenario'!D$4))*VLOOKUP(D$3,'Static Parameters'!$A$3:$B$9,2)*VLOOKUP($A64,'Growth Scenarios'!$E$3:$I$80,MATCH('Scenario Picker'!$B$3,'Growth Scenarios'!$F$2:$I$2,0)+1)/1000000000*VLOOKUP($A64,'Growth Scenarios'!$A$3:$D$80,MATCH('Scenario Picker'!$B$2,'Growth Scenarios'!$B$2:$D$2,0)+1)</f>
        <v>0.13352290325024846</v>
      </c>
      <c r="E64" s="21">
        <f ca="1">'Electrification Scenario'!E70*(1-'Electrification Scenario'!E$8*('Electrification Scenario'!E70-'Electrification Scenario'!E$4)/('Electrification Scenario'!E$5-'Electrification Scenario'!E$4))*VLOOKUP(E$3,'Static Parameters'!$A$3:$B$9,2)*VLOOKUP($A64,'Growth Scenarios'!$E$3:$I$80,MATCH('Scenario Picker'!$B$3,'Growth Scenarios'!$F$2:$I$2,0)+1)/1000000000*VLOOKUP($A64,'Growth Scenarios'!$A$3:$D$80,MATCH('Scenario Picker'!$B$2,'Growth Scenarios'!$B$2:$D$2,0)+1)</f>
        <v>74.995363992222877</v>
      </c>
      <c r="F64" s="21">
        <f ca="1">'Electrification Scenario'!F70*(1-'Electrification Scenario'!F$8*('Electrification Scenario'!F70-'Electrification Scenario'!F$4)/('Electrification Scenario'!F$5-'Electrification Scenario'!F$4))*VLOOKUP(F$3,'Static Parameters'!$A$3:$B$9,2)*VLOOKUP($A64,'Growth Scenarios'!$E$3:$I$80,MATCH('Scenario Picker'!$B$3,'Growth Scenarios'!$F$2:$I$2,0)+1)/1000000000*VLOOKUP($A64,'Growth Scenarios'!$A$3:$D$80,MATCH('Scenario Picker'!$B$2,'Growth Scenarios'!$B$2:$D$2,0)+1)</f>
        <v>2.8373616940677802</v>
      </c>
      <c r="G64" s="21">
        <f ca="1">'Electrification Scenario'!G70*(1-'Electrification Scenario'!G$8*('Electrification Scenario'!G70-'Electrification Scenario'!G$4)/('Electrification Scenario'!G$5-'Electrification Scenario'!G$4))*VLOOKUP(G$3,'Static Parameters'!$A$3:$B$9,2)*VLOOKUP($A64,'Growth Scenarios'!$E$3:$I$80,MATCH('Scenario Picker'!$B$3,'Growth Scenarios'!$F$2:$I$2,0)+1)/1000000000*VLOOKUP($A64,'Growth Scenarios'!$A$3:$D$80,MATCH('Scenario Picker'!$B$2,'Growth Scenarios'!$B$2:$D$2,0)+1)</f>
        <v>50.071088718843178</v>
      </c>
      <c r="H64" s="21">
        <f ca="1">'Electrification Scenario'!H70*(1-'Electrification Scenario'!H$8*('Electrification Scenario'!H70-'Electrification Scenario'!H$4)/('Electrification Scenario'!H$5-'Electrification Scenario'!H$4))*VLOOKUP(H$3,'Static Parameters'!$A$3:$B$9,2)*VLOOKUP($A64,'Growth Scenarios'!$E$3:$I$80,MATCH('Scenario Picker'!$B$3,'Growth Scenarios'!$F$2:$I$2,0)+1)/1000000000*VLOOKUP($A64,'Growth Scenarios'!$A$3:$D$80,MATCH('Scenario Picker'!$B$2,'Growth Scenarios'!$B$2:$D$2,0)+1)</f>
        <v>32.128948594591037</v>
      </c>
      <c r="I64" s="28">
        <f t="shared" ca="1" si="0"/>
        <v>182.95419472435086</v>
      </c>
      <c r="J64" s="25">
        <f ca="1">(1-'Electrification Scenario'!B70)*VLOOKUP(B$3,'Static Parameters'!$A$3:$B$9,2)*VLOOKUP($A64,'Growth Scenarios'!$E$3:$I$80,MATCH('Scenario Picker'!$B$3,'Growth Scenarios'!$F$2:$I$2,0)+1)/1000000000*VLOOKUP($A64,'Growth Scenarios'!$A$3:$D$80,MATCH('Scenario Picker'!$B$2,'Growth Scenarios'!$B$2:$D$2,0)+1)</f>
        <v>2.6704580650049694</v>
      </c>
      <c r="K64" s="21">
        <f ca="1">(1-'Electrification Scenario'!C70)*VLOOKUP(C$3,'Static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L64" s="21">
        <f ca="1">(1-'Electrification Scenario'!D70)*VLOOKUP(D$3,'Static Parameters'!$A$3:$B$9,2)*VLOOKUP($A64,'Growth Scenarios'!$E$3:$I$80,MATCH('Scenario Picker'!$B$3,'Growth Scenarios'!$F$2:$I$2,0)+1)/1000000000*VLOOKUP($A64,'Growth Scenarios'!$A$3:$D$80,MATCH('Scenario Picker'!$B$2,'Growth Scenarios'!$B$2:$D$2,0)+1)</f>
        <v>0.1112690860418737</v>
      </c>
      <c r="M64" s="21">
        <f ca="1">(1-'Electrification Scenario'!E70)*VLOOKUP(E$3,'Static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N64" s="21">
        <f ca="1">(1-'Electrification Scenario'!F70)*VLOOKUP(F$3,'Static Parameters'!$A$3:$B$9,2)*VLOOKUP($A64,'Growth Scenarios'!$E$3:$I$80,MATCH('Scenario Picker'!$B$3,'Growth Scenarios'!$F$2:$I$2,0)+1)/1000000000*VLOOKUP($A64,'Growth Scenarios'!$A$3:$D$80,MATCH('Scenario Picker'!$B$2,'Growth Scenarios'!$B$2:$D$2,0)+1)</f>
        <v>1.1822340391949084</v>
      </c>
      <c r="O64" s="21">
        <f ca="1">(1-'Electrification Scenario'!G70)*VLOOKUP(G$3,'Static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P64" s="21">
        <f ca="1">(1-'Electrification Scenario'!H70)*VLOOKUP(H$3,'Static Parameters'!$A$3:$B$9,2)*VLOOKUP($A64,'Growth Scenarios'!$E$3:$I$80,MATCH('Scenario Picker'!$B$3,'Growth Scenarios'!$F$2:$I$2,0)+1)/1000000000*VLOOKUP($A64,'Growth Scenarios'!$A$3:$D$80,MATCH('Scenario Picker'!$B$2,'Growth Scenarios'!$B$2:$D$2,0)+1)</f>
        <v>21.419299063060691</v>
      </c>
      <c r="Q64" s="28">
        <f t="shared" ca="1" si="1"/>
        <v>25.383260253302442</v>
      </c>
      <c r="R64" s="28">
        <f t="shared" ca="1" si="2"/>
        <v>208.33745497765329</v>
      </c>
    </row>
    <row r="65" spans="1:18" ht="15" x14ac:dyDescent="0.35">
      <c r="A65" s="31">
        <v>2083</v>
      </c>
      <c r="B65" s="25">
        <f ca="1">'Electrification Scenario'!B71*(1-'Electrification Scenario'!B$8*('Electrification Scenario'!B71-'Electrification Scenario'!B$4)/('Electrification Scenario'!B$5-'Electrification Scenario'!B$4))*VLOOKUP(B$3,'Static Parameters'!$A$3:$B$9,2)*VLOOKUP($A65,'Growth Scenarios'!$E$3:$I$80,MATCH('Scenario Picker'!$B$3,'Growth Scenarios'!$F$2:$I$2,0)+1)/1000000000*VLOOKUP($A65,'Growth Scenarios'!$A$3:$D$80,MATCH('Scenario Picker'!$B$2,'Growth Scenarios'!$B$2:$D$2,0)+1)</f>
        <v>3.1756420296540986</v>
      </c>
      <c r="C65" s="21">
        <f ca="1">'Electrification Scenario'!C71*(1-'Electrification Scenario'!C$8*('Electrification Scenario'!C71-'Electrification Scenario'!C$4)/('Electrification Scenario'!C$5-'Electrification Scenario'!C$4))*VLOOKUP(C$3,'Static Parameters'!$A$3:$B$9,2)*VLOOKUP($A65,'Growth Scenarios'!$E$3:$I$80,MATCH('Scenario Picker'!$B$3,'Growth Scenarios'!$F$2:$I$2,0)+1)/1000000000*VLOOKUP($A65,'Growth Scenarios'!$A$3:$D$80,MATCH('Scenario Picker'!$B$2,'Growth Scenarios'!$B$2:$D$2,0)+1)</f>
        <v>19.406701292330606</v>
      </c>
      <c r="D65" s="21">
        <f ca="1">'Electrification Scenario'!D71*(1-'Electrification Scenario'!D$8*('Electrification Scenario'!D71-'Electrification Scenario'!D$4)/('Electrification Scenario'!D$5-'Electrification Scenario'!D$4))*VLOOKUP(D$3,'Static Parameters'!$A$3:$B$9,2)*VLOOKUP($A65,'Growth Scenarios'!$E$3:$I$80,MATCH('Scenario Picker'!$B$3,'Growth Scenarios'!$F$2:$I$2,0)+1)/1000000000*VLOOKUP($A65,'Growth Scenarios'!$A$3:$D$80,MATCH('Scenario Picker'!$B$2,'Growth Scenarios'!$B$2:$D$2,0)+1)</f>
        <v>0.13231841790225413</v>
      </c>
      <c r="E65" s="21">
        <f ca="1">'Electrification Scenario'!E71*(1-'Electrification Scenario'!E$8*('Electrification Scenario'!E71-'Electrification Scenario'!E$4)/('Electrification Scenario'!E$5-'Electrification Scenario'!E$4))*VLOOKUP(E$3,'Static Parameters'!$A$3:$B$9,2)*VLOOKUP($A65,'Growth Scenarios'!$E$3:$I$80,MATCH('Scenario Picker'!$B$3,'Growth Scenarios'!$F$2:$I$2,0)+1)/1000000000*VLOOKUP($A65,'Growth Scenarios'!$A$3:$D$80,MATCH('Scenario Picker'!$B$2,'Growth Scenarios'!$B$2:$D$2,0)+1)</f>
        <v>74.318844721766069</v>
      </c>
      <c r="F65" s="21">
        <f ca="1">'Electrification Scenario'!F71*(1-'Electrification Scenario'!F$8*('Electrification Scenario'!F71-'Electrification Scenario'!F$4)/('Electrification Scenario'!F$5-'Electrification Scenario'!F$4))*VLOOKUP(F$3,'Static Parameters'!$A$3:$B$9,2)*VLOOKUP($A65,'Growth Scenarios'!$E$3:$I$80,MATCH('Scenario Picker'!$B$3,'Growth Scenarios'!$F$2:$I$2,0)+1)/1000000000*VLOOKUP($A65,'Growth Scenarios'!$A$3:$D$80,MATCH('Scenario Picker'!$B$2,'Growth Scenarios'!$B$2:$D$2,0)+1)</f>
        <v>2.8117663804229007</v>
      </c>
      <c r="G65" s="21">
        <f ca="1">'Electrification Scenario'!G71*(1-'Electrification Scenario'!G$8*('Electrification Scenario'!G71-'Electrification Scenario'!G$4)/('Electrification Scenario'!G$5-'Electrification Scenario'!G$4))*VLOOKUP(G$3,'Static Parameters'!$A$3:$B$9,2)*VLOOKUP($A65,'Growth Scenarios'!$E$3:$I$80,MATCH('Scenario Picker'!$B$3,'Growth Scenarios'!$F$2:$I$2,0)+1)/1000000000*VLOOKUP($A65,'Growth Scenarios'!$A$3:$D$80,MATCH('Scenario Picker'!$B$2,'Growth Scenarios'!$B$2:$D$2,0)+1)</f>
        <v>49.619406713345299</v>
      </c>
      <c r="H65" s="21">
        <f ca="1">'Electrification Scenario'!H71*(1-'Electrification Scenario'!H$8*('Electrification Scenario'!H71-'Electrification Scenario'!H$4)/('Electrification Scenario'!H$5-'Electrification Scenario'!H$4))*VLOOKUP(H$3,'Static Parameters'!$A$3:$B$9,2)*VLOOKUP($A65,'Growth Scenarios'!$E$3:$I$80,MATCH('Scenario Picker'!$B$3,'Growth Scenarios'!$F$2:$I$2,0)+1)/1000000000*VLOOKUP($A65,'Growth Scenarios'!$A$3:$D$80,MATCH('Scenario Picker'!$B$2,'Growth Scenarios'!$B$2:$D$2,0)+1)</f>
        <v>31.839119307729899</v>
      </c>
      <c r="I65" s="28">
        <f t="shared" ca="1" si="0"/>
        <v>181.30379886315114</v>
      </c>
      <c r="J65" s="25">
        <f ca="1">(1-'Electrification Scenario'!B71)*VLOOKUP(B$3,'Static Parameters'!$A$3:$B$9,2)*VLOOKUP($A65,'Growth Scenarios'!$E$3:$I$80,MATCH('Scenario Picker'!$B$3,'Growth Scenarios'!$F$2:$I$2,0)+1)/1000000000*VLOOKUP($A65,'Growth Scenarios'!$A$3:$D$80,MATCH('Scenario Picker'!$B$2,'Growth Scenarios'!$B$2:$D$2,0)+1)</f>
        <v>2.6463683580450827</v>
      </c>
      <c r="K65" s="21">
        <f ca="1">(1-'Electrification Scenario'!C71)*VLOOKUP(C$3,'Static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L65" s="21">
        <f ca="1">(1-'Electrification Scenario'!D71)*VLOOKUP(D$3,'Static Parameters'!$A$3:$B$9,2)*VLOOKUP($A65,'Growth Scenarios'!$E$3:$I$80,MATCH('Scenario Picker'!$B$3,'Growth Scenarios'!$F$2:$I$2,0)+1)/1000000000*VLOOKUP($A65,'Growth Scenarios'!$A$3:$D$80,MATCH('Scenario Picker'!$B$2,'Growth Scenarios'!$B$2:$D$2,0)+1)</f>
        <v>0.11026534825187845</v>
      </c>
      <c r="M65" s="21">
        <f ca="1">(1-'Electrification Scenario'!E71)*VLOOKUP(E$3,'Static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N65" s="21">
        <f ca="1">(1-'Electrification Scenario'!F71)*VLOOKUP(F$3,'Static Parameters'!$A$3:$B$9,2)*VLOOKUP($A65,'Growth Scenarios'!$E$3:$I$80,MATCH('Scenario Picker'!$B$3,'Growth Scenarios'!$F$2:$I$2,0)+1)/1000000000*VLOOKUP($A65,'Growth Scenarios'!$A$3:$D$80,MATCH('Scenario Picker'!$B$2,'Growth Scenarios'!$B$2:$D$2,0)+1)</f>
        <v>1.1715693251762085</v>
      </c>
      <c r="O65" s="21">
        <f ca="1">(1-'Electrification Scenario'!G71)*VLOOKUP(G$3,'Static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P65" s="21">
        <f ca="1">(1-'Electrification Scenario'!H71)*VLOOKUP(H$3,'Static Parameters'!$A$3:$B$9,2)*VLOOKUP($A65,'Growth Scenarios'!$E$3:$I$80,MATCH('Scenario Picker'!$B$3,'Growth Scenarios'!$F$2:$I$2,0)+1)/1000000000*VLOOKUP($A65,'Growth Scenarios'!$A$3:$D$80,MATCH('Scenario Picker'!$B$2,'Growth Scenarios'!$B$2:$D$2,0)+1)</f>
        <v>21.226079538486598</v>
      </c>
      <c r="Q65" s="28">
        <f t="shared" ca="1" si="1"/>
        <v>25.154282569959769</v>
      </c>
      <c r="R65" s="28">
        <f t="shared" ca="1" si="2"/>
        <v>206.45808143311092</v>
      </c>
    </row>
    <row r="66" spans="1:18" ht="15" x14ac:dyDescent="0.35">
      <c r="A66" s="31">
        <v>2084</v>
      </c>
      <c r="B66" s="25">
        <f ca="1">'Electrification Scenario'!B72*(1-'Electrification Scenario'!B$8*('Electrification Scenario'!B72-'Electrification Scenario'!B$4)/('Electrification Scenario'!B$5-'Electrification Scenario'!B$4))*VLOOKUP(B$3,'Static Parameters'!$A$3:$B$9,2)*VLOOKUP($A66,'Growth Scenarios'!$E$3:$I$80,MATCH('Scenario Picker'!$B$3,'Growth Scenarios'!$F$2:$I$2,0)+1)/1000000000*VLOOKUP($A66,'Growth Scenarios'!$A$3:$D$80,MATCH('Scenario Picker'!$B$2,'Growth Scenarios'!$B$2:$D$2,0)+1)</f>
        <v>3.1480571227028644</v>
      </c>
      <c r="C66" s="21">
        <f ca="1">'Electrification Scenario'!C72*(1-'Electrification Scenario'!C$8*('Electrification Scenario'!C72-'Electrification Scenario'!C$4)/('Electrification Scenario'!C$5-'Electrification Scenario'!C$4))*VLOOKUP(C$3,'Static Parameters'!$A$3:$B$9,2)*VLOOKUP($A66,'Growth Scenarios'!$E$3:$I$80,MATCH('Scenario Picker'!$B$3,'Growth Scenarios'!$F$2:$I$2,0)+1)/1000000000*VLOOKUP($A66,'Growth Scenarios'!$A$3:$D$80,MATCH('Scenario Picker'!$B$2,'Growth Scenarios'!$B$2:$D$2,0)+1)</f>
        <v>19.238126860961952</v>
      </c>
      <c r="D66" s="21">
        <f ca="1">'Electrification Scenario'!D72*(1-'Electrification Scenario'!D$8*('Electrification Scenario'!D72-'Electrification Scenario'!D$4)/('Electrification Scenario'!D$5-'Electrification Scenario'!D$4))*VLOOKUP(D$3,'Static Parameters'!$A$3:$B$9,2)*VLOOKUP($A66,'Growth Scenarios'!$E$3:$I$80,MATCH('Scenario Picker'!$B$3,'Growth Scenarios'!$F$2:$I$2,0)+1)/1000000000*VLOOKUP($A66,'Growth Scenarios'!$A$3:$D$80,MATCH('Scenario Picker'!$B$2,'Growth Scenarios'!$B$2:$D$2,0)+1)</f>
        <v>0.13116904677928601</v>
      </c>
      <c r="E66" s="21">
        <f ca="1">'Electrification Scenario'!E72*(1-'Electrification Scenario'!E$8*('Electrification Scenario'!E72-'Electrification Scenario'!E$4)/('Electrification Scenario'!E$5-'Electrification Scenario'!E$4))*VLOOKUP(E$3,'Static Parameters'!$A$3:$B$9,2)*VLOOKUP($A66,'Growth Scenarios'!$E$3:$I$80,MATCH('Scenario Picker'!$B$3,'Growth Scenarios'!$F$2:$I$2,0)+1)/1000000000*VLOOKUP($A66,'Growth Scenarios'!$A$3:$D$80,MATCH('Scenario Picker'!$B$2,'Growth Scenarios'!$B$2:$D$2,0)+1)</f>
        <v>73.67328127436565</v>
      </c>
      <c r="F66" s="21">
        <f ca="1">'Electrification Scenario'!F72*(1-'Electrification Scenario'!F$8*('Electrification Scenario'!F72-'Electrification Scenario'!F$4)/('Electrification Scenario'!F$5-'Electrification Scenario'!F$4))*VLOOKUP(F$3,'Static Parameters'!$A$3:$B$9,2)*VLOOKUP($A66,'Growth Scenarios'!$E$3:$I$80,MATCH('Scenario Picker'!$B$3,'Growth Scenarios'!$F$2:$I$2,0)+1)/1000000000*VLOOKUP($A66,'Growth Scenarios'!$A$3:$D$80,MATCH('Scenario Picker'!$B$2,'Growth Scenarios'!$B$2:$D$2,0)+1)</f>
        <v>2.787342244059829</v>
      </c>
      <c r="G66" s="21">
        <f ca="1">'Electrification Scenario'!G72*(1-'Electrification Scenario'!G$8*('Electrification Scenario'!G72-'Electrification Scenario'!G$4)/('Electrification Scenario'!G$5-'Electrification Scenario'!G$4))*VLOOKUP(G$3,'Static Parameters'!$A$3:$B$9,2)*VLOOKUP($A66,'Growth Scenarios'!$E$3:$I$80,MATCH('Scenario Picker'!$B$3,'Growth Scenarios'!$F$2:$I$2,0)+1)/1000000000*VLOOKUP($A66,'Growth Scenarios'!$A$3:$D$80,MATCH('Scenario Picker'!$B$2,'Growth Scenarios'!$B$2:$D$2,0)+1)</f>
        <v>49.188392542232265</v>
      </c>
      <c r="H66" s="21">
        <f ca="1">'Electrification Scenario'!H72*(1-'Electrification Scenario'!H$8*('Electrification Scenario'!H72-'Electrification Scenario'!H$4)/('Electrification Scenario'!H$5-'Electrification Scenario'!H$4))*VLOOKUP(H$3,'Static Parameters'!$A$3:$B$9,2)*VLOOKUP($A66,'Growth Scenarios'!$E$3:$I$80,MATCH('Scenario Picker'!$B$3,'Growth Scenarios'!$F$2:$I$2,0)+1)/1000000000*VLOOKUP($A66,'Growth Scenarios'!$A$3:$D$80,MATCH('Scenario Picker'!$B$2,'Growth Scenarios'!$B$2:$D$2,0)+1)</f>
        <v>31.562551881265698</v>
      </c>
      <c r="I66" s="28">
        <f t="shared" ca="1" si="0"/>
        <v>179.72892097236755</v>
      </c>
      <c r="J66" s="25">
        <f ca="1">(1-'Electrification Scenario'!B72)*VLOOKUP(B$3,'Static Parameters'!$A$3:$B$9,2)*VLOOKUP($A66,'Growth Scenarios'!$E$3:$I$80,MATCH('Scenario Picker'!$B$3,'Growth Scenarios'!$F$2:$I$2,0)+1)/1000000000*VLOOKUP($A66,'Growth Scenarios'!$A$3:$D$80,MATCH('Scenario Picker'!$B$2,'Growth Scenarios'!$B$2:$D$2,0)+1)</f>
        <v>2.6233809355857205</v>
      </c>
      <c r="K66" s="21">
        <f ca="1">(1-'Electrification Scenario'!C72)*VLOOKUP(C$3,'Static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L66" s="21">
        <f ca="1">(1-'Electrification Scenario'!D72)*VLOOKUP(D$3,'Static Parameters'!$A$3:$B$9,2)*VLOOKUP($A66,'Growth Scenarios'!$E$3:$I$80,MATCH('Scenario Picker'!$B$3,'Growth Scenarios'!$F$2:$I$2,0)+1)/1000000000*VLOOKUP($A66,'Growth Scenarios'!$A$3:$D$80,MATCH('Scenario Picker'!$B$2,'Growth Scenarios'!$B$2:$D$2,0)+1)</f>
        <v>0.10930753898273836</v>
      </c>
      <c r="M66" s="21">
        <f ca="1">(1-'Electrification Scenario'!E72)*VLOOKUP(E$3,'Static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N66" s="21">
        <f ca="1">(1-'Electrification Scenario'!F72)*VLOOKUP(F$3,'Static Parameters'!$A$3:$B$9,2)*VLOOKUP($A66,'Growth Scenarios'!$E$3:$I$80,MATCH('Scenario Picker'!$B$3,'Growth Scenarios'!$F$2:$I$2,0)+1)/1000000000*VLOOKUP($A66,'Growth Scenarios'!$A$3:$D$80,MATCH('Scenario Picker'!$B$2,'Growth Scenarios'!$B$2:$D$2,0)+1)</f>
        <v>1.1613926016915952</v>
      </c>
      <c r="O66" s="21">
        <f ca="1">(1-'Electrification Scenario'!G72)*VLOOKUP(G$3,'Static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P66" s="21">
        <f ca="1">(1-'Electrification Scenario'!H72)*VLOOKUP(H$3,'Static Parameters'!$A$3:$B$9,2)*VLOOKUP($A66,'Growth Scenarios'!$E$3:$I$80,MATCH('Scenario Picker'!$B$3,'Growth Scenarios'!$F$2:$I$2,0)+1)/1000000000*VLOOKUP($A66,'Growth Scenarios'!$A$3:$D$80,MATCH('Scenario Picker'!$B$2,'Growth Scenarios'!$B$2:$D$2,0)+1)</f>
        <v>21.041701254177131</v>
      </c>
      <c r="Q66" s="28">
        <f t="shared" ca="1" si="1"/>
        <v>24.935782330437185</v>
      </c>
      <c r="R66" s="28">
        <f t="shared" ca="1" si="2"/>
        <v>204.66470330280472</v>
      </c>
    </row>
    <row r="67" spans="1:18" ht="15" x14ac:dyDescent="0.35">
      <c r="A67" s="31">
        <v>2085</v>
      </c>
      <c r="B67" s="25">
        <f ca="1">'Electrification Scenario'!B73*(1-'Electrification Scenario'!B$8*('Electrification Scenario'!B73-'Electrification Scenario'!B$4)/('Electrification Scenario'!B$5-'Electrification Scenario'!B$4))*VLOOKUP(B$3,'Static Parameters'!$A$3:$B$9,2)*VLOOKUP($A67,'Growth Scenarios'!$E$3:$I$80,MATCH('Scenario Picker'!$B$3,'Growth Scenarios'!$F$2:$I$2,0)+1)/1000000000*VLOOKUP($A67,'Growth Scenarios'!$A$3:$D$80,MATCH('Scenario Picker'!$B$2,'Growth Scenarios'!$B$2:$D$2,0)+1)</f>
        <v>3.1218018886507086</v>
      </c>
      <c r="C67" s="21">
        <f ca="1">'Electrification Scenario'!C73*(1-'Electrification Scenario'!C$8*('Electrification Scenario'!C73-'Electrification Scenario'!C$4)/('Electrification Scenario'!C$5-'Electrification Scenario'!C$4))*VLOOKUP(C$3,'Static Parameters'!$A$3:$B$9,2)*VLOOKUP($A67,'Growth Scenarios'!$E$3:$I$80,MATCH('Scenario Picker'!$B$3,'Growth Scenarios'!$F$2:$I$2,0)+1)/1000000000*VLOOKUP($A67,'Growth Scenarios'!$A$3:$D$80,MATCH('Scenario Picker'!$B$2,'Growth Scenarios'!$B$2:$D$2,0)+1)</f>
        <v>19.077678208421002</v>
      </c>
      <c r="D67" s="21">
        <f ca="1">'Electrification Scenario'!D73*(1-'Electrification Scenario'!D$8*('Electrification Scenario'!D73-'Electrification Scenario'!D$4)/('Electrification Scenario'!D$5-'Electrification Scenario'!D$4))*VLOOKUP(D$3,'Static Parameters'!$A$3:$B$9,2)*VLOOKUP($A67,'Growth Scenarios'!$E$3:$I$80,MATCH('Scenario Picker'!$B$3,'Growth Scenarios'!$F$2:$I$2,0)+1)/1000000000*VLOOKUP($A67,'Growth Scenarios'!$A$3:$D$80,MATCH('Scenario Picker'!$B$2,'Growth Scenarios'!$B$2:$D$2,0)+1)</f>
        <v>0.13007507869377954</v>
      </c>
      <c r="E67" s="21">
        <f ca="1">'Electrification Scenario'!E73*(1-'Electrification Scenario'!E$8*('Electrification Scenario'!E73-'Electrification Scenario'!E$4)/('Electrification Scenario'!E$5-'Electrification Scenario'!E$4))*VLOOKUP(E$3,'Static Parameters'!$A$3:$B$9,2)*VLOOKUP($A67,'Growth Scenarios'!$E$3:$I$80,MATCH('Scenario Picker'!$B$3,'Growth Scenarios'!$F$2:$I$2,0)+1)/1000000000*VLOOKUP($A67,'Growth Scenarios'!$A$3:$D$80,MATCH('Scenario Picker'!$B$2,'Growth Scenarios'!$B$2:$D$2,0)+1)</f>
        <v>73.058835866339507</v>
      </c>
      <c r="F67" s="21">
        <f ca="1">'Electrification Scenario'!F73*(1-'Electrification Scenario'!F$8*('Electrification Scenario'!F73-'Electrification Scenario'!F$4)/('Electrification Scenario'!F$5-'Electrification Scenario'!F$4))*VLOOKUP(F$3,'Static Parameters'!$A$3:$B$9,2)*VLOOKUP($A67,'Growth Scenarios'!$E$3:$I$80,MATCH('Scenario Picker'!$B$3,'Growth Scenarios'!$F$2:$I$2,0)+1)/1000000000*VLOOKUP($A67,'Growth Scenarios'!$A$3:$D$80,MATCH('Scenario Picker'!$B$2,'Growth Scenarios'!$B$2:$D$2,0)+1)</f>
        <v>2.764095422242816</v>
      </c>
      <c r="G67" s="21">
        <f ca="1">'Electrification Scenario'!G73*(1-'Electrification Scenario'!G$8*('Electrification Scenario'!G73-'Electrification Scenario'!G$4)/('Electrification Scenario'!G$5-'Electrification Scenario'!G$4))*VLOOKUP(G$3,'Static Parameters'!$A$3:$B$9,2)*VLOOKUP($A67,'Growth Scenarios'!$E$3:$I$80,MATCH('Scenario Picker'!$B$3,'Growth Scenarios'!$F$2:$I$2,0)+1)/1000000000*VLOOKUP($A67,'Growth Scenarios'!$A$3:$D$80,MATCH('Scenario Picker'!$B$2,'Growth Scenarios'!$B$2:$D$2,0)+1)</f>
        <v>48.778154510167333</v>
      </c>
      <c r="H67" s="21">
        <f ca="1">'Electrification Scenario'!H73*(1-'Electrification Scenario'!H$8*('Electrification Scenario'!H73-'Electrification Scenario'!H$4)/('Electrification Scenario'!H$5-'Electrification Scenario'!H$4))*VLOOKUP(H$3,'Static Parameters'!$A$3:$B$9,2)*VLOOKUP($A67,'Growth Scenarios'!$E$3:$I$80,MATCH('Scenario Picker'!$B$3,'Growth Scenarios'!$F$2:$I$2,0)+1)/1000000000*VLOOKUP($A67,'Growth Scenarios'!$A$3:$D$80,MATCH('Scenario Picker'!$B$2,'Growth Scenarios'!$B$2:$D$2,0)+1)</f>
        <v>31.299315810690704</v>
      </c>
      <c r="I67" s="28">
        <f t="shared" ca="1" si="0"/>
        <v>178.22995678520584</v>
      </c>
      <c r="J67" s="25">
        <f ca="1">(1-'Electrification Scenario'!B73)*VLOOKUP(B$3,'Static Parameters'!$A$3:$B$9,2)*VLOOKUP($A67,'Growth Scenarios'!$E$3:$I$80,MATCH('Scenario Picker'!$B$3,'Growth Scenarios'!$F$2:$I$2,0)+1)/1000000000*VLOOKUP($A67,'Growth Scenarios'!$A$3:$D$80,MATCH('Scenario Picker'!$B$2,'Growth Scenarios'!$B$2:$D$2,0)+1)</f>
        <v>2.6015015738755909</v>
      </c>
      <c r="K67" s="21">
        <f ca="1">(1-'Electrification Scenario'!C73)*VLOOKUP(C$3,'Static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L67" s="21">
        <f ca="1">(1-'Electrification Scenario'!D73)*VLOOKUP(D$3,'Static Parameters'!$A$3:$B$9,2)*VLOOKUP($A67,'Growth Scenarios'!$E$3:$I$80,MATCH('Scenario Picker'!$B$3,'Growth Scenarios'!$F$2:$I$2,0)+1)/1000000000*VLOOKUP($A67,'Growth Scenarios'!$A$3:$D$80,MATCH('Scenario Picker'!$B$2,'Growth Scenarios'!$B$2:$D$2,0)+1)</f>
        <v>0.10839589891148296</v>
      </c>
      <c r="M67" s="21">
        <f ca="1">(1-'Electrification Scenario'!E73)*VLOOKUP(E$3,'Static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N67" s="21">
        <f ca="1">(1-'Electrification Scenario'!F73)*VLOOKUP(F$3,'Static Parameters'!$A$3:$B$9,2)*VLOOKUP($A67,'Growth Scenarios'!$E$3:$I$80,MATCH('Scenario Picker'!$B$3,'Growth Scenarios'!$F$2:$I$2,0)+1)/1000000000*VLOOKUP($A67,'Growth Scenarios'!$A$3:$D$80,MATCH('Scenario Picker'!$B$2,'Growth Scenarios'!$B$2:$D$2,0)+1)</f>
        <v>1.1517064259345062</v>
      </c>
      <c r="O67" s="21">
        <f ca="1">(1-'Electrification Scenario'!G73)*VLOOKUP(G$3,'Static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P67" s="21">
        <f ca="1">(1-'Electrification Scenario'!H73)*VLOOKUP(H$3,'Static Parameters'!$A$3:$B$9,2)*VLOOKUP($A67,'Growth Scenarios'!$E$3:$I$80,MATCH('Scenario Picker'!$B$3,'Growth Scenarios'!$F$2:$I$2,0)+1)/1000000000*VLOOKUP($A67,'Growth Scenarios'!$A$3:$D$80,MATCH('Scenario Picker'!$B$2,'Growth Scenarios'!$B$2:$D$2,0)+1)</f>
        <v>20.866210540460468</v>
      </c>
      <c r="Q67" s="28">
        <f t="shared" ca="1" si="1"/>
        <v>24.727814439182048</v>
      </c>
      <c r="R67" s="28">
        <f t="shared" ca="1" si="2"/>
        <v>202.9577712243879</v>
      </c>
    </row>
    <row r="68" spans="1:18" ht="15" x14ac:dyDescent="0.35">
      <c r="A68" s="31">
        <v>2086</v>
      </c>
      <c r="B68" s="25">
        <f ca="1">'Electrification Scenario'!B74*(1-'Electrification Scenario'!B$8*('Electrification Scenario'!B74-'Electrification Scenario'!B$4)/('Electrification Scenario'!B$5-'Electrification Scenario'!B$4))*VLOOKUP(B$3,'Static Parameters'!$A$3:$B$9,2)*VLOOKUP($A68,'Growth Scenarios'!$E$3:$I$80,MATCH('Scenario Picker'!$B$3,'Growth Scenarios'!$F$2:$I$2,0)+1)/1000000000*VLOOKUP($A68,'Growth Scenarios'!$A$3:$D$80,MATCH('Scenario Picker'!$B$2,'Growth Scenarios'!$B$2:$D$2,0)+1)</f>
        <v>3.0968548007428418</v>
      </c>
      <c r="C68" s="21">
        <f ca="1">'Electrification Scenario'!C74*(1-'Electrification Scenario'!C$8*('Electrification Scenario'!C74-'Electrification Scenario'!C$4)/('Electrification Scenario'!C$5-'Electrification Scenario'!C$4))*VLOOKUP(C$3,'Static Parameters'!$A$3:$B$9,2)*VLOOKUP($A68,'Growth Scenarios'!$E$3:$I$80,MATCH('Scenario Picker'!$B$3,'Growth Scenarios'!$F$2:$I$2,0)+1)/1000000000*VLOOKUP($A68,'Growth Scenarios'!$A$3:$D$80,MATCH('Scenario Picker'!$B$2,'Growth Scenarios'!$B$2:$D$2,0)+1)</f>
        <v>18.925223782317371</v>
      </c>
      <c r="D68" s="21">
        <f ca="1">'Electrification Scenario'!D74*(1-'Electrification Scenario'!D$8*('Electrification Scenario'!D74-'Electrification Scenario'!D$4)/('Electrification Scenario'!D$5-'Electrification Scenario'!D$4))*VLOOKUP(D$3,'Static Parameters'!$A$3:$B$9,2)*VLOOKUP($A68,'Growth Scenarios'!$E$3:$I$80,MATCH('Scenario Picker'!$B$3,'Growth Scenarios'!$F$2:$I$2,0)+1)/1000000000*VLOOKUP($A68,'Growth Scenarios'!$A$3:$D$80,MATCH('Scenario Picker'!$B$2,'Growth Scenarios'!$B$2:$D$2,0)+1)</f>
        <v>0.12903561669761845</v>
      </c>
      <c r="E68" s="21">
        <f ca="1">'Electrification Scenario'!E74*(1-'Electrification Scenario'!E$8*('Electrification Scenario'!E74-'Electrification Scenario'!E$4)/('Electrification Scenario'!E$5-'Electrification Scenario'!E$4))*VLOOKUP(E$3,'Static Parameters'!$A$3:$B$9,2)*VLOOKUP($A68,'Growth Scenarios'!$E$3:$I$80,MATCH('Scenario Picker'!$B$3,'Growth Scenarios'!$F$2:$I$2,0)+1)/1000000000*VLOOKUP($A68,'Growth Scenarios'!$A$3:$D$80,MATCH('Scenario Picker'!$B$2,'Growth Scenarios'!$B$2:$D$2,0)+1)</f>
        <v>72.47500471182903</v>
      </c>
      <c r="F68" s="21">
        <f ca="1">'Electrification Scenario'!F74*(1-'Electrification Scenario'!F$8*('Electrification Scenario'!F74-'Electrification Scenario'!F$4)/('Electrification Scenario'!F$5-'Electrification Scenario'!F$4))*VLOOKUP(F$3,'Static Parameters'!$A$3:$B$9,2)*VLOOKUP($A68,'Growth Scenarios'!$E$3:$I$80,MATCH('Scenario Picker'!$B$3,'Growth Scenarios'!$F$2:$I$2,0)+1)/1000000000*VLOOKUP($A68,'Growth Scenarios'!$A$3:$D$80,MATCH('Scenario Picker'!$B$2,'Growth Scenarios'!$B$2:$D$2,0)+1)</f>
        <v>2.7420068548243921</v>
      </c>
      <c r="G68" s="21">
        <f ca="1">'Electrification Scenario'!G74*(1-'Electrification Scenario'!G$8*('Electrification Scenario'!G74-'Electrification Scenario'!G$4)/('Electrification Scenario'!G$5-'Electrification Scenario'!G$4))*VLOOKUP(G$3,'Static Parameters'!$A$3:$B$9,2)*VLOOKUP($A68,'Growth Scenarios'!$E$3:$I$80,MATCH('Scenario Picker'!$B$3,'Growth Scenarios'!$F$2:$I$2,0)+1)/1000000000*VLOOKUP($A68,'Growth Scenarios'!$A$3:$D$80,MATCH('Scenario Picker'!$B$2,'Growth Scenarios'!$B$2:$D$2,0)+1)</f>
        <v>48.388356261606923</v>
      </c>
      <c r="H68" s="21">
        <f ca="1">'Electrification Scenario'!H74*(1-'Electrification Scenario'!H$8*('Electrification Scenario'!H74-'Electrification Scenario'!H$4)/('Electrification Scenario'!H$5-'Electrification Scenario'!H$4))*VLOOKUP(H$3,'Static Parameters'!$A$3:$B$9,2)*VLOOKUP($A68,'Growth Scenarios'!$E$3:$I$80,MATCH('Scenario Picker'!$B$3,'Growth Scenarios'!$F$2:$I$2,0)+1)/1000000000*VLOOKUP($A68,'Growth Scenarios'!$A$3:$D$80,MATCH('Scenario Picker'!$B$2,'Growth Scenarios'!$B$2:$D$2,0)+1)</f>
        <v>31.04919526786443</v>
      </c>
      <c r="I68" s="28">
        <f t="shared" ca="1" si="0"/>
        <v>176.80567729588262</v>
      </c>
      <c r="J68" s="25">
        <f ca="1">(1-'Electrification Scenario'!B74)*VLOOKUP(B$3,'Static Parameters'!$A$3:$B$9,2)*VLOOKUP($A68,'Growth Scenarios'!$E$3:$I$80,MATCH('Scenario Picker'!$B$3,'Growth Scenarios'!$F$2:$I$2,0)+1)/1000000000*VLOOKUP($A68,'Growth Scenarios'!$A$3:$D$80,MATCH('Scenario Picker'!$B$2,'Growth Scenarios'!$B$2:$D$2,0)+1)</f>
        <v>2.580712333952369</v>
      </c>
      <c r="K68" s="21">
        <f ca="1">(1-'Electrification Scenario'!C74)*VLOOKUP(C$3,'Static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L68" s="21">
        <f ca="1">(1-'Electrification Scenario'!D74)*VLOOKUP(D$3,'Static Parameters'!$A$3:$B$9,2)*VLOOKUP($A68,'Growth Scenarios'!$E$3:$I$80,MATCH('Scenario Picker'!$B$3,'Growth Scenarios'!$F$2:$I$2,0)+1)/1000000000*VLOOKUP($A68,'Growth Scenarios'!$A$3:$D$80,MATCH('Scenario Picker'!$B$2,'Growth Scenarios'!$B$2:$D$2,0)+1)</f>
        <v>0.10752968058134871</v>
      </c>
      <c r="M68" s="21">
        <f ca="1">(1-'Electrification Scenario'!E74)*VLOOKUP(E$3,'Static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N68" s="21">
        <f ca="1">(1-'Electrification Scenario'!F74)*VLOOKUP(F$3,'Static Parameters'!$A$3:$B$9,2)*VLOOKUP($A68,'Growth Scenarios'!$E$3:$I$80,MATCH('Scenario Picker'!$B$3,'Growth Scenarios'!$F$2:$I$2,0)+1)/1000000000*VLOOKUP($A68,'Growth Scenarios'!$A$3:$D$80,MATCH('Scenario Picker'!$B$2,'Growth Scenarios'!$B$2:$D$2,0)+1)</f>
        <v>1.14250285617683</v>
      </c>
      <c r="O68" s="21">
        <f ca="1">(1-'Electrification Scenario'!G74)*VLOOKUP(G$3,'Static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P68" s="21">
        <f ca="1">(1-'Electrification Scenario'!H74)*VLOOKUP(H$3,'Static Parameters'!$A$3:$B$9,2)*VLOOKUP($A68,'Growth Scenarios'!$E$3:$I$80,MATCH('Scenario Picker'!$B$3,'Growth Scenarios'!$F$2:$I$2,0)+1)/1000000000*VLOOKUP($A68,'Growth Scenarios'!$A$3:$D$80,MATCH('Scenario Picker'!$B$2,'Growth Scenarios'!$B$2:$D$2,0)+1)</f>
        <v>20.699463511909627</v>
      </c>
      <c r="Q68" s="28">
        <f t="shared" ca="1" si="1"/>
        <v>24.530208382620174</v>
      </c>
      <c r="R68" s="28">
        <f t="shared" ca="1" si="2"/>
        <v>201.33588567850279</v>
      </c>
    </row>
    <row r="69" spans="1:18" ht="15" x14ac:dyDescent="0.35">
      <c r="A69" s="31">
        <v>2087</v>
      </c>
      <c r="B69" s="25">
        <f ca="1">'Electrification Scenario'!B75*(1-'Electrification Scenario'!B$8*('Electrification Scenario'!B75-'Electrification Scenario'!B$4)/('Electrification Scenario'!B$5-'Electrification Scenario'!B$4))*VLOOKUP(B$3,'Static Parameters'!$A$3:$B$9,2)*VLOOKUP($A69,'Growth Scenarios'!$E$3:$I$80,MATCH('Scenario Picker'!$B$3,'Growth Scenarios'!$F$2:$I$2,0)+1)/1000000000*VLOOKUP($A69,'Growth Scenarios'!$A$3:$D$80,MATCH('Scenario Picker'!$B$2,'Growth Scenarios'!$B$2:$D$2,0)+1)</f>
        <v>3.0732014805314107</v>
      </c>
      <c r="C69" s="21">
        <f ca="1">'Electrification Scenario'!C75*(1-'Electrification Scenario'!C$8*('Electrification Scenario'!C75-'Electrification Scenario'!C$4)/('Electrification Scenario'!C$5-'Electrification Scenario'!C$4))*VLOOKUP(C$3,'Static Parameters'!$A$3:$B$9,2)*VLOOKUP($A69,'Growth Scenarios'!$E$3:$I$80,MATCH('Scenario Picker'!$B$3,'Growth Scenarios'!$F$2:$I$2,0)+1)/1000000000*VLOOKUP($A69,'Growth Scenarios'!$A$3:$D$80,MATCH('Scenario Picker'!$B$2,'Growth Scenarios'!$B$2:$D$2,0)+1)</f>
        <v>18.780675714358622</v>
      </c>
      <c r="D69" s="21">
        <f ca="1">'Electrification Scenario'!D75*(1-'Electrification Scenario'!D$8*('Electrification Scenario'!D75-'Electrification Scenario'!D$4)/('Electrification Scenario'!D$5-'Electrification Scenario'!D$4))*VLOOKUP(D$3,'Static Parameters'!$A$3:$B$9,2)*VLOOKUP($A69,'Growth Scenarios'!$E$3:$I$80,MATCH('Scenario Picker'!$B$3,'Growth Scenarios'!$F$2:$I$2,0)+1)/1000000000*VLOOKUP($A69,'Growth Scenarios'!$A$3:$D$80,MATCH('Scenario Picker'!$B$2,'Growth Scenarios'!$B$2:$D$2,0)+1)</f>
        <v>0.12805006168880878</v>
      </c>
      <c r="E69" s="21">
        <f ca="1">'Electrification Scenario'!E75*(1-'Electrification Scenario'!E$8*('Electrification Scenario'!E75-'Electrification Scenario'!E$4)/('Electrification Scenario'!E$5-'Electrification Scenario'!E$4))*VLOOKUP(E$3,'Static Parameters'!$A$3:$B$9,2)*VLOOKUP($A69,'Growth Scenarios'!$E$3:$I$80,MATCH('Scenario Picker'!$B$3,'Growth Scenarios'!$F$2:$I$2,0)+1)/1000000000*VLOOKUP($A69,'Growth Scenarios'!$A$3:$D$80,MATCH('Scenario Picker'!$B$2,'Growth Scenarios'!$B$2:$D$2,0)+1)</f>
        <v>71.92145131521427</v>
      </c>
      <c r="F69" s="21">
        <f ca="1">'Electrification Scenario'!F75*(1-'Electrification Scenario'!F$8*('Electrification Scenario'!F75-'Electrification Scenario'!F$4)/('Electrification Scenario'!F$5-'Electrification Scenario'!F$4))*VLOOKUP(F$3,'Static Parameters'!$A$3:$B$9,2)*VLOOKUP($A69,'Growth Scenarios'!$E$3:$I$80,MATCH('Scenario Picker'!$B$3,'Growth Scenarios'!$F$2:$I$2,0)+1)/1000000000*VLOOKUP($A69,'Growth Scenarios'!$A$3:$D$80,MATCH('Scenario Picker'!$B$2,'Growth Scenarios'!$B$2:$D$2,0)+1)</f>
        <v>2.7210638108871876</v>
      </c>
      <c r="G69" s="21">
        <f ca="1">'Electrification Scenario'!G75*(1-'Electrification Scenario'!G$8*('Electrification Scenario'!G75-'Electrification Scenario'!G$4)/('Electrification Scenario'!G$5-'Electrification Scenario'!G$4))*VLOOKUP(G$3,'Static Parameters'!$A$3:$B$9,2)*VLOOKUP($A69,'Growth Scenarios'!$E$3:$I$80,MATCH('Scenario Picker'!$B$3,'Growth Scenarios'!$F$2:$I$2,0)+1)/1000000000*VLOOKUP($A69,'Growth Scenarios'!$A$3:$D$80,MATCH('Scenario Picker'!$B$2,'Growth Scenarios'!$B$2:$D$2,0)+1)</f>
        <v>48.018773133303291</v>
      </c>
      <c r="H69" s="21">
        <f ca="1">'Electrification Scenario'!H75*(1-'Electrification Scenario'!H$8*('Electrification Scenario'!H75-'Electrification Scenario'!H$4)/('Electrification Scenario'!H$5-'Electrification Scenario'!H$4))*VLOOKUP(H$3,'Static Parameters'!$A$3:$B$9,2)*VLOOKUP($A69,'Growth Scenarios'!$E$3:$I$80,MATCH('Scenario Picker'!$B$3,'Growth Scenarios'!$F$2:$I$2,0)+1)/1000000000*VLOOKUP($A69,'Growth Scenarios'!$A$3:$D$80,MATCH('Scenario Picker'!$B$2,'Growth Scenarios'!$B$2:$D$2,0)+1)</f>
        <v>30.812046093869615</v>
      </c>
      <c r="I69" s="28">
        <f t="shared" ca="1" si="0"/>
        <v>175.45526160985321</v>
      </c>
      <c r="J69" s="25">
        <f ca="1">(1-'Electrification Scenario'!B75)*VLOOKUP(B$3,'Static Parameters'!$A$3:$B$9,2)*VLOOKUP($A69,'Growth Scenarios'!$E$3:$I$80,MATCH('Scenario Picker'!$B$3,'Growth Scenarios'!$F$2:$I$2,0)+1)/1000000000*VLOOKUP($A69,'Growth Scenarios'!$A$3:$D$80,MATCH('Scenario Picker'!$B$2,'Growth Scenarios'!$B$2:$D$2,0)+1)</f>
        <v>2.5610012337761763</v>
      </c>
      <c r="K69" s="21">
        <f ca="1">(1-'Electrification Scenario'!C75)*VLOOKUP(C$3,'Static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L69" s="21">
        <f ca="1">(1-'Electrification Scenario'!D75)*VLOOKUP(D$3,'Static Parameters'!$A$3:$B$9,2)*VLOOKUP($A69,'Growth Scenarios'!$E$3:$I$80,MATCH('Scenario Picker'!$B$3,'Growth Scenarios'!$F$2:$I$2,0)+1)/1000000000*VLOOKUP($A69,'Growth Scenarios'!$A$3:$D$80,MATCH('Scenario Picker'!$B$2,'Growth Scenarios'!$B$2:$D$2,0)+1)</f>
        <v>0.106708384740674</v>
      </c>
      <c r="M69" s="21">
        <f ca="1">(1-'Electrification Scenario'!E75)*VLOOKUP(E$3,'Static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N69" s="21">
        <f ca="1">(1-'Electrification Scenario'!F75)*VLOOKUP(F$3,'Static Parameters'!$A$3:$B$9,2)*VLOOKUP($A69,'Growth Scenarios'!$E$3:$I$80,MATCH('Scenario Picker'!$B$3,'Growth Scenarios'!$F$2:$I$2,0)+1)/1000000000*VLOOKUP($A69,'Growth Scenarios'!$A$3:$D$80,MATCH('Scenario Picker'!$B$2,'Growth Scenarios'!$B$2:$D$2,0)+1)</f>
        <v>1.1337765878696613</v>
      </c>
      <c r="O69" s="21">
        <f ca="1">(1-'Electrification Scenario'!G75)*VLOOKUP(G$3,'Static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P69" s="21">
        <f ca="1">(1-'Electrification Scenario'!H75)*VLOOKUP(H$3,'Static Parameters'!$A$3:$B$9,2)*VLOOKUP($A69,'Growth Scenarios'!$E$3:$I$80,MATCH('Scenario Picker'!$B$3,'Growth Scenarios'!$F$2:$I$2,0)+1)/1000000000*VLOOKUP($A69,'Growth Scenarios'!$A$3:$D$80,MATCH('Scenario Picker'!$B$2,'Growth Scenarios'!$B$2:$D$2,0)+1)</f>
        <v>20.541364062579746</v>
      </c>
      <c r="Q69" s="28">
        <f t="shared" ca="1" si="1"/>
        <v>24.342850268966256</v>
      </c>
      <c r="R69" s="28">
        <f t="shared" ca="1" si="2"/>
        <v>199.79811187881947</v>
      </c>
    </row>
    <row r="70" spans="1:18" ht="15" x14ac:dyDescent="0.35">
      <c r="A70" s="31">
        <v>2088</v>
      </c>
      <c r="B70" s="25">
        <f ca="1">'Electrification Scenario'!B76*(1-'Electrification Scenario'!B$8*('Electrification Scenario'!B76-'Electrification Scenario'!B$4)/('Electrification Scenario'!B$5-'Electrification Scenario'!B$4))*VLOOKUP(B$3,'Static Parameters'!$A$3:$B$9,2)*VLOOKUP($A70,'Growth Scenarios'!$E$3:$I$80,MATCH('Scenario Picker'!$B$3,'Growth Scenarios'!$F$2:$I$2,0)+1)/1000000000*VLOOKUP($A70,'Growth Scenarios'!$A$3:$D$80,MATCH('Scenario Picker'!$B$2,'Growth Scenarios'!$B$2:$D$2,0)+1)</f>
        <v>3.0508097784737154</v>
      </c>
      <c r="C70" s="21">
        <f ca="1">'Electrification Scenario'!C76*(1-'Electrification Scenario'!C$8*('Electrification Scenario'!C76-'Electrification Scenario'!C$4)/('Electrification Scenario'!C$5-'Electrification Scenario'!C$4))*VLOOKUP(C$3,'Static Parameters'!$A$3:$B$9,2)*VLOOKUP($A70,'Growth Scenarios'!$E$3:$I$80,MATCH('Scenario Picker'!$B$3,'Growth Scenarios'!$F$2:$I$2,0)+1)/1000000000*VLOOKUP($A70,'Growth Scenarios'!$A$3:$D$80,MATCH('Scenario Picker'!$B$2,'Growth Scenarios'!$B$2:$D$2,0)+1)</f>
        <v>18.643837535117154</v>
      </c>
      <c r="D70" s="21">
        <f ca="1">'Electrification Scenario'!D76*(1-'Electrification Scenario'!D$8*('Electrification Scenario'!D76-'Electrification Scenario'!D$4)/('Electrification Scenario'!D$5-'Electrification Scenario'!D$4))*VLOOKUP(D$3,'Static Parameters'!$A$3:$B$9,2)*VLOOKUP($A70,'Growth Scenarios'!$E$3:$I$80,MATCH('Scenario Picker'!$B$3,'Growth Scenarios'!$F$2:$I$2,0)+1)/1000000000*VLOOKUP($A70,'Growth Scenarios'!$A$3:$D$80,MATCH('Scenario Picker'!$B$2,'Growth Scenarios'!$B$2:$D$2,0)+1)</f>
        <v>0.12711707410307146</v>
      </c>
      <c r="E70" s="21">
        <f ca="1">'Electrification Scenario'!E76*(1-'Electrification Scenario'!E$8*('Electrification Scenario'!E76-'Electrification Scenario'!E$4)/('Electrification Scenario'!E$5-'Electrification Scenario'!E$4))*VLOOKUP(E$3,'Static Parameters'!$A$3:$B$9,2)*VLOOKUP($A70,'Growth Scenarios'!$E$3:$I$80,MATCH('Scenario Picker'!$B$3,'Growth Scenarios'!$F$2:$I$2,0)+1)/1000000000*VLOOKUP($A70,'Growth Scenarios'!$A$3:$D$80,MATCH('Scenario Picker'!$B$2,'Growth Scenarios'!$B$2:$D$2,0)+1)</f>
        <v>71.397423287891826</v>
      </c>
      <c r="F70" s="21">
        <f ca="1">'Electrification Scenario'!F76*(1-'Electrification Scenario'!F$8*('Electrification Scenario'!F76-'Electrification Scenario'!F$4)/('Electrification Scenario'!F$5-'Electrification Scenario'!F$4))*VLOOKUP(F$3,'Static Parameters'!$A$3:$B$9,2)*VLOOKUP($A70,'Growth Scenarios'!$E$3:$I$80,MATCH('Scenario Picker'!$B$3,'Growth Scenarios'!$F$2:$I$2,0)+1)/1000000000*VLOOKUP($A70,'Growth Scenarios'!$A$3:$D$80,MATCH('Scenario Picker'!$B$2,'Growth Scenarios'!$B$2:$D$2,0)+1)</f>
        <v>2.7012378246902693</v>
      </c>
      <c r="G70" s="21">
        <f ca="1">'Electrification Scenario'!G76*(1-'Electrification Scenario'!G$8*('Electrification Scenario'!G76-'Electrification Scenario'!G$4)/('Electrification Scenario'!G$5-'Electrification Scenario'!G$4))*VLOOKUP(G$3,'Static Parameters'!$A$3:$B$9,2)*VLOOKUP($A70,'Growth Scenarios'!$E$3:$I$80,MATCH('Scenario Picker'!$B$3,'Growth Scenarios'!$F$2:$I$2,0)+1)/1000000000*VLOOKUP($A70,'Growth Scenarios'!$A$3:$D$80,MATCH('Scenario Picker'!$B$2,'Growth Scenarios'!$B$2:$D$2,0)+1)</f>
        <v>47.668902788651813</v>
      </c>
      <c r="H70" s="21">
        <f ca="1">'Electrification Scenario'!H76*(1-'Electrification Scenario'!H$8*('Electrification Scenario'!H76-'Electrification Scenario'!H$4)/('Electrification Scenario'!H$5-'Electrification Scenario'!H$4))*VLOOKUP(H$3,'Static Parameters'!$A$3:$B$9,2)*VLOOKUP($A70,'Growth Scenarios'!$E$3:$I$80,MATCH('Scenario Picker'!$B$3,'Growth Scenarios'!$F$2:$I$2,0)+1)/1000000000*VLOOKUP($A70,'Growth Scenarios'!$A$3:$D$80,MATCH('Scenario Picker'!$B$2,'Growth Scenarios'!$B$2:$D$2,0)+1)</f>
        <v>30.587545956051578</v>
      </c>
      <c r="I70" s="28">
        <f t="shared" ref="I70:I82" ca="1" si="3">SUM(B70:H70)</f>
        <v>174.17687424497942</v>
      </c>
      <c r="J70" s="25">
        <f ca="1">(1-'Electrification Scenario'!B76)*VLOOKUP(B$3,'Static Parameters'!$A$3:$B$9,2)*VLOOKUP($A70,'Growth Scenarios'!$E$3:$I$80,MATCH('Scenario Picker'!$B$3,'Growth Scenarios'!$F$2:$I$2,0)+1)/1000000000*VLOOKUP($A70,'Growth Scenarios'!$A$3:$D$80,MATCH('Scenario Picker'!$B$2,'Growth Scenarios'!$B$2:$D$2,0)+1)</f>
        <v>2.5423414820614298</v>
      </c>
      <c r="K70" s="21">
        <f ca="1">(1-'Electrification Scenario'!C76)*VLOOKUP(C$3,'Static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L70" s="21">
        <f ca="1">(1-'Electrification Scenario'!D76)*VLOOKUP(D$3,'Static Parameters'!$A$3:$B$9,2)*VLOOKUP($A70,'Growth Scenarios'!$E$3:$I$80,MATCH('Scenario Picker'!$B$3,'Growth Scenarios'!$F$2:$I$2,0)+1)/1000000000*VLOOKUP($A70,'Growth Scenarios'!$A$3:$D$80,MATCH('Scenario Picker'!$B$2,'Growth Scenarios'!$B$2:$D$2,0)+1)</f>
        <v>0.10593089508589291</v>
      </c>
      <c r="M70" s="21">
        <f ca="1">(1-'Electrification Scenario'!E76)*VLOOKUP(E$3,'Static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N70" s="21">
        <f ca="1">(1-'Electrification Scenario'!F76)*VLOOKUP(F$3,'Static Parameters'!$A$3:$B$9,2)*VLOOKUP($A70,'Growth Scenarios'!$E$3:$I$80,MATCH('Scenario Picker'!$B$3,'Growth Scenarios'!$F$2:$I$2,0)+1)/1000000000*VLOOKUP($A70,'Growth Scenarios'!$A$3:$D$80,MATCH('Scenario Picker'!$B$2,'Growth Scenarios'!$B$2:$D$2,0)+1)</f>
        <v>1.1255157602876122</v>
      </c>
      <c r="O70" s="21">
        <f ca="1">(1-'Electrification Scenario'!G76)*VLOOKUP(G$3,'Static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P70" s="21">
        <f ca="1">(1-'Electrification Scenario'!H76)*VLOOKUP(H$3,'Static Parameters'!$A$3:$B$9,2)*VLOOKUP($A70,'Growth Scenarios'!$E$3:$I$80,MATCH('Scenario Picker'!$B$3,'Growth Scenarios'!$F$2:$I$2,0)+1)/1000000000*VLOOKUP($A70,'Growth Scenarios'!$A$3:$D$80,MATCH('Scenario Picker'!$B$2,'Growth Scenarios'!$B$2:$D$2,0)+1)</f>
        <v>20.391697304034384</v>
      </c>
      <c r="Q70" s="28">
        <f t="shared" ref="Q70:Q82" ca="1" si="4">SUM(J70:P70)</f>
        <v>24.165485441469318</v>
      </c>
      <c r="R70" s="28">
        <f t="shared" ref="R70:R82" ca="1" si="5">Q70+I70</f>
        <v>198.34235968644873</v>
      </c>
    </row>
    <row r="71" spans="1:18" ht="15" x14ac:dyDescent="0.35">
      <c r="A71" s="31">
        <v>2089</v>
      </c>
      <c r="B71" s="25">
        <f ca="1">'Electrification Scenario'!B77*(1-'Electrification Scenario'!B$8*('Electrification Scenario'!B77-'Electrification Scenario'!B$4)/('Electrification Scenario'!B$5-'Electrification Scenario'!B$4))*VLOOKUP(B$3,'Static Parameters'!$A$3:$B$9,2)*VLOOKUP($A71,'Growth Scenarios'!$E$3:$I$80,MATCH('Scenario Picker'!$B$3,'Growth Scenarios'!$F$2:$I$2,0)+1)/1000000000*VLOOKUP($A71,'Growth Scenarios'!$A$3:$D$80,MATCH('Scenario Picker'!$B$2,'Growth Scenarios'!$B$2:$D$2,0)+1)</f>
        <v>3.0296524588327141</v>
      </c>
      <c r="C71" s="21">
        <f ca="1">'Electrification Scenario'!C77*(1-'Electrification Scenario'!C$8*('Electrification Scenario'!C77-'Electrification Scenario'!C$4)/('Electrification Scenario'!C$5-'Electrification Scenario'!C$4))*VLOOKUP(C$3,'Static Parameters'!$A$3:$B$9,2)*VLOOKUP($A71,'Growth Scenarios'!$E$3:$I$80,MATCH('Scenario Picker'!$B$3,'Growth Scenarios'!$F$2:$I$2,0)+1)/1000000000*VLOOKUP($A71,'Growth Scenarios'!$A$3:$D$80,MATCH('Scenario Picker'!$B$2,'Growth Scenarios'!$B$2:$D$2,0)+1)</f>
        <v>18.514542803977697</v>
      </c>
      <c r="D71" s="21">
        <f ca="1">'Electrification Scenario'!D77*(1-'Electrification Scenario'!D$8*('Electrification Scenario'!D77-'Electrification Scenario'!D$4)/('Electrification Scenario'!D$5-'Electrification Scenario'!D$4))*VLOOKUP(D$3,'Static Parameters'!$A$3:$B$9,2)*VLOOKUP($A71,'Growth Scenarios'!$E$3:$I$80,MATCH('Scenario Picker'!$B$3,'Growth Scenarios'!$F$2:$I$2,0)+1)/1000000000*VLOOKUP($A71,'Growth Scenarios'!$A$3:$D$80,MATCH('Scenario Picker'!$B$2,'Growth Scenarios'!$B$2:$D$2,0)+1)</f>
        <v>0.12623551911802977</v>
      </c>
      <c r="E71" s="21">
        <f ca="1">'Electrification Scenario'!E77*(1-'Electrification Scenario'!E$8*('Electrification Scenario'!E77-'Electrification Scenario'!E$4)/('Electrification Scenario'!E$5-'Electrification Scenario'!E$4))*VLOOKUP(E$3,'Static Parameters'!$A$3:$B$9,2)*VLOOKUP($A71,'Growth Scenarios'!$E$3:$I$80,MATCH('Scenario Picker'!$B$3,'Growth Scenarios'!$F$2:$I$2,0)+1)/1000000000*VLOOKUP($A71,'Growth Scenarios'!$A$3:$D$80,MATCH('Scenario Picker'!$B$2,'Growth Scenarios'!$B$2:$D$2,0)+1)</f>
        <v>70.902283237960049</v>
      </c>
      <c r="F71" s="21">
        <f ca="1">'Electrification Scenario'!F77*(1-'Electrification Scenario'!F$8*('Electrification Scenario'!F77-'Electrification Scenario'!F$4)/('Electrification Scenario'!F$5-'Electrification Scenario'!F$4))*VLOOKUP(F$3,'Static Parameters'!$A$3:$B$9,2)*VLOOKUP($A71,'Growth Scenarios'!$E$3:$I$80,MATCH('Scenario Picker'!$B$3,'Growth Scenarios'!$F$2:$I$2,0)+1)/1000000000*VLOOKUP($A71,'Growth Scenarios'!$A$3:$D$80,MATCH('Scenario Picker'!$B$2,'Growth Scenarios'!$B$2:$D$2,0)+1)</f>
        <v>2.6825047812581331</v>
      </c>
      <c r="G71" s="21">
        <f ca="1">'Electrification Scenario'!G77*(1-'Electrification Scenario'!G$8*('Electrification Scenario'!G77-'Electrification Scenario'!G$4)/('Electrification Scenario'!G$5-'Electrification Scenario'!G$4))*VLOOKUP(G$3,'Static Parameters'!$A$3:$B$9,2)*VLOOKUP($A71,'Growth Scenarios'!$E$3:$I$80,MATCH('Scenario Picker'!$B$3,'Growth Scenarios'!$F$2:$I$2,0)+1)/1000000000*VLOOKUP($A71,'Growth Scenarios'!$A$3:$D$80,MATCH('Scenario Picker'!$B$2,'Growth Scenarios'!$B$2:$D$2,0)+1)</f>
        <v>47.338319669261161</v>
      </c>
      <c r="H71" s="21">
        <f ca="1">'Electrification Scenario'!H77*(1-'Electrification Scenario'!H$8*('Electrification Scenario'!H77-'Electrification Scenario'!H$4)/('Electrification Scenario'!H$5-'Electrification Scenario'!H$4))*VLOOKUP(H$3,'Static Parameters'!$A$3:$B$9,2)*VLOOKUP($A71,'Growth Scenarios'!$E$3:$I$80,MATCH('Scenario Picker'!$B$3,'Growth Scenarios'!$F$2:$I$2,0)+1)/1000000000*VLOOKUP($A71,'Growth Scenarios'!$A$3:$D$80,MATCH('Scenario Picker'!$B$2,'Growth Scenarios'!$B$2:$D$2,0)+1)</f>
        <v>30.375421787775903</v>
      </c>
      <c r="I71" s="28">
        <f t="shared" ca="1" si="3"/>
        <v>172.9689602581837</v>
      </c>
      <c r="J71" s="25">
        <f ca="1">(1-'Electrification Scenario'!B77)*VLOOKUP(B$3,'Static Parameters'!$A$3:$B$9,2)*VLOOKUP($A71,'Growth Scenarios'!$E$3:$I$80,MATCH('Scenario Picker'!$B$3,'Growth Scenarios'!$F$2:$I$2,0)+1)/1000000000*VLOOKUP($A71,'Growth Scenarios'!$A$3:$D$80,MATCH('Scenario Picker'!$B$2,'Growth Scenarios'!$B$2:$D$2,0)+1)</f>
        <v>2.524710382360595</v>
      </c>
      <c r="K71" s="21">
        <f ca="1">(1-'Electrification Scenario'!C77)*VLOOKUP(C$3,'Static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L71" s="21">
        <f ca="1">(1-'Electrification Scenario'!D77)*VLOOKUP(D$3,'Static Parameters'!$A$3:$B$9,2)*VLOOKUP($A71,'Growth Scenarios'!$E$3:$I$80,MATCH('Scenario Picker'!$B$3,'Growth Scenarios'!$F$2:$I$2,0)+1)/1000000000*VLOOKUP($A71,'Growth Scenarios'!$A$3:$D$80,MATCH('Scenario Picker'!$B$2,'Growth Scenarios'!$B$2:$D$2,0)+1)</f>
        <v>0.10519626593169146</v>
      </c>
      <c r="M71" s="21">
        <f ca="1">(1-'Electrification Scenario'!E77)*VLOOKUP(E$3,'Static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N71" s="21">
        <f ca="1">(1-'Electrification Scenario'!F77)*VLOOKUP(F$3,'Static Parameters'!$A$3:$B$9,2)*VLOOKUP($A71,'Growth Scenarios'!$E$3:$I$80,MATCH('Scenario Picker'!$B$3,'Growth Scenarios'!$F$2:$I$2,0)+1)/1000000000*VLOOKUP($A71,'Growth Scenarios'!$A$3:$D$80,MATCH('Scenario Picker'!$B$2,'Growth Scenarios'!$B$2:$D$2,0)+1)</f>
        <v>1.1177103255242218</v>
      </c>
      <c r="O71" s="21">
        <f ca="1">(1-'Electrification Scenario'!G77)*VLOOKUP(G$3,'Static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P71" s="21">
        <f ca="1">(1-'Electrification Scenario'!H77)*VLOOKUP(H$3,'Static Parameters'!$A$3:$B$9,2)*VLOOKUP($A71,'Growth Scenarios'!$E$3:$I$80,MATCH('Scenario Picker'!$B$3,'Growth Scenarios'!$F$2:$I$2,0)+1)/1000000000*VLOOKUP($A71,'Growth Scenarios'!$A$3:$D$80,MATCH('Scenario Picker'!$B$2,'Growth Scenarios'!$B$2:$D$2,0)+1)</f>
        <v>20.250281191850604</v>
      </c>
      <c r="Q71" s="28">
        <f t="shared" ca="1" si="4"/>
        <v>23.997898165667113</v>
      </c>
      <c r="R71" s="28">
        <f t="shared" ca="1" si="5"/>
        <v>196.96685842385082</v>
      </c>
    </row>
    <row r="72" spans="1:18" ht="15" x14ac:dyDescent="0.35">
      <c r="A72" s="31">
        <v>2090</v>
      </c>
      <c r="B72" s="25">
        <f ca="1">'Electrification Scenario'!B78*(1-'Electrification Scenario'!B$8*('Electrification Scenario'!B78-'Electrification Scenario'!B$4)/('Electrification Scenario'!B$5-'Electrification Scenario'!B$4))*VLOOKUP(B$3,'Static Parameters'!$A$3:$B$9,2)*VLOOKUP($A72,'Growth Scenarios'!$E$3:$I$80,MATCH('Scenario Picker'!$B$3,'Growth Scenarios'!$F$2:$I$2,0)+1)/1000000000*VLOOKUP($A72,'Growth Scenarios'!$A$3:$D$80,MATCH('Scenario Picker'!$B$2,'Growth Scenarios'!$B$2:$D$2,0)+1)</f>
        <v>3.0096822685782985</v>
      </c>
      <c r="C72" s="21">
        <f ca="1">'Electrification Scenario'!C78*(1-'Electrification Scenario'!C$8*('Electrification Scenario'!C78-'Electrification Scenario'!C$4)/('Electrification Scenario'!C$5-'Electrification Scenario'!C$4))*VLOOKUP(C$3,'Static Parameters'!$A$3:$B$9,2)*VLOOKUP($A72,'Growth Scenarios'!$E$3:$I$80,MATCH('Scenario Picker'!$B$3,'Growth Scenarios'!$F$2:$I$2,0)+1)/1000000000*VLOOKUP($A72,'Growth Scenarios'!$A$3:$D$80,MATCH('Scenario Picker'!$B$2,'Growth Scenarios'!$B$2:$D$2,0)+1)</f>
        <v>18.392502752422939</v>
      </c>
      <c r="D72" s="21">
        <f ca="1">'Electrification Scenario'!D78*(1-'Electrification Scenario'!D$8*('Electrification Scenario'!D78-'Electrification Scenario'!D$4)/('Electrification Scenario'!D$5-'Electrification Scenario'!D$4))*VLOOKUP(D$3,'Static Parameters'!$A$3:$B$9,2)*VLOOKUP($A72,'Growth Scenarios'!$E$3:$I$80,MATCH('Scenario Picker'!$B$3,'Growth Scenarios'!$F$2:$I$2,0)+1)/1000000000*VLOOKUP($A72,'Growth Scenarios'!$A$3:$D$80,MATCH('Scenario Picker'!$B$2,'Growth Scenarios'!$B$2:$D$2,0)+1)</f>
        <v>0.12540342785742911</v>
      </c>
      <c r="E72" s="21">
        <f ca="1">'Electrification Scenario'!E78*(1-'Electrification Scenario'!E$8*('Electrification Scenario'!E78-'Electrification Scenario'!E$4)/('Electrification Scenario'!E$5-'Electrification Scenario'!E$4))*VLOOKUP(E$3,'Static Parameters'!$A$3:$B$9,2)*VLOOKUP($A72,'Growth Scenarios'!$E$3:$I$80,MATCH('Scenario Picker'!$B$3,'Growth Scenarios'!$F$2:$I$2,0)+1)/1000000000*VLOOKUP($A72,'Growth Scenarios'!$A$3:$D$80,MATCH('Scenario Picker'!$B$2,'Growth Scenarios'!$B$2:$D$2,0)+1)</f>
        <v>70.434925313256016</v>
      </c>
      <c r="F72" s="21">
        <f ca="1">'Electrification Scenario'!F78*(1-'Electrification Scenario'!F$8*('Electrification Scenario'!F78-'Electrification Scenario'!F$4)/('Electrification Scenario'!F$5-'Electrification Scenario'!F$4))*VLOOKUP(F$3,'Static Parameters'!$A$3:$B$9,2)*VLOOKUP($A72,'Growth Scenarios'!$E$3:$I$80,MATCH('Scenario Picker'!$B$3,'Growth Scenarios'!$F$2:$I$2,0)+1)/1000000000*VLOOKUP($A72,'Growth Scenarios'!$A$3:$D$80,MATCH('Scenario Picker'!$B$2,'Growth Scenarios'!$B$2:$D$2,0)+1)</f>
        <v>2.664822841970369</v>
      </c>
      <c r="G72" s="21">
        <f ca="1">'Electrification Scenario'!G78*(1-'Electrification Scenario'!G$8*('Electrification Scenario'!G78-'Electrification Scenario'!G$4)/('Electrification Scenario'!G$5-'Electrification Scenario'!G$4))*VLOOKUP(G$3,'Static Parameters'!$A$3:$B$9,2)*VLOOKUP($A72,'Growth Scenarios'!$E$3:$I$80,MATCH('Scenario Picker'!$B$3,'Growth Scenarios'!$F$2:$I$2,0)+1)/1000000000*VLOOKUP($A72,'Growth Scenarios'!$A$3:$D$80,MATCH('Scenario Picker'!$B$2,'Growth Scenarios'!$B$2:$D$2,0)+1)</f>
        <v>47.026285446535923</v>
      </c>
      <c r="H72" s="21">
        <f ca="1">'Electrification Scenario'!H78*(1-'Electrification Scenario'!H$8*('Electrification Scenario'!H78-'Electrification Scenario'!H$4)/('Electrification Scenario'!H$5-'Electrification Scenario'!H$4))*VLOOKUP(H$3,'Static Parameters'!$A$3:$B$9,2)*VLOOKUP($A72,'Growth Scenarios'!$E$3:$I$80,MATCH('Scenario Picker'!$B$3,'Growth Scenarios'!$F$2:$I$2,0)+1)/1000000000*VLOOKUP($A72,'Growth Scenarios'!$A$3:$D$80,MATCH('Scenario Picker'!$B$2,'Growth Scenarios'!$B$2:$D$2,0)+1)</f>
        <v>30.175199828193875</v>
      </c>
      <c r="I72" s="28">
        <f t="shared" ca="1" si="3"/>
        <v>171.82882187881486</v>
      </c>
      <c r="J72" s="25">
        <f ca="1">(1-'Electrification Scenario'!B78)*VLOOKUP(B$3,'Static Parameters'!$A$3:$B$9,2)*VLOOKUP($A72,'Growth Scenarios'!$E$3:$I$80,MATCH('Scenario Picker'!$B$3,'Growth Scenarios'!$F$2:$I$2,0)+1)/1000000000*VLOOKUP($A72,'Growth Scenarios'!$A$3:$D$80,MATCH('Scenario Picker'!$B$2,'Growth Scenarios'!$B$2:$D$2,0)+1)</f>
        <v>2.5080685571485821</v>
      </c>
      <c r="K72" s="21">
        <f ca="1">(1-'Electrification Scenario'!C78)*VLOOKUP(C$3,'Static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L72" s="21">
        <f ca="1">(1-'Electrification Scenario'!D78)*VLOOKUP(D$3,'Static Parameters'!$A$3:$B$9,2)*VLOOKUP($A72,'Growth Scenarios'!$E$3:$I$80,MATCH('Scenario Picker'!$B$3,'Growth Scenarios'!$F$2:$I$2,0)+1)/1000000000*VLOOKUP($A72,'Growth Scenarios'!$A$3:$D$80,MATCH('Scenario Picker'!$B$2,'Growth Scenarios'!$B$2:$D$2,0)+1)</f>
        <v>0.10450285654785758</v>
      </c>
      <c r="M72" s="21">
        <f ca="1">(1-'Electrification Scenario'!E78)*VLOOKUP(E$3,'Static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N72" s="21">
        <f ca="1">(1-'Electrification Scenario'!F78)*VLOOKUP(F$3,'Static Parameters'!$A$3:$B$9,2)*VLOOKUP($A72,'Growth Scenarios'!$E$3:$I$80,MATCH('Scenario Picker'!$B$3,'Growth Scenarios'!$F$2:$I$2,0)+1)/1000000000*VLOOKUP($A72,'Growth Scenarios'!$A$3:$D$80,MATCH('Scenario Picker'!$B$2,'Growth Scenarios'!$B$2:$D$2,0)+1)</f>
        <v>1.1103428508209869</v>
      </c>
      <c r="O72" s="21">
        <f ca="1">(1-'Electrification Scenario'!G78)*VLOOKUP(G$3,'Static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P72" s="21">
        <f ca="1">(1-'Electrification Scenario'!H78)*VLOOKUP(H$3,'Static Parameters'!$A$3:$B$9,2)*VLOOKUP($A72,'Growth Scenarios'!$E$3:$I$80,MATCH('Scenario Picker'!$B$3,'Growth Scenarios'!$F$2:$I$2,0)+1)/1000000000*VLOOKUP($A72,'Growth Scenarios'!$A$3:$D$80,MATCH('Scenario Picker'!$B$2,'Growth Scenarios'!$B$2:$D$2,0)+1)</f>
        <v>20.116799885462587</v>
      </c>
      <c r="Q72" s="28">
        <f t="shared" ca="1" si="4"/>
        <v>23.839714149980015</v>
      </c>
      <c r="R72" s="28">
        <f t="shared" ca="1" si="5"/>
        <v>195.66853602879488</v>
      </c>
    </row>
    <row r="73" spans="1:18" ht="15" x14ac:dyDescent="0.35">
      <c r="A73" s="31">
        <v>2091</v>
      </c>
      <c r="B73" s="25">
        <f ca="1">'Electrification Scenario'!B79*(1-'Electrification Scenario'!B$8*('Electrification Scenario'!B79-'Electrification Scenario'!B$4)/('Electrification Scenario'!B$5-'Electrification Scenario'!B$4))*VLOOKUP(B$3,'Static Parameters'!$A$3:$B$9,2)*VLOOKUP($A73,'Growth Scenarios'!$E$3:$I$80,MATCH('Scenario Picker'!$B$3,'Growth Scenarios'!$F$2:$I$2,0)+1)/1000000000*VLOOKUP($A73,'Growth Scenarios'!$A$3:$D$80,MATCH('Scenario Picker'!$B$2,'Growth Scenarios'!$B$2:$D$2,0)+1)</f>
        <v>2.9908529902446843</v>
      </c>
      <c r="C73" s="21">
        <f ca="1">'Electrification Scenario'!C79*(1-'Electrification Scenario'!C$8*('Electrification Scenario'!C79-'Electrification Scenario'!C$4)/('Electrification Scenario'!C$5-'Electrification Scenario'!C$4))*VLOOKUP(C$3,'Static Parameters'!$A$3:$B$9,2)*VLOOKUP($A73,'Growth Scenarios'!$E$3:$I$80,MATCH('Scenario Picker'!$B$3,'Growth Scenarios'!$F$2:$I$2,0)+1)/1000000000*VLOOKUP($A73,'Growth Scenarios'!$A$3:$D$80,MATCH('Scenario Picker'!$B$2,'Growth Scenarios'!$B$2:$D$2,0)+1)</f>
        <v>18.277434940384182</v>
      </c>
      <c r="D73" s="21">
        <f ca="1">'Electrification Scenario'!D79*(1-'Electrification Scenario'!D$8*('Electrification Scenario'!D79-'Electrification Scenario'!D$4)/('Electrification Scenario'!D$5-'Electrification Scenario'!D$4))*VLOOKUP(D$3,'Static Parameters'!$A$3:$B$9,2)*VLOOKUP($A73,'Growth Scenarios'!$E$3:$I$80,MATCH('Scenario Picker'!$B$3,'Growth Scenarios'!$F$2:$I$2,0)+1)/1000000000*VLOOKUP($A73,'Growth Scenarios'!$A$3:$D$80,MATCH('Scenario Picker'!$B$2,'Growth Scenarios'!$B$2:$D$2,0)+1)</f>
        <v>0.12461887459352852</v>
      </c>
      <c r="E73" s="21">
        <f ca="1">'Electrification Scenario'!E79*(1-'Electrification Scenario'!E$8*('Electrification Scenario'!E79-'Electrification Scenario'!E$4)/('Electrification Scenario'!E$5-'Electrification Scenario'!E$4))*VLOOKUP(E$3,'Static Parameters'!$A$3:$B$9,2)*VLOOKUP($A73,'Growth Scenarios'!$E$3:$I$80,MATCH('Scenario Picker'!$B$3,'Growth Scenarios'!$F$2:$I$2,0)+1)/1000000000*VLOOKUP($A73,'Growth Scenarios'!$A$3:$D$80,MATCH('Scenario Picker'!$B$2,'Growth Scenarios'!$B$2:$D$2,0)+1)</f>
        <v>69.994267896698517</v>
      </c>
      <c r="F73" s="21">
        <f ca="1">'Electrification Scenario'!F79*(1-'Electrification Scenario'!F$8*('Electrification Scenario'!F79-'Electrification Scenario'!F$4)/('Electrification Scenario'!F$5-'Electrification Scenario'!F$4))*VLOOKUP(F$3,'Static Parameters'!$A$3:$B$9,2)*VLOOKUP($A73,'Growth Scenarios'!$E$3:$I$80,MATCH('Scenario Picker'!$B$3,'Growth Scenarios'!$F$2:$I$2,0)+1)/1000000000*VLOOKUP($A73,'Growth Scenarios'!$A$3:$D$80,MATCH('Scenario Picker'!$B$2,'Growth Scenarios'!$B$2:$D$2,0)+1)</f>
        <v>2.6481510851124814</v>
      </c>
      <c r="G73" s="21">
        <f ca="1">'Electrification Scenario'!G79*(1-'Electrification Scenario'!G$8*('Electrification Scenario'!G79-'Electrification Scenario'!G$4)/('Electrification Scenario'!G$5-'Electrification Scenario'!G$4))*VLOOKUP(G$3,'Static Parameters'!$A$3:$B$9,2)*VLOOKUP($A73,'Growth Scenarios'!$E$3:$I$80,MATCH('Scenario Picker'!$B$3,'Growth Scenarios'!$F$2:$I$2,0)+1)/1000000000*VLOOKUP($A73,'Growth Scenarios'!$A$3:$D$80,MATCH('Scenario Picker'!$B$2,'Growth Scenarios'!$B$2:$D$2,0)+1)</f>
        <v>46.732077972573194</v>
      </c>
      <c r="H73" s="21">
        <f ca="1">'Electrification Scenario'!H79*(1-'Electrification Scenario'!H$8*('Electrification Scenario'!H79-'Electrification Scenario'!H$4)/('Electrification Scenario'!H$5-'Electrification Scenario'!H$4))*VLOOKUP(H$3,'Static Parameters'!$A$3:$B$9,2)*VLOOKUP($A73,'Growth Scenarios'!$E$3:$I$80,MATCH('Scenario Picker'!$B$3,'Growth Scenarios'!$F$2:$I$2,0)+1)/1000000000*VLOOKUP($A73,'Growth Scenarios'!$A$3:$D$80,MATCH('Scenario Picker'!$B$2,'Growth Scenarios'!$B$2:$D$2,0)+1)</f>
        <v>29.986416699067799</v>
      </c>
      <c r="I73" s="28">
        <f t="shared" ca="1" si="3"/>
        <v>170.7538204586744</v>
      </c>
      <c r="J73" s="25">
        <f ca="1">(1-'Electrification Scenario'!B79)*VLOOKUP(B$3,'Static Parameters'!$A$3:$B$9,2)*VLOOKUP($A73,'Growth Scenarios'!$E$3:$I$80,MATCH('Scenario Picker'!$B$3,'Growth Scenarios'!$F$2:$I$2,0)+1)/1000000000*VLOOKUP($A73,'Growth Scenarios'!$A$3:$D$80,MATCH('Scenario Picker'!$B$2,'Growth Scenarios'!$B$2:$D$2,0)+1)</f>
        <v>2.4923774918705708</v>
      </c>
      <c r="K73" s="21">
        <f ca="1">(1-'Electrification Scenario'!C79)*VLOOKUP(C$3,'Static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L73" s="21">
        <f ca="1">(1-'Electrification Scenario'!D79)*VLOOKUP(D$3,'Static Parameters'!$A$3:$B$9,2)*VLOOKUP($A73,'Growth Scenarios'!$E$3:$I$80,MATCH('Scenario Picker'!$B$3,'Growth Scenarios'!$F$2:$I$2,0)+1)/1000000000*VLOOKUP($A73,'Growth Scenarios'!$A$3:$D$80,MATCH('Scenario Picker'!$B$2,'Growth Scenarios'!$B$2:$D$2,0)+1)</f>
        <v>0.10384906216127375</v>
      </c>
      <c r="M73" s="21">
        <f ca="1">(1-'Electrification Scenario'!E79)*VLOOKUP(E$3,'Static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N73" s="21">
        <f ca="1">(1-'Electrification Scenario'!F79)*VLOOKUP(F$3,'Static Parameters'!$A$3:$B$9,2)*VLOOKUP($A73,'Growth Scenarios'!$E$3:$I$80,MATCH('Scenario Picker'!$B$3,'Growth Scenarios'!$F$2:$I$2,0)+1)/1000000000*VLOOKUP($A73,'Growth Scenarios'!$A$3:$D$80,MATCH('Scenario Picker'!$B$2,'Growth Scenarios'!$B$2:$D$2,0)+1)</f>
        <v>1.103396285463534</v>
      </c>
      <c r="O73" s="21">
        <f ca="1">(1-'Electrification Scenario'!G79)*VLOOKUP(G$3,'Static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P73" s="21">
        <f ca="1">(1-'Electrification Scenario'!H79)*VLOOKUP(H$3,'Static Parameters'!$A$3:$B$9,2)*VLOOKUP($A73,'Growth Scenarios'!$E$3:$I$80,MATCH('Scenario Picker'!$B$3,'Growth Scenarios'!$F$2:$I$2,0)+1)/1000000000*VLOOKUP($A73,'Growth Scenarios'!$A$3:$D$80,MATCH('Scenario Picker'!$B$2,'Growth Scenarios'!$B$2:$D$2,0)+1)</f>
        <v>19.9909444660452</v>
      </c>
      <c r="Q73" s="28">
        <f t="shared" ca="1" si="4"/>
        <v>23.690567305540579</v>
      </c>
      <c r="R73" s="28">
        <f t="shared" ca="1" si="5"/>
        <v>194.44438776421498</v>
      </c>
    </row>
    <row r="74" spans="1:18" ht="15" x14ac:dyDescent="0.35">
      <c r="A74" s="31">
        <v>2092</v>
      </c>
      <c r="B74" s="25">
        <f ca="1">'Electrification Scenario'!B80*(1-'Electrification Scenario'!B$8*('Electrification Scenario'!B80-'Electrification Scenario'!B$4)/('Electrification Scenario'!B$5-'Electrification Scenario'!B$4))*VLOOKUP(B$3,'Static Parameters'!$A$3:$B$9,2)*VLOOKUP($A74,'Growth Scenarios'!$E$3:$I$80,MATCH('Scenario Picker'!$B$3,'Growth Scenarios'!$F$2:$I$2,0)+1)/1000000000*VLOOKUP($A74,'Growth Scenarios'!$A$3:$D$80,MATCH('Scenario Picker'!$B$2,'Growth Scenarios'!$B$2:$D$2,0)+1)</f>
        <v>2.9731129404662662</v>
      </c>
      <c r="C74" s="21">
        <f ca="1">'Electrification Scenario'!C80*(1-'Electrification Scenario'!C$8*('Electrification Scenario'!C80-'Electrification Scenario'!C$4)/('Electrification Scenario'!C$5-'Electrification Scenario'!C$4))*VLOOKUP(C$3,'Static Parameters'!$A$3:$B$9,2)*VLOOKUP($A74,'Growth Scenarios'!$E$3:$I$80,MATCH('Scenario Picker'!$B$3,'Growth Scenarios'!$F$2:$I$2,0)+1)/1000000000*VLOOKUP($A74,'Growth Scenarios'!$A$3:$D$80,MATCH('Scenario Picker'!$B$2,'Growth Scenarios'!$B$2:$D$2,0)+1)</f>
        <v>18.169023525071626</v>
      </c>
      <c r="D74" s="21">
        <f ca="1">'Electrification Scenario'!D80*(1-'Electrification Scenario'!D$8*('Electrification Scenario'!D80-'Electrification Scenario'!D$4)/('Electrification Scenario'!D$5-'Electrification Scenario'!D$4))*VLOOKUP(D$3,'Static Parameters'!$A$3:$B$9,2)*VLOOKUP($A74,'Growth Scenarios'!$E$3:$I$80,MATCH('Scenario Picker'!$B$3,'Growth Scenarios'!$F$2:$I$2,0)+1)/1000000000*VLOOKUP($A74,'Growth Scenarios'!$A$3:$D$80,MATCH('Scenario Picker'!$B$2,'Growth Scenarios'!$B$2:$D$2,0)+1)</f>
        <v>0.12387970585276109</v>
      </c>
      <c r="E74" s="21">
        <f ca="1">'Electrification Scenario'!E80*(1-'Electrification Scenario'!E$8*('Electrification Scenario'!E80-'Electrification Scenario'!E$4)/('Electrification Scenario'!E$5-'Electrification Scenario'!E$4))*VLOOKUP(E$3,'Static Parameters'!$A$3:$B$9,2)*VLOOKUP($A74,'Growth Scenarios'!$E$3:$I$80,MATCH('Scenario Picker'!$B$3,'Growth Scenarios'!$F$2:$I$2,0)+1)/1000000000*VLOOKUP($A74,'Growth Scenarios'!$A$3:$D$80,MATCH('Scenario Picker'!$B$2,'Growth Scenarios'!$B$2:$D$2,0)+1)</f>
        <v>69.579101453967482</v>
      </c>
      <c r="F74" s="21">
        <f ca="1">'Electrification Scenario'!F80*(1-'Electrification Scenario'!F$8*('Electrification Scenario'!F80-'Electrification Scenario'!F$4)/('Electrification Scenario'!F$5-'Electrification Scenario'!F$4))*VLOOKUP(F$3,'Static Parameters'!$A$3:$B$9,2)*VLOOKUP($A74,'Growth Scenarios'!$E$3:$I$80,MATCH('Scenario Picker'!$B$3,'Growth Scenarios'!$F$2:$I$2,0)+1)/1000000000*VLOOKUP($A74,'Growth Scenarios'!$A$3:$D$80,MATCH('Scenario Picker'!$B$2,'Growth Scenarios'!$B$2:$D$2,0)+1)</f>
        <v>2.6324437493711734</v>
      </c>
      <c r="G74" s="21">
        <f ca="1">'Electrification Scenario'!G80*(1-'Electrification Scenario'!G$8*('Electrification Scenario'!G80-'Electrification Scenario'!G$4)/('Electrification Scenario'!G$5-'Electrification Scenario'!G$4))*VLOOKUP(G$3,'Static Parameters'!$A$3:$B$9,2)*VLOOKUP($A74,'Growth Scenarios'!$E$3:$I$80,MATCH('Scenario Picker'!$B$3,'Growth Scenarios'!$F$2:$I$2,0)+1)/1000000000*VLOOKUP($A74,'Growth Scenarios'!$A$3:$D$80,MATCH('Scenario Picker'!$B$2,'Growth Scenarios'!$B$2:$D$2,0)+1)</f>
        <v>46.454889694785415</v>
      </c>
      <c r="H74" s="21">
        <f ca="1">'Electrification Scenario'!H80*(1-'Electrification Scenario'!H$8*('Electrification Scenario'!H80-'Electrification Scenario'!H$4)/('Electrification Scenario'!H$5-'Electrification Scenario'!H$4))*VLOOKUP(H$3,'Static Parameters'!$A$3:$B$9,2)*VLOOKUP($A74,'Growth Scenarios'!$E$3:$I$80,MATCH('Scenario Picker'!$B$3,'Growth Scenarios'!$F$2:$I$2,0)+1)/1000000000*VLOOKUP($A74,'Growth Scenarios'!$A$3:$D$80,MATCH('Scenario Picker'!$B$2,'Growth Scenarios'!$B$2:$D$2,0)+1)</f>
        <v>29.808554220820636</v>
      </c>
      <c r="I74" s="28">
        <f t="shared" ca="1" si="3"/>
        <v>169.74100529033538</v>
      </c>
      <c r="J74" s="25">
        <f ca="1">(1-'Electrification Scenario'!B80)*VLOOKUP(B$3,'Static Parameters'!$A$3:$B$9,2)*VLOOKUP($A74,'Growth Scenarios'!$E$3:$I$80,MATCH('Scenario Picker'!$B$3,'Growth Scenarios'!$F$2:$I$2,0)+1)/1000000000*VLOOKUP($A74,'Growth Scenarios'!$A$3:$D$80,MATCH('Scenario Picker'!$B$2,'Growth Scenarios'!$B$2:$D$2,0)+1)</f>
        <v>2.4775941170552223</v>
      </c>
      <c r="K74" s="21">
        <f ca="1">(1-'Electrification Scenario'!C80)*VLOOKUP(C$3,'Static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L74" s="21">
        <f ca="1">(1-'Electrification Scenario'!D80)*VLOOKUP(D$3,'Static Parameters'!$A$3:$B$9,2)*VLOOKUP($A74,'Growth Scenarios'!$E$3:$I$80,MATCH('Scenario Picker'!$B$3,'Growth Scenarios'!$F$2:$I$2,0)+1)/1000000000*VLOOKUP($A74,'Growth Scenarios'!$A$3:$D$80,MATCH('Scenario Picker'!$B$2,'Growth Scenarios'!$B$2:$D$2,0)+1)</f>
        <v>0.10323308821063425</v>
      </c>
      <c r="M74" s="21">
        <f ca="1">(1-'Electrification Scenario'!E80)*VLOOKUP(E$3,'Static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N74" s="21">
        <f ca="1">(1-'Electrification Scenario'!F80)*VLOOKUP(F$3,'Static Parameters'!$A$3:$B$9,2)*VLOOKUP($A74,'Growth Scenarios'!$E$3:$I$80,MATCH('Scenario Picker'!$B$3,'Growth Scenarios'!$F$2:$I$2,0)+1)/1000000000*VLOOKUP($A74,'Growth Scenarios'!$A$3:$D$80,MATCH('Scenario Picker'!$B$2,'Growth Scenarios'!$B$2:$D$2,0)+1)</f>
        <v>1.0968515622379889</v>
      </c>
      <c r="O74" s="21">
        <f ca="1">(1-'Electrification Scenario'!G80)*VLOOKUP(G$3,'Static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P74" s="21">
        <f ca="1">(1-'Electrification Scenario'!H80)*VLOOKUP(H$3,'Static Parameters'!$A$3:$B$9,2)*VLOOKUP($A74,'Growth Scenarios'!$E$3:$I$80,MATCH('Scenario Picker'!$B$3,'Growth Scenarios'!$F$2:$I$2,0)+1)/1000000000*VLOOKUP($A74,'Growth Scenarios'!$A$3:$D$80,MATCH('Scenario Picker'!$B$2,'Growth Scenarios'!$B$2:$D$2,0)+1)</f>
        <v>19.872369480547089</v>
      </c>
      <c r="Q74" s="28">
        <f t="shared" ca="1" si="4"/>
        <v>23.550048248050935</v>
      </c>
      <c r="R74" s="28">
        <f t="shared" ca="1" si="5"/>
        <v>193.29105353838631</v>
      </c>
    </row>
    <row r="75" spans="1:18" ht="15" x14ac:dyDescent="0.35">
      <c r="A75" s="31">
        <v>2093</v>
      </c>
      <c r="B75" s="25">
        <f ca="1">'Electrification Scenario'!B81*(1-'Electrification Scenario'!B$8*('Electrification Scenario'!B81-'Electrification Scenario'!B$4)/('Electrification Scenario'!B$5-'Electrification Scenario'!B$4))*VLOOKUP(B$3,'Static Parameters'!$A$3:$B$9,2)*VLOOKUP($A75,'Growth Scenarios'!$E$3:$I$80,MATCH('Scenario Picker'!$B$3,'Growth Scenarios'!$F$2:$I$2,0)+1)/1000000000*VLOOKUP($A75,'Growth Scenarios'!$A$3:$D$80,MATCH('Scenario Picker'!$B$2,'Growth Scenarios'!$B$2:$D$2,0)+1)</f>
        <v>2.956400721178599</v>
      </c>
      <c r="C75" s="21">
        <f ca="1">'Electrification Scenario'!C81*(1-'Electrification Scenario'!C$8*('Electrification Scenario'!C81-'Electrification Scenario'!C$4)/('Electrification Scenario'!C$5-'Electrification Scenario'!C$4))*VLOOKUP(C$3,'Static Parameters'!$A$3:$B$9,2)*VLOOKUP($A75,'Growth Scenarios'!$E$3:$I$80,MATCH('Scenario Picker'!$B$3,'Growth Scenarios'!$F$2:$I$2,0)+1)/1000000000*VLOOKUP($A75,'Growth Scenarios'!$A$3:$D$80,MATCH('Scenario Picker'!$B$2,'Growth Scenarios'!$B$2:$D$2,0)+1)</f>
        <v>18.066893296091443</v>
      </c>
      <c r="D75" s="21">
        <f ca="1">'Electrification Scenario'!D81*(1-'Electrification Scenario'!D$8*('Electrification Scenario'!D81-'Electrification Scenario'!D$4)/('Electrification Scenario'!D$5-'Electrification Scenario'!D$4))*VLOOKUP(D$3,'Static Parameters'!$A$3:$B$9,2)*VLOOKUP($A75,'Growth Scenarios'!$E$3:$I$80,MATCH('Scenario Picker'!$B$3,'Growth Scenarios'!$F$2:$I$2,0)+1)/1000000000*VLOOKUP($A75,'Growth Scenarios'!$A$3:$D$80,MATCH('Scenario Picker'!$B$2,'Growth Scenarios'!$B$2:$D$2,0)+1)</f>
        <v>0.12318336338244165</v>
      </c>
      <c r="E75" s="21">
        <f ca="1">'Electrification Scenario'!E81*(1-'Electrification Scenario'!E$8*('Electrification Scenario'!E81-'Electrification Scenario'!E$4)/('Electrification Scenario'!E$5-'Electrification Scenario'!E$4))*VLOOKUP(E$3,'Static Parameters'!$A$3:$B$9,2)*VLOOKUP($A75,'Growth Scenarios'!$E$3:$I$80,MATCH('Scenario Picker'!$B$3,'Growth Scenarios'!$F$2:$I$2,0)+1)/1000000000*VLOOKUP($A75,'Growth Scenarios'!$A$3:$D$80,MATCH('Scenario Picker'!$B$2,'Growth Scenarios'!$B$2:$D$2,0)+1)</f>
        <v>69.187989099804724</v>
      </c>
      <c r="F75" s="21">
        <f ca="1">'Electrification Scenario'!F81*(1-'Electrification Scenario'!F$8*('Electrification Scenario'!F81-'Electrification Scenario'!F$4)/('Electrification Scenario'!F$5-'Electrification Scenario'!F$4))*VLOOKUP(F$3,'Static Parameters'!$A$3:$B$9,2)*VLOOKUP($A75,'Growth Scenarios'!$E$3:$I$80,MATCH('Scenario Picker'!$B$3,'Growth Scenarios'!$F$2:$I$2,0)+1)/1000000000*VLOOKUP($A75,'Growth Scenarios'!$A$3:$D$80,MATCH('Scenario Picker'!$B$2,'Growth Scenarios'!$B$2:$D$2,0)+1)</f>
        <v>2.6176464718768857</v>
      </c>
      <c r="G75" s="21">
        <f ca="1">'Electrification Scenario'!G81*(1-'Electrification Scenario'!G$8*('Electrification Scenario'!G81-'Electrification Scenario'!G$4)/('Electrification Scenario'!G$5-'Electrification Scenario'!G$4))*VLOOKUP(G$3,'Static Parameters'!$A$3:$B$9,2)*VLOOKUP($A75,'Growth Scenarios'!$E$3:$I$80,MATCH('Scenario Picker'!$B$3,'Growth Scenarios'!$F$2:$I$2,0)+1)/1000000000*VLOOKUP($A75,'Growth Scenarios'!$A$3:$D$80,MATCH('Scenario Picker'!$B$2,'Growth Scenarios'!$B$2:$D$2,0)+1)</f>
        <v>46.193761268415614</v>
      </c>
      <c r="H75" s="21">
        <f ca="1">'Electrification Scenario'!H81*(1-'Electrification Scenario'!H$8*('Electrification Scenario'!H81-'Electrification Scenario'!H$4)/('Electrification Scenario'!H$5-'Electrification Scenario'!H$4))*VLOOKUP(H$3,'Static Parameters'!$A$3:$B$9,2)*VLOOKUP($A75,'Growth Scenarios'!$E$3:$I$80,MATCH('Scenario Picker'!$B$3,'Growth Scenarios'!$F$2:$I$2,0)+1)/1000000000*VLOOKUP($A75,'Growth Scenarios'!$A$3:$D$80,MATCH('Scenario Picker'!$B$2,'Growth Scenarios'!$B$2:$D$2,0)+1)</f>
        <v>29.640996813900021</v>
      </c>
      <c r="I75" s="28">
        <f t="shared" ca="1" si="3"/>
        <v>168.78687103464972</v>
      </c>
      <c r="J75" s="25">
        <f ca="1">(1-'Electrification Scenario'!B81)*VLOOKUP(B$3,'Static Parameters'!$A$3:$B$9,2)*VLOOKUP($A75,'Growth Scenarios'!$E$3:$I$80,MATCH('Scenario Picker'!$B$3,'Growth Scenarios'!$F$2:$I$2,0)+1)/1000000000*VLOOKUP($A75,'Growth Scenarios'!$A$3:$D$80,MATCH('Scenario Picker'!$B$2,'Growth Scenarios'!$B$2:$D$2,0)+1)</f>
        <v>2.4636672676488334</v>
      </c>
      <c r="K75" s="21">
        <f ca="1">(1-'Electrification Scenario'!C81)*VLOOKUP(C$3,'Static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L75" s="21">
        <f ca="1">(1-'Electrification Scenario'!D81)*VLOOKUP(D$3,'Static Parameters'!$A$3:$B$9,2)*VLOOKUP($A75,'Growth Scenarios'!$E$3:$I$80,MATCH('Scenario Picker'!$B$3,'Growth Scenarios'!$F$2:$I$2,0)+1)/1000000000*VLOOKUP($A75,'Growth Scenarios'!$A$3:$D$80,MATCH('Scenario Picker'!$B$2,'Growth Scenarios'!$B$2:$D$2,0)+1)</f>
        <v>0.10265280281870139</v>
      </c>
      <c r="M75" s="21">
        <f ca="1">(1-'Electrification Scenario'!E81)*VLOOKUP(E$3,'Static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N75" s="21">
        <f ca="1">(1-'Electrification Scenario'!F81)*VLOOKUP(F$3,'Static Parameters'!$A$3:$B$9,2)*VLOOKUP($A75,'Growth Scenarios'!$E$3:$I$80,MATCH('Scenario Picker'!$B$3,'Growth Scenarios'!$F$2:$I$2,0)+1)/1000000000*VLOOKUP($A75,'Growth Scenarios'!$A$3:$D$80,MATCH('Scenario Picker'!$B$2,'Growth Scenarios'!$B$2:$D$2,0)+1)</f>
        <v>1.090686029948702</v>
      </c>
      <c r="O75" s="21">
        <f ca="1">(1-'Electrification Scenario'!G81)*VLOOKUP(G$3,'Static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P75" s="21">
        <f ca="1">(1-'Electrification Scenario'!H81)*VLOOKUP(H$3,'Static Parameters'!$A$3:$B$9,2)*VLOOKUP($A75,'Growth Scenarios'!$E$3:$I$80,MATCH('Scenario Picker'!$B$3,'Growth Scenarios'!$F$2:$I$2,0)+1)/1000000000*VLOOKUP($A75,'Growth Scenarios'!$A$3:$D$80,MATCH('Scenario Picker'!$B$2,'Growth Scenarios'!$B$2:$D$2,0)+1)</f>
        <v>19.760664542600015</v>
      </c>
      <c r="Q75" s="28">
        <f t="shared" ca="1" si="4"/>
        <v>23.417670643016251</v>
      </c>
      <c r="R75" s="28">
        <f t="shared" ca="1" si="5"/>
        <v>192.20454167766599</v>
      </c>
    </row>
    <row r="76" spans="1:18" ht="15" x14ac:dyDescent="0.35">
      <c r="A76" s="31">
        <v>2094</v>
      </c>
      <c r="B76" s="25">
        <f ca="1">'Electrification Scenario'!B82*(1-'Electrification Scenario'!B$8*('Electrification Scenario'!B82-'Electrification Scenario'!B$4)/('Electrification Scenario'!B$5-'Electrification Scenario'!B$4))*VLOOKUP(B$3,'Static Parameters'!$A$3:$B$9,2)*VLOOKUP($A76,'Growth Scenarios'!$E$3:$I$80,MATCH('Scenario Picker'!$B$3,'Growth Scenarios'!$F$2:$I$2,0)+1)/1000000000*VLOOKUP($A76,'Growth Scenarios'!$A$3:$D$80,MATCH('Scenario Picker'!$B$2,'Growth Scenarios'!$B$2:$D$2,0)+1)</f>
        <v>2.9406487571671645</v>
      </c>
      <c r="C76" s="21">
        <f ca="1">'Electrification Scenario'!C82*(1-'Electrification Scenario'!C$8*('Electrification Scenario'!C82-'Electrification Scenario'!C$4)/('Electrification Scenario'!C$5-'Electrification Scenario'!C$4))*VLOOKUP(C$3,'Static Parameters'!$A$3:$B$9,2)*VLOOKUP($A76,'Growth Scenarios'!$E$3:$I$80,MATCH('Scenario Picker'!$B$3,'Growth Scenarios'!$F$2:$I$2,0)+1)/1000000000*VLOOKUP($A76,'Growth Scenarios'!$A$3:$D$80,MATCH('Scenario Picker'!$B$2,'Growth Scenarios'!$B$2:$D$2,0)+1)</f>
        <v>17.970631293799343</v>
      </c>
      <c r="D76" s="21">
        <f ca="1">'Electrification Scenario'!D82*(1-'Electrification Scenario'!D$8*('Electrification Scenario'!D82-'Electrification Scenario'!D$4)/('Electrification Scenario'!D$5-'Electrification Scenario'!D$4))*VLOOKUP(D$3,'Static Parameters'!$A$3:$B$9,2)*VLOOKUP($A76,'Growth Scenarios'!$E$3:$I$80,MATCH('Scenario Picker'!$B$3,'Growth Scenarios'!$F$2:$I$2,0)+1)/1000000000*VLOOKUP($A76,'Growth Scenarios'!$A$3:$D$80,MATCH('Scenario Picker'!$B$2,'Growth Scenarios'!$B$2:$D$2,0)+1)</f>
        <v>0.12252703154863187</v>
      </c>
      <c r="E76" s="21">
        <f ca="1">'Electrification Scenario'!E82*(1-'Electrification Scenario'!E$8*('Electrification Scenario'!E82-'Electrification Scenario'!E$4)/('Electrification Scenario'!E$5-'Electrification Scenario'!E$4))*VLOOKUP(E$3,'Static Parameters'!$A$3:$B$9,2)*VLOOKUP($A76,'Growth Scenarios'!$E$3:$I$80,MATCH('Scenario Picker'!$B$3,'Growth Scenarios'!$F$2:$I$2,0)+1)/1000000000*VLOOKUP($A76,'Growth Scenarios'!$A$3:$D$80,MATCH('Scenario Picker'!$B$2,'Growth Scenarios'!$B$2:$D$2,0)+1)</f>
        <v>68.819349386481562</v>
      </c>
      <c r="F76" s="21">
        <f ca="1">'Electrification Scenario'!F82*(1-'Electrification Scenario'!F$8*('Electrification Scenario'!F82-'Electrification Scenario'!F$4)/('Electrification Scenario'!F$5-'Electrification Scenario'!F$4))*VLOOKUP(F$3,'Static Parameters'!$A$3:$B$9,2)*VLOOKUP($A76,'Growth Scenarios'!$E$3:$I$80,MATCH('Scenario Picker'!$B$3,'Growth Scenarios'!$F$2:$I$2,0)+1)/1000000000*VLOOKUP($A76,'Growth Scenarios'!$A$3:$D$80,MATCH('Scenario Picker'!$B$2,'Growth Scenarios'!$B$2:$D$2,0)+1)</f>
        <v>2.6036994204084274</v>
      </c>
      <c r="G76" s="21">
        <f ca="1">'Electrification Scenario'!G82*(1-'Electrification Scenario'!G$8*('Electrification Scenario'!G82-'Electrification Scenario'!G$4)/('Electrification Scenario'!G$5-'Electrification Scenario'!G$4))*VLOOKUP(G$3,'Static Parameters'!$A$3:$B$9,2)*VLOOKUP($A76,'Growth Scenarios'!$E$3:$I$80,MATCH('Scenario Picker'!$B$3,'Growth Scenarios'!$F$2:$I$2,0)+1)/1000000000*VLOOKUP($A76,'Growth Scenarios'!$A$3:$D$80,MATCH('Scenario Picker'!$B$2,'Growth Scenarios'!$B$2:$D$2,0)+1)</f>
        <v>45.947636830736954</v>
      </c>
      <c r="H76" s="21">
        <f ca="1">'Electrification Scenario'!H82*(1-'Electrification Scenario'!H$8*('Electrification Scenario'!H82-'Electrification Scenario'!H$4)/('Electrification Scenario'!H$5-'Electrification Scenario'!H$4))*VLOOKUP(H$3,'Static Parameters'!$A$3:$B$9,2)*VLOOKUP($A76,'Growth Scenarios'!$E$3:$I$80,MATCH('Scenario Picker'!$B$3,'Growth Scenarios'!$F$2:$I$2,0)+1)/1000000000*VLOOKUP($A76,'Growth Scenarios'!$A$3:$D$80,MATCH('Scenario Picker'!$B$2,'Growth Scenarios'!$B$2:$D$2,0)+1)</f>
        <v>29.48306696638954</v>
      </c>
      <c r="I76" s="28">
        <f t="shared" ca="1" si="3"/>
        <v>167.88755968653163</v>
      </c>
      <c r="J76" s="25">
        <f ca="1">(1-'Electrification Scenario'!B82)*VLOOKUP(B$3,'Static Parameters'!$A$3:$B$9,2)*VLOOKUP($A76,'Growth Scenarios'!$E$3:$I$80,MATCH('Scenario Picker'!$B$3,'Growth Scenarios'!$F$2:$I$2,0)+1)/1000000000*VLOOKUP($A76,'Growth Scenarios'!$A$3:$D$80,MATCH('Scenario Picker'!$B$2,'Growth Scenarios'!$B$2:$D$2,0)+1)</f>
        <v>2.4505406309726379</v>
      </c>
      <c r="K76" s="21">
        <f ca="1">(1-'Electrification Scenario'!C82)*VLOOKUP(C$3,'Static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L76" s="21">
        <f ca="1">(1-'Electrification Scenario'!D82)*VLOOKUP(D$3,'Static Parameters'!$A$3:$B$9,2)*VLOOKUP($A76,'Growth Scenarios'!$E$3:$I$80,MATCH('Scenario Picker'!$B$3,'Growth Scenarios'!$F$2:$I$2,0)+1)/1000000000*VLOOKUP($A76,'Growth Scenarios'!$A$3:$D$80,MATCH('Scenario Picker'!$B$2,'Growth Scenarios'!$B$2:$D$2,0)+1)</f>
        <v>0.1021058596238599</v>
      </c>
      <c r="M76" s="21">
        <f ca="1">(1-'Electrification Scenario'!E82)*VLOOKUP(E$3,'Static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N76" s="21">
        <f ca="1">(1-'Electrification Scenario'!F82)*VLOOKUP(F$3,'Static Parameters'!$A$3:$B$9,2)*VLOOKUP($A76,'Growth Scenarios'!$E$3:$I$80,MATCH('Scenario Picker'!$B$3,'Growth Scenarios'!$F$2:$I$2,0)+1)/1000000000*VLOOKUP($A76,'Growth Scenarios'!$A$3:$D$80,MATCH('Scenario Picker'!$B$2,'Growth Scenarios'!$B$2:$D$2,0)+1)</f>
        <v>1.0848747585035114</v>
      </c>
      <c r="O76" s="21">
        <f ca="1">(1-'Electrification Scenario'!G82)*VLOOKUP(G$3,'Static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P76" s="21">
        <f ca="1">(1-'Electrification Scenario'!H82)*VLOOKUP(H$3,'Static Parameters'!$A$3:$B$9,2)*VLOOKUP($A76,'Growth Scenarios'!$E$3:$I$80,MATCH('Scenario Picker'!$B$3,'Growth Scenarios'!$F$2:$I$2,0)+1)/1000000000*VLOOKUP($A76,'Growth Scenarios'!$A$3:$D$80,MATCH('Scenario Picker'!$B$2,'Growth Scenarios'!$B$2:$D$2,0)+1)</f>
        <v>19.655377977593027</v>
      </c>
      <c r="Q76" s="28">
        <f t="shared" ca="1" si="4"/>
        <v>23.292899226693038</v>
      </c>
      <c r="R76" s="28">
        <f t="shared" ca="1" si="5"/>
        <v>191.18045891322467</v>
      </c>
    </row>
    <row r="77" spans="1:18" ht="15" x14ac:dyDescent="0.35">
      <c r="A77" s="31">
        <v>2095</v>
      </c>
      <c r="B77" s="25">
        <f ca="1">'Electrification Scenario'!B83*(1-'Electrification Scenario'!B$8*('Electrification Scenario'!B83-'Electrification Scenario'!B$4)/('Electrification Scenario'!B$5-'Electrification Scenario'!B$4))*VLOOKUP(B$3,'Static Parameters'!$A$3:$B$9,2)*VLOOKUP($A77,'Growth Scenarios'!$E$3:$I$80,MATCH('Scenario Picker'!$B$3,'Growth Scenarios'!$F$2:$I$2,0)+1)/1000000000*VLOOKUP($A77,'Growth Scenarios'!$A$3:$D$80,MATCH('Scenario Picker'!$B$2,'Growth Scenarios'!$B$2:$D$2,0)+1)</f>
        <v>2.9258016619275855</v>
      </c>
      <c r="C77" s="21">
        <f ca="1">'Electrification Scenario'!C83*(1-'Electrification Scenario'!C$8*('Electrification Scenario'!C83-'Electrification Scenario'!C$4)/('Electrification Scenario'!C$5-'Electrification Scenario'!C$4))*VLOOKUP(C$3,'Static Parameters'!$A$3:$B$9,2)*VLOOKUP($A77,'Growth Scenarios'!$E$3:$I$80,MATCH('Scenario Picker'!$B$3,'Growth Scenarios'!$F$2:$I$2,0)+1)/1000000000*VLOOKUP($A77,'Growth Scenarios'!$A$3:$D$80,MATCH('Scenario Picker'!$B$2,'Growth Scenarios'!$B$2:$D$2,0)+1)</f>
        <v>17.879899045113024</v>
      </c>
      <c r="D77" s="21">
        <f ca="1">'Electrification Scenario'!D83*(1-'Electrification Scenario'!D$8*('Electrification Scenario'!D83-'Electrification Scenario'!D$4)/('Electrification Scenario'!D$5-'Electrification Scenario'!D$4))*VLOOKUP(D$3,'Static Parameters'!$A$3:$B$9,2)*VLOOKUP($A77,'Growth Scenarios'!$E$3:$I$80,MATCH('Scenario Picker'!$B$3,'Growth Scenarios'!$F$2:$I$2,0)+1)/1000000000*VLOOKUP($A77,'Growth Scenarios'!$A$3:$D$80,MATCH('Scenario Picker'!$B$2,'Growth Scenarios'!$B$2:$D$2,0)+1)</f>
        <v>0.12190840258031604</v>
      </c>
      <c r="E77" s="21">
        <f ca="1">'Electrification Scenario'!E83*(1-'Electrification Scenario'!E$8*('Electrification Scenario'!E83-'Electrification Scenario'!E$4)/('Electrification Scenario'!E$5-'Electrification Scenario'!E$4))*VLOOKUP(E$3,'Static Parameters'!$A$3:$B$9,2)*VLOOKUP($A77,'Growth Scenarios'!$E$3:$I$80,MATCH('Scenario Picker'!$B$3,'Growth Scenarios'!$F$2:$I$2,0)+1)/1000000000*VLOOKUP($A77,'Growth Scenarios'!$A$3:$D$80,MATCH('Scenario Picker'!$B$2,'Growth Scenarios'!$B$2:$D$2,0)+1)</f>
        <v>68.471886115944187</v>
      </c>
      <c r="F77" s="21">
        <f ca="1">'Electrification Scenario'!F83*(1-'Electrification Scenario'!F$8*('Electrification Scenario'!F83-'Electrification Scenario'!F$4)/('Electrification Scenario'!F$5-'Electrification Scenario'!F$4))*VLOOKUP(F$3,'Static Parameters'!$A$3:$B$9,2)*VLOOKUP($A77,'Growth Scenarios'!$E$3:$I$80,MATCH('Scenario Picker'!$B$3,'Growth Scenarios'!$F$2:$I$2,0)+1)/1000000000*VLOOKUP($A77,'Growth Scenarios'!$A$3:$D$80,MATCH('Scenario Picker'!$B$2,'Growth Scenarios'!$B$2:$D$2,0)+1)</f>
        <v>2.5905535548317169</v>
      </c>
      <c r="G77" s="21">
        <f ca="1">'Electrification Scenario'!G83*(1-'Electrification Scenario'!G$8*('Electrification Scenario'!G83-'Electrification Scenario'!G$4)/('Electrification Scenario'!G$5-'Electrification Scenario'!G$4))*VLOOKUP(G$3,'Static Parameters'!$A$3:$B$9,2)*VLOOKUP($A77,'Growth Scenarios'!$E$3:$I$80,MATCH('Scenario Picker'!$B$3,'Growth Scenarios'!$F$2:$I$2,0)+1)/1000000000*VLOOKUP($A77,'Growth Scenarios'!$A$3:$D$80,MATCH('Scenario Picker'!$B$2,'Growth Scenarios'!$B$2:$D$2,0)+1)</f>
        <v>45.715650967618529</v>
      </c>
      <c r="H77" s="21">
        <f ca="1">'Electrification Scenario'!H83*(1-'Electrification Scenario'!H$8*('Electrification Scenario'!H83-'Electrification Scenario'!H$4)/('Electrification Scenario'!H$5-'Electrification Scenario'!H$4))*VLOOKUP(H$3,'Static Parameters'!$A$3:$B$9,2)*VLOOKUP($A77,'Growth Scenarios'!$E$3:$I$80,MATCH('Scenario Picker'!$B$3,'Growth Scenarios'!$F$2:$I$2,0)+1)/1000000000*VLOOKUP($A77,'Growth Scenarios'!$A$3:$D$80,MATCH('Scenario Picker'!$B$2,'Growth Scenarios'!$B$2:$D$2,0)+1)</f>
        <v>29.334209370888548</v>
      </c>
      <c r="I77" s="28">
        <f t="shared" ca="1" si="3"/>
        <v>167.03990911890392</v>
      </c>
      <c r="J77" s="25">
        <f ca="1">(1-'Electrification Scenario'!B83)*VLOOKUP(B$3,'Static Parameters'!$A$3:$B$9,2)*VLOOKUP($A77,'Growth Scenarios'!$E$3:$I$80,MATCH('Scenario Picker'!$B$3,'Growth Scenarios'!$F$2:$I$2,0)+1)/1000000000*VLOOKUP($A77,'Growth Scenarios'!$A$3:$D$80,MATCH('Scenario Picker'!$B$2,'Growth Scenarios'!$B$2:$D$2,0)+1)</f>
        <v>2.4381680516063211</v>
      </c>
      <c r="K77" s="21">
        <f ca="1">(1-'Electrification Scenario'!C83)*VLOOKUP(C$3,'Static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L77" s="21">
        <f ca="1">(1-'Electrification Scenario'!D83)*VLOOKUP(D$3,'Static Parameters'!$A$3:$B$9,2)*VLOOKUP($A77,'Growth Scenarios'!$E$3:$I$80,MATCH('Scenario Picker'!$B$3,'Growth Scenarios'!$F$2:$I$2,0)+1)/1000000000*VLOOKUP($A77,'Growth Scenarios'!$A$3:$D$80,MATCH('Scenario Picker'!$B$2,'Growth Scenarios'!$B$2:$D$2,0)+1)</f>
        <v>0.10159033548359672</v>
      </c>
      <c r="M77" s="21">
        <f ca="1">(1-'Electrification Scenario'!E83)*VLOOKUP(E$3,'Static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N77" s="21">
        <f ca="1">(1-'Electrification Scenario'!F83)*VLOOKUP(F$3,'Static Parameters'!$A$3:$B$9,2)*VLOOKUP($A77,'Growth Scenarios'!$E$3:$I$80,MATCH('Scenario Picker'!$B$3,'Growth Scenarios'!$F$2:$I$2,0)+1)/1000000000*VLOOKUP($A77,'Growth Scenarios'!$A$3:$D$80,MATCH('Scenario Picker'!$B$2,'Growth Scenarios'!$B$2:$D$2,0)+1)</f>
        <v>1.0793973145132152</v>
      </c>
      <c r="O77" s="21">
        <f ca="1">(1-'Electrification Scenario'!G83)*VLOOKUP(G$3,'Static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P77" s="21">
        <f ca="1">(1-'Electrification Scenario'!H83)*VLOOKUP(H$3,'Static Parameters'!$A$3:$B$9,2)*VLOOKUP($A77,'Growth Scenarios'!$E$3:$I$80,MATCH('Scenario Picker'!$B$3,'Growth Scenarios'!$F$2:$I$2,0)+1)/1000000000*VLOOKUP($A77,'Growth Scenarios'!$A$3:$D$80,MATCH('Scenario Picker'!$B$2,'Growth Scenarios'!$B$2:$D$2,0)+1)</f>
        <v>19.556139580592369</v>
      </c>
      <c r="Q77" s="28">
        <f t="shared" ca="1" si="4"/>
        <v>23.175295282195503</v>
      </c>
      <c r="R77" s="28">
        <f t="shared" ca="1" si="5"/>
        <v>190.21520440109941</v>
      </c>
    </row>
    <row r="78" spans="1:18" ht="15" x14ac:dyDescent="0.35">
      <c r="A78" s="31">
        <v>2096</v>
      </c>
      <c r="B78" s="25">
        <f ca="1">'Electrification Scenario'!B84*(1-'Electrification Scenario'!B$8*('Electrification Scenario'!B84-'Electrification Scenario'!B$4)/('Electrification Scenario'!B$5-'Electrification Scenario'!B$4))*VLOOKUP(B$3,'Static Parameters'!$A$3:$B$9,2)*VLOOKUP($A78,'Growth Scenarios'!$E$3:$I$80,MATCH('Scenario Picker'!$B$3,'Growth Scenarios'!$F$2:$I$2,0)+1)/1000000000*VLOOKUP($A78,'Growth Scenarios'!$A$3:$D$80,MATCH('Scenario Picker'!$B$2,'Growth Scenarios'!$B$2:$D$2,0)+1)</f>
        <v>2.9117884828953042</v>
      </c>
      <c r="C78" s="21">
        <f ca="1">'Electrification Scenario'!C84*(1-'Electrification Scenario'!C$8*('Electrification Scenario'!C84-'Electrification Scenario'!C$4)/('Electrification Scenario'!C$5-'Electrification Scenario'!C$4))*VLOOKUP(C$3,'Static Parameters'!$A$3:$B$9,2)*VLOOKUP($A78,'Growth Scenarios'!$E$3:$I$80,MATCH('Scenario Picker'!$B$3,'Growth Scenarios'!$F$2:$I$2,0)+1)/1000000000*VLOOKUP($A78,'Growth Scenarios'!$A$3:$D$80,MATCH('Scenario Picker'!$B$2,'Growth Scenarios'!$B$2:$D$2,0)+1)</f>
        <v>17.794262951026859</v>
      </c>
      <c r="D78" s="21">
        <f ca="1">'Electrification Scenario'!D84*(1-'Electrification Scenario'!D$8*('Electrification Scenario'!D84-'Electrification Scenario'!D$4)/('Electrification Scenario'!D$5-'Electrification Scenario'!D$4))*VLOOKUP(D$3,'Static Parameters'!$A$3:$B$9,2)*VLOOKUP($A78,'Growth Scenarios'!$E$3:$I$80,MATCH('Scenario Picker'!$B$3,'Growth Scenarios'!$F$2:$I$2,0)+1)/1000000000*VLOOKUP($A78,'Growth Scenarios'!$A$3:$D$80,MATCH('Scenario Picker'!$B$2,'Growth Scenarios'!$B$2:$D$2,0)+1)</f>
        <v>0.12132452012063769</v>
      </c>
      <c r="E78" s="21">
        <f ca="1">'Electrification Scenario'!E84*(1-'Electrification Scenario'!E$8*('Electrification Scenario'!E84-'Electrification Scenario'!E$4)/('Electrification Scenario'!E$5-'Electrification Scenario'!E$4))*VLOOKUP(E$3,'Static Parameters'!$A$3:$B$9,2)*VLOOKUP($A78,'Growth Scenarios'!$E$3:$I$80,MATCH('Scenario Picker'!$B$3,'Growth Scenarios'!$F$2:$I$2,0)+1)/1000000000*VLOOKUP($A78,'Growth Scenarios'!$A$3:$D$80,MATCH('Scenario Picker'!$B$2,'Growth Scenarios'!$B$2:$D$2,0)+1)</f>
        <v>68.143938801091494</v>
      </c>
      <c r="F78" s="21">
        <f ca="1">'Electrification Scenario'!F84*(1-'Electrification Scenario'!F$8*('Electrification Scenario'!F84-'Electrification Scenario'!F$4)/('Electrification Scenario'!F$5-'Electrification Scenario'!F$4))*VLOOKUP(F$3,'Static Parameters'!$A$3:$B$9,2)*VLOOKUP($A78,'Growth Scenarios'!$E$3:$I$80,MATCH('Scenario Picker'!$B$3,'Growth Scenarios'!$F$2:$I$2,0)+1)/1000000000*VLOOKUP($A78,'Growth Scenarios'!$A$3:$D$80,MATCH('Scenario Picker'!$B$2,'Growth Scenarios'!$B$2:$D$2,0)+1)</f>
        <v>2.5781460525635511</v>
      </c>
      <c r="G78" s="21">
        <f ca="1">'Electrification Scenario'!G84*(1-'Electrification Scenario'!G$8*('Electrification Scenario'!G84-'Electrification Scenario'!G$4)/('Electrification Scenario'!G$5-'Electrification Scenario'!G$4))*VLOOKUP(G$3,'Static Parameters'!$A$3:$B$9,2)*VLOOKUP($A78,'Growth Scenarios'!$E$3:$I$80,MATCH('Scenario Picker'!$B$3,'Growth Scenarios'!$F$2:$I$2,0)+1)/1000000000*VLOOKUP($A78,'Growth Scenarios'!$A$3:$D$80,MATCH('Scenario Picker'!$B$2,'Growth Scenarios'!$B$2:$D$2,0)+1)</f>
        <v>45.496695045239136</v>
      </c>
      <c r="H78" s="21">
        <f ca="1">'Electrification Scenario'!H84*(1-'Electrification Scenario'!H$8*('Electrification Scenario'!H84-'Electrification Scenario'!H$4)/('Electrification Scenario'!H$5-'Electrification Scenario'!H$4))*VLOOKUP(H$3,'Static Parameters'!$A$3:$B$9,2)*VLOOKUP($A78,'Growth Scenarios'!$E$3:$I$80,MATCH('Scenario Picker'!$B$3,'Growth Scenarios'!$F$2:$I$2,0)+1)/1000000000*VLOOKUP($A78,'Growth Scenarios'!$A$3:$D$80,MATCH('Scenario Picker'!$B$2,'Growth Scenarios'!$B$2:$D$2,0)+1)</f>
        <v>29.193712654028442</v>
      </c>
      <c r="I78" s="28">
        <f t="shared" ca="1" si="3"/>
        <v>166.23986850696542</v>
      </c>
      <c r="J78" s="25">
        <f ca="1">(1-'Electrification Scenario'!B84)*VLOOKUP(B$3,'Static Parameters'!$A$3:$B$9,2)*VLOOKUP($A78,'Growth Scenarios'!$E$3:$I$80,MATCH('Scenario Picker'!$B$3,'Growth Scenarios'!$F$2:$I$2,0)+1)/1000000000*VLOOKUP($A78,'Growth Scenarios'!$A$3:$D$80,MATCH('Scenario Picker'!$B$2,'Growth Scenarios'!$B$2:$D$2,0)+1)</f>
        <v>2.4264904024127536</v>
      </c>
      <c r="K78" s="21">
        <f ca="1">(1-'Electrification Scenario'!C84)*VLOOKUP(C$3,'Static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L78" s="21">
        <f ca="1">(1-'Electrification Scenario'!D84)*VLOOKUP(D$3,'Static Parameters'!$A$3:$B$9,2)*VLOOKUP($A78,'Growth Scenarios'!$E$3:$I$80,MATCH('Scenario Picker'!$B$3,'Growth Scenarios'!$F$2:$I$2,0)+1)/1000000000*VLOOKUP($A78,'Growth Scenarios'!$A$3:$D$80,MATCH('Scenario Picker'!$B$2,'Growth Scenarios'!$B$2:$D$2,0)+1)</f>
        <v>0.10110376676719807</v>
      </c>
      <c r="M78" s="21">
        <f ca="1">(1-'Electrification Scenario'!E84)*VLOOKUP(E$3,'Static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N78" s="21">
        <f ca="1">(1-'Electrification Scenario'!F84)*VLOOKUP(F$3,'Static Parameters'!$A$3:$B$9,2)*VLOOKUP($A78,'Growth Scenarios'!$E$3:$I$80,MATCH('Scenario Picker'!$B$3,'Growth Scenarios'!$F$2:$I$2,0)+1)/1000000000*VLOOKUP($A78,'Growth Scenarios'!$A$3:$D$80,MATCH('Scenario Picker'!$B$2,'Growth Scenarios'!$B$2:$D$2,0)+1)</f>
        <v>1.0742275219014794</v>
      </c>
      <c r="O78" s="21">
        <f ca="1">(1-'Electrification Scenario'!G84)*VLOOKUP(G$3,'Static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P78" s="21">
        <f ca="1">(1-'Electrification Scenario'!H84)*VLOOKUP(H$3,'Static Parameters'!$A$3:$B$9,2)*VLOOKUP($A78,'Growth Scenarios'!$E$3:$I$80,MATCH('Scenario Picker'!$B$3,'Growth Scenarios'!$F$2:$I$2,0)+1)/1000000000*VLOOKUP($A78,'Growth Scenarios'!$A$3:$D$80,MATCH('Scenario Picker'!$B$2,'Growth Scenarios'!$B$2:$D$2,0)+1)</f>
        <v>19.462475102685627</v>
      </c>
      <c r="Q78" s="28">
        <f t="shared" ca="1" si="4"/>
        <v>23.064296793767056</v>
      </c>
      <c r="R78" s="28">
        <f t="shared" ca="1" si="5"/>
        <v>189.30416530073248</v>
      </c>
    </row>
    <row r="79" spans="1:18" ht="15" x14ac:dyDescent="0.35">
      <c r="A79" s="31">
        <v>2097</v>
      </c>
      <c r="B79" s="25">
        <f ca="1">'Electrification Scenario'!B85*(1-'Electrification Scenario'!B$8*('Electrification Scenario'!B85-'Electrification Scenario'!B$4)/('Electrification Scenario'!B$5-'Electrification Scenario'!B$4))*VLOOKUP(B$3,'Static Parameters'!$A$3:$B$9,2)*VLOOKUP($A79,'Growth Scenarios'!$E$3:$I$80,MATCH('Scenario Picker'!$B$3,'Growth Scenarios'!$F$2:$I$2,0)+1)/1000000000*VLOOKUP($A79,'Growth Scenarios'!$A$3:$D$80,MATCH('Scenario Picker'!$B$2,'Growth Scenarios'!$B$2:$D$2,0)+1)</f>
        <v>2.8985649282933434</v>
      </c>
      <c r="C79" s="21">
        <f ca="1">'Electrification Scenario'!C85*(1-'Electrification Scenario'!C$8*('Electrification Scenario'!C85-'Electrification Scenario'!C$4)/('Electrification Scenario'!C$5-'Electrification Scenario'!C$4))*VLOOKUP(C$3,'Static Parameters'!$A$3:$B$9,2)*VLOOKUP($A79,'Growth Scenarios'!$E$3:$I$80,MATCH('Scenario Picker'!$B$3,'Growth Scenarios'!$F$2:$I$2,0)+1)/1000000000*VLOOKUP($A79,'Growth Scenarios'!$A$3:$D$80,MATCH('Scenario Picker'!$B$2,'Growth Scenarios'!$B$2:$D$2,0)+1)</f>
        <v>17.713452339570434</v>
      </c>
      <c r="D79" s="21">
        <f ca="1">'Electrification Scenario'!D85*(1-'Electrification Scenario'!D$8*('Electrification Scenario'!D85-'Electrification Scenario'!D$4)/('Electrification Scenario'!D$5-'Electrification Scenario'!D$4))*VLOOKUP(D$3,'Static Parameters'!$A$3:$B$9,2)*VLOOKUP($A79,'Growth Scenarios'!$E$3:$I$80,MATCH('Scenario Picker'!$B$3,'Growth Scenarios'!$F$2:$I$2,0)+1)/1000000000*VLOOKUP($A79,'Growth Scenarios'!$A$3:$D$80,MATCH('Scenario Picker'!$B$2,'Growth Scenarios'!$B$2:$D$2,0)+1)</f>
        <v>0.12077353867888933</v>
      </c>
      <c r="E79" s="21">
        <f ca="1">'Electrification Scenario'!E85*(1-'Electrification Scenario'!E$8*('Electrification Scenario'!E85-'Electrification Scenario'!E$4)/('Electrification Scenario'!E$5-'Electrification Scenario'!E$4))*VLOOKUP(E$3,'Static Parameters'!$A$3:$B$9,2)*VLOOKUP($A79,'Growth Scenarios'!$E$3:$I$80,MATCH('Scenario Picker'!$B$3,'Growth Scenarios'!$F$2:$I$2,0)+1)/1000000000*VLOOKUP($A79,'Growth Scenarios'!$A$3:$D$80,MATCH('Scenario Picker'!$B$2,'Growth Scenarios'!$B$2:$D$2,0)+1)</f>
        <v>67.834470891309508</v>
      </c>
      <c r="F79" s="21">
        <f ca="1">'Electrification Scenario'!F85*(1-'Electrification Scenario'!F$8*('Electrification Scenario'!F85-'Electrification Scenario'!F$4)/('Electrification Scenario'!F$5-'Electrification Scenario'!F$4))*VLOOKUP(F$3,'Static Parameters'!$A$3:$B$9,2)*VLOOKUP($A79,'Growth Scenarios'!$E$3:$I$80,MATCH('Scenario Picker'!$B$3,'Growth Scenarios'!$F$2:$I$2,0)+1)/1000000000*VLOOKUP($A79,'Growth Scenarios'!$A$3:$D$80,MATCH('Scenario Picker'!$B$2,'Growth Scenarios'!$B$2:$D$2,0)+1)</f>
        <v>2.5664376969263984</v>
      </c>
      <c r="G79" s="21">
        <f ca="1">'Electrification Scenario'!G85*(1-'Electrification Scenario'!G$8*('Electrification Scenario'!G85-'Electrification Scenario'!G$4)/('Electrification Scenario'!G$5-'Electrification Scenario'!G$4))*VLOOKUP(G$3,'Static Parameters'!$A$3:$B$9,2)*VLOOKUP($A79,'Growth Scenarios'!$E$3:$I$80,MATCH('Scenario Picker'!$B$3,'Growth Scenarios'!$F$2:$I$2,0)+1)/1000000000*VLOOKUP($A79,'Growth Scenarios'!$A$3:$D$80,MATCH('Scenario Picker'!$B$2,'Growth Scenarios'!$B$2:$D$2,0)+1)</f>
        <v>45.290077004583509</v>
      </c>
      <c r="H79" s="21">
        <f ca="1">'Electrification Scenario'!H85*(1-'Electrification Scenario'!H$8*('Electrification Scenario'!H85-'Electrification Scenario'!H$4)/('Electrification Scenario'!H$5-'Electrification Scenario'!H$4))*VLOOKUP(H$3,'Static Parameters'!$A$3:$B$9,2)*VLOOKUP($A79,'Growth Scenarios'!$E$3:$I$80,MATCH('Scenario Picker'!$B$3,'Growth Scenarios'!$F$2:$I$2,0)+1)/1000000000*VLOOKUP($A79,'Growth Scenarios'!$A$3:$D$80,MATCH('Scenario Picker'!$B$2,'Growth Scenarios'!$B$2:$D$2,0)+1)</f>
        <v>29.06113274460774</v>
      </c>
      <c r="I79" s="28">
        <f t="shared" ca="1" si="3"/>
        <v>165.48490914396982</v>
      </c>
      <c r="J79" s="25">
        <f ca="1">(1-'Electrification Scenario'!B85)*VLOOKUP(B$3,'Static Parameters'!$A$3:$B$9,2)*VLOOKUP($A79,'Growth Scenarios'!$E$3:$I$80,MATCH('Scenario Picker'!$B$3,'Growth Scenarios'!$F$2:$I$2,0)+1)/1000000000*VLOOKUP($A79,'Growth Scenarios'!$A$3:$D$80,MATCH('Scenario Picker'!$B$2,'Growth Scenarios'!$B$2:$D$2,0)+1)</f>
        <v>2.4154707735777867</v>
      </c>
      <c r="K79" s="21">
        <f ca="1">(1-'Electrification Scenario'!C85)*VLOOKUP(C$3,'Static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L79" s="21">
        <f ca="1">(1-'Electrification Scenario'!D85)*VLOOKUP(D$3,'Static Parameters'!$A$3:$B$9,2)*VLOOKUP($A79,'Growth Scenarios'!$E$3:$I$80,MATCH('Scenario Picker'!$B$3,'Growth Scenarios'!$F$2:$I$2,0)+1)/1000000000*VLOOKUP($A79,'Growth Scenarios'!$A$3:$D$80,MATCH('Scenario Picker'!$B$2,'Growth Scenarios'!$B$2:$D$2,0)+1)</f>
        <v>0.10064461556574111</v>
      </c>
      <c r="M79" s="21">
        <f ca="1">(1-'Electrification Scenario'!E85)*VLOOKUP(E$3,'Static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N79" s="21">
        <f ca="1">(1-'Electrification Scenario'!F85)*VLOOKUP(F$3,'Static Parameters'!$A$3:$B$9,2)*VLOOKUP($A79,'Growth Scenarios'!$E$3:$I$80,MATCH('Scenario Picker'!$B$3,'Growth Scenarios'!$F$2:$I$2,0)+1)/1000000000*VLOOKUP($A79,'Growth Scenarios'!$A$3:$D$80,MATCH('Scenario Picker'!$B$2,'Growth Scenarios'!$B$2:$D$2,0)+1)</f>
        <v>1.0693490403859993</v>
      </c>
      <c r="O79" s="21">
        <f ca="1">(1-'Electrification Scenario'!G85)*VLOOKUP(G$3,'Static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P79" s="21">
        <f ca="1">(1-'Electrification Scenario'!H85)*VLOOKUP(H$3,'Static Parameters'!$A$3:$B$9,2)*VLOOKUP($A79,'Growth Scenarios'!$E$3:$I$80,MATCH('Scenario Picker'!$B$3,'Growth Scenarios'!$F$2:$I$2,0)+1)/1000000000*VLOOKUP($A79,'Growth Scenarios'!$A$3:$D$80,MATCH('Scenario Picker'!$B$2,'Growth Scenarios'!$B$2:$D$2,0)+1)</f>
        <v>19.374088496405161</v>
      </c>
      <c r="Q79" s="28">
        <f t="shared" ca="1" si="4"/>
        <v>22.959552925934688</v>
      </c>
      <c r="R79" s="28">
        <f t="shared" ca="1" si="5"/>
        <v>188.44446206990449</v>
      </c>
    </row>
    <row r="80" spans="1:18" ht="15" x14ac:dyDescent="0.35">
      <c r="A80" s="31">
        <v>2098</v>
      </c>
      <c r="B80" s="25">
        <f ca="1">'Electrification Scenario'!B86*(1-'Electrification Scenario'!B$8*('Electrification Scenario'!B86-'Electrification Scenario'!B$4)/('Electrification Scenario'!B$5-'Electrification Scenario'!B$4))*VLOOKUP(B$3,'Static Parameters'!$A$3:$B$9,2)*VLOOKUP($A80,'Growth Scenarios'!$E$3:$I$80,MATCH('Scenario Picker'!$B$3,'Growth Scenarios'!$F$2:$I$2,0)+1)/1000000000*VLOOKUP($A80,'Growth Scenarios'!$A$3:$D$80,MATCH('Scenario Picker'!$B$2,'Growth Scenarios'!$B$2:$D$2,0)+1)</f>
        <v>2.8860652885539868</v>
      </c>
      <c r="C80" s="21">
        <f ca="1">'Electrification Scenario'!C86*(1-'Electrification Scenario'!C$8*('Electrification Scenario'!C86-'Electrification Scenario'!C$4)/('Electrification Scenario'!C$5-'Electrification Scenario'!C$4))*VLOOKUP(C$3,'Static Parameters'!$A$3:$B$9,2)*VLOOKUP($A80,'Growth Scenarios'!$E$3:$I$80,MATCH('Scenario Picker'!$B$3,'Growth Scenarios'!$F$2:$I$2,0)+1)/1000000000*VLOOKUP($A80,'Growth Scenarios'!$A$3:$D$80,MATCH('Scenario Picker'!$B$2,'Growth Scenarios'!$B$2:$D$2,0)+1)</f>
        <v>17.637065652274366</v>
      </c>
      <c r="D80" s="21">
        <f ca="1">'Electrification Scenario'!D86*(1-'Electrification Scenario'!D$8*('Electrification Scenario'!D86-'Electrification Scenario'!D$4)/('Electrification Scenario'!D$5-'Electrification Scenario'!D$4))*VLOOKUP(D$3,'Static Parameters'!$A$3:$B$9,2)*VLOOKUP($A80,'Growth Scenarios'!$E$3:$I$80,MATCH('Scenario Picker'!$B$3,'Growth Scenarios'!$F$2:$I$2,0)+1)/1000000000*VLOOKUP($A80,'Growth Scenarios'!$A$3:$D$80,MATCH('Scenario Picker'!$B$2,'Growth Scenarios'!$B$2:$D$2,0)+1)</f>
        <v>0.12025272035641613</v>
      </c>
      <c r="E80" s="21">
        <f ca="1">'Electrification Scenario'!E86*(1-'Electrification Scenario'!E$8*('Electrification Scenario'!E86-'Electrification Scenario'!E$4)/('Electrification Scenario'!E$5-'Electrification Scenario'!E$4))*VLOOKUP(E$3,'Static Parameters'!$A$3:$B$9,2)*VLOOKUP($A80,'Growth Scenarios'!$E$3:$I$80,MATCH('Scenario Picker'!$B$3,'Growth Scenarios'!$F$2:$I$2,0)+1)/1000000000*VLOOKUP($A80,'Growth Scenarios'!$A$3:$D$80,MATCH('Scenario Picker'!$B$2,'Growth Scenarios'!$B$2:$D$2,0)+1)</f>
        <v>67.541944600187051</v>
      </c>
      <c r="F80" s="21">
        <f ca="1">'Electrification Scenario'!F86*(1-'Electrification Scenario'!F$8*('Electrification Scenario'!F86-'Electrification Scenario'!F$4)/('Electrification Scenario'!F$5-'Electrification Scenario'!F$4))*VLOOKUP(F$3,'Static Parameters'!$A$3:$B$9,2)*VLOOKUP($A80,'Growth Scenarios'!$E$3:$I$80,MATCH('Scenario Picker'!$B$3,'Growth Scenarios'!$F$2:$I$2,0)+1)/1000000000*VLOOKUP($A80,'Growth Scenarios'!$A$3:$D$80,MATCH('Scenario Picker'!$B$2,'Growth Scenarios'!$B$2:$D$2,0)+1)</f>
        <v>2.5553703075738432</v>
      </c>
      <c r="G80" s="21">
        <f ca="1">'Electrification Scenario'!G86*(1-'Electrification Scenario'!G$8*('Electrification Scenario'!G86-'Electrification Scenario'!G$4)/('Electrification Scenario'!G$5-'Electrification Scenario'!G$4))*VLOOKUP(G$3,'Static Parameters'!$A$3:$B$9,2)*VLOOKUP($A80,'Growth Scenarios'!$E$3:$I$80,MATCH('Scenario Picker'!$B$3,'Growth Scenarios'!$F$2:$I$2,0)+1)/1000000000*VLOOKUP($A80,'Growth Scenarios'!$A$3:$D$80,MATCH('Scenario Picker'!$B$2,'Growth Scenarios'!$B$2:$D$2,0)+1)</f>
        <v>45.094770133656048</v>
      </c>
      <c r="H80" s="21">
        <f ca="1">'Electrification Scenario'!H86*(1-'Electrification Scenario'!H$8*('Electrification Scenario'!H86-'Electrification Scenario'!H$4)/('Electrification Scenario'!H$5-'Electrification Scenario'!H$4))*VLOOKUP(H$3,'Static Parameters'!$A$3:$B$9,2)*VLOOKUP($A80,'Growth Scenarios'!$E$3:$I$80,MATCH('Scenario Picker'!$B$3,'Growth Scenarios'!$F$2:$I$2,0)+1)/1000000000*VLOOKUP($A80,'Growth Scenarios'!$A$3:$D$80,MATCH('Scenario Picker'!$B$2,'Growth Scenarios'!$B$2:$D$2,0)+1)</f>
        <v>28.935810835762627</v>
      </c>
      <c r="I80" s="28">
        <f t="shared" ca="1" si="3"/>
        <v>164.77127953836433</v>
      </c>
      <c r="J80" s="25">
        <f ca="1">(1-'Electrification Scenario'!B86)*VLOOKUP(B$3,'Static Parameters'!$A$3:$B$9,2)*VLOOKUP($A80,'Growth Scenarios'!$E$3:$I$80,MATCH('Scenario Picker'!$B$3,'Growth Scenarios'!$F$2:$I$2,0)+1)/1000000000*VLOOKUP($A80,'Growth Scenarios'!$A$3:$D$80,MATCH('Scenario Picker'!$B$2,'Growth Scenarios'!$B$2:$D$2,0)+1)</f>
        <v>2.4050544071283224</v>
      </c>
      <c r="K80" s="21">
        <f ca="1">(1-'Electrification Scenario'!C86)*VLOOKUP(C$3,'Static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L80" s="21">
        <f ca="1">(1-'Electrification Scenario'!D86)*VLOOKUP(D$3,'Static Parameters'!$A$3:$B$9,2)*VLOOKUP($A80,'Growth Scenarios'!$E$3:$I$80,MATCH('Scenario Picker'!$B$3,'Growth Scenarios'!$F$2:$I$2,0)+1)/1000000000*VLOOKUP($A80,'Growth Scenarios'!$A$3:$D$80,MATCH('Scenario Picker'!$B$2,'Growth Scenarios'!$B$2:$D$2,0)+1)</f>
        <v>0.10021060029701345</v>
      </c>
      <c r="M80" s="21">
        <f ca="1">(1-'Electrification Scenario'!E86)*VLOOKUP(E$3,'Static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N80" s="21">
        <f ca="1">(1-'Electrification Scenario'!F86)*VLOOKUP(F$3,'Static Parameters'!$A$3:$B$9,2)*VLOOKUP($A80,'Growth Scenarios'!$E$3:$I$80,MATCH('Scenario Picker'!$B$3,'Growth Scenarios'!$F$2:$I$2,0)+1)/1000000000*VLOOKUP($A80,'Growth Scenarios'!$A$3:$D$80,MATCH('Scenario Picker'!$B$2,'Growth Scenarios'!$B$2:$D$2,0)+1)</f>
        <v>1.0647376281557679</v>
      </c>
      <c r="O80" s="21">
        <f ca="1">(1-'Electrification Scenario'!G86)*VLOOKUP(G$3,'Static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P80" s="21">
        <f ca="1">(1-'Electrification Scenario'!H86)*VLOOKUP(H$3,'Static Parameters'!$A$3:$B$9,2)*VLOOKUP($A80,'Growth Scenarios'!$E$3:$I$80,MATCH('Scenario Picker'!$B$3,'Growth Scenarios'!$F$2:$I$2,0)+1)/1000000000*VLOOKUP($A80,'Growth Scenarios'!$A$3:$D$80,MATCH('Scenario Picker'!$B$2,'Growth Scenarios'!$B$2:$D$2,0)+1)</f>
        <v>19.290540557175088</v>
      </c>
      <c r="Q80" s="28">
        <f t="shared" ca="1" si="4"/>
        <v>22.860543192756193</v>
      </c>
      <c r="R80" s="28">
        <f t="shared" ca="1" si="5"/>
        <v>187.63182273112051</v>
      </c>
    </row>
    <row r="81" spans="1:18" ht="15" x14ac:dyDescent="0.35">
      <c r="A81" s="31">
        <v>2099</v>
      </c>
      <c r="B81" s="25">
        <f ca="1">'Electrification Scenario'!B87*(1-'Electrification Scenario'!B$8*('Electrification Scenario'!B87-'Electrification Scenario'!B$4)/('Electrification Scenario'!B$5-'Electrification Scenario'!B$4))*VLOOKUP(B$3,'Static Parameters'!$A$3:$B$9,2)*VLOOKUP($A81,'Growth Scenarios'!$E$3:$I$80,MATCH('Scenario Picker'!$B$3,'Growth Scenarios'!$F$2:$I$2,0)+1)/1000000000*VLOOKUP($A81,'Growth Scenarios'!$A$3:$D$80,MATCH('Scenario Picker'!$B$2,'Growth Scenarios'!$B$2:$D$2,0)+1)</f>
        <v>2.8742288896493395</v>
      </c>
      <c r="C81" s="21">
        <f ca="1">'Electrification Scenario'!C87*(1-'Electrification Scenario'!C$8*('Electrification Scenario'!C87-'Electrification Scenario'!C$4)/('Electrification Scenario'!C$5-'Electrification Scenario'!C$4))*VLOOKUP(C$3,'Static Parameters'!$A$3:$B$9,2)*VLOOKUP($A81,'Growth Scenarios'!$E$3:$I$80,MATCH('Scenario Picker'!$B$3,'Growth Scenarios'!$F$2:$I$2,0)+1)/1000000000*VLOOKUP($A81,'Growth Scenarios'!$A$3:$D$80,MATCH('Scenario Picker'!$B$2,'Growth Scenarios'!$B$2:$D$2,0)+1)</f>
        <v>17.564732103412634</v>
      </c>
      <c r="D81" s="21">
        <f ca="1">'Electrification Scenario'!D87*(1-'Electrification Scenario'!D$8*('Electrification Scenario'!D87-'Electrification Scenario'!D$4)/('Electrification Scenario'!D$5-'Electrification Scenario'!D$4))*VLOOKUP(D$3,'Static Parameters'!$A$3:$B$9,2)*VLOOKUP($A81,'Growth Scenarios'!$E$3:$I$80,MATCH('Scenario Picker'!$B$3,'Growth Scenarios'!$F$2:$I$2,0)+1)/1000000000*VLOOKUP($A81,'Growth Scenarios'!$A$3:$D$80,MATCH('Scenario Picker'!$B$2,'Growth Scenarios'!$B$2:$D$2,0)+1)</f>
        <v>0.1197595370687225</v>
      </c>
      <c r="E81" s="21">
        <f ca="1">'Electrification Scenario'!E87*(1-'Electrification Scenario'!E$8*('Electrification Scenario'!E87-'Electrification Scenario'!E$4)/('Electrification Scenario'!E$5-'Electrification Scenario'!E$4))*VLOOKUP(E$3,'Static Parameters'!$A$3:$B$9,2)*VLOOKUP($A81,'Growth Scenarios'!$E$3:$I$80,MATCH('Scenario Picker'!$B$3,'Growth Scenarios'!$F$2:$I$2,0)+1)/1000000000*VLOOKUP($A81,'Growth Scenarios'!$A$3:$D$80,MATCH('Scenario Picker'!$B$2,'Growth Scenarios'!$B$2:$D$2,0)+1)</f>
        <v>67.264939986932475</v>
      </c>
      <c r="F81" s="21">
        <f ca="1">'Electrification Scenario'!F87*(1-'Electrification Scenario'!F$8*('Electrification Scenario'!F87-'Electrification Scenario'!F$4)/('Electrification Scenario'!F$5-'Electrification Scenario'!F$4))*VLOOKUP(F$3,'Static Parameters'!$A$3:$B$9,2)*VLOOKUP($A81,'Growth Scenarios'!$E$3:$I$80,MATCH('Scenario Picker'!$B$3,'Growth Scenarios'!$F$2:$I$2,0)+1)/1000000000*VLOOKUP($A81,'Growth Scenarios'!$A$3:$D$80,MATCH('Scenario Picker'!$B$2,'Growth Scenarios'!$B$2:$D$2,0)+1)</f>
        <v>2.5448901627103537</v>
      </c>
      <c r="G81" s="21">
        <f ca="1">'Electrification Scenario'!G87*(1-'Electrification Scenario'!G$8*('Electrification Scenario'!G87-'Electrification Scenario'!G$4)/('Electrification Scenario'!G$5-'Electrification Scenario'!G$4))*VLOOKUP(G$3,'Static Parameters'!$A$3:$B$9,2)*VLOOKUP($A81,'Growth Scenarios'!$E$3:$I$80,MATCH('Scenario Picker'!$B$3,'Growth Scenarios'!$F$2:$I$2,0)+1)/1000000000*VLOOKUP($A81,'Growth Scenarios'!$A$3:$D$80,MATCH('Scenario Picker'!$B$2,'Growth Scenarios'!$B$2:$D$2,0)+1)</f>
        <v>44.909826400770939</v>
      </c>
      <c r="H81" s="21">
        <f ca="1">'Electrification Scenario'!H87*(1-'Electrification Scenario'!H$8*('Electrification Scenario'!H87-'Electrification Scenario'!H$4)/('Electrification Scenario'!H$5-'Electrification Scenario'!H$4))*VLOOKUP(H$3,'Static Parameters'!$A$3:$B$9,2)*VLOOKUP($A81,'Growth Scenarios'!$E$3:$I$80,MATCH('Scenario Picker'!$B$3,'Growth Scenarios'!$F$2:$I$2,0)+1)/1000000000*VLOOKUP($A81,'Growth Scenarios'!$A$3:$D$80,MATCH('Scenario Picker'!$B$2,'Growth Scenarios'!$B$2:$D$2,0)+1)</f>
        <v>28.81713860716135</v>
      </c>
      <c r="I81" s="28">
        <f t="shared" ca="1" si="3"/>
        <v>164.09551568770584</v>
      </c>
      <c r="J81" s="25">
        <f ca="1">(1-'Electrification Scenario'!B87)*VLOOKUP(B$3,'Static Parameters'!$A$3:$B$9,2)*VLOOKUP($A81,'Growth Scenarios'!$E$3:$I$80,MATCH('Scenario Picker'!$B$3,'Growth Scenarios'!$F$2:$I$2,0)+1)/1000000000*VLOOKUP($A81,'Growth Scenarios'!$A$3:$D$80,MATCH('Scenario Picker'!$B$2,'Growth Scenarios'!$B$2:$D$2,0)+1)</f>
        <v>2.3951907413744502</v>
      </c>
      <c r="K81" s="21">
        <f ca="1">(1-'Electrification Scenario'!C87)*VLOOKUP(C$3,'Static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L81" s="21">
        <f ca="1">(1-'Electrification Scenario'!D87)*VLOOKUP(D$3,'Static Parameters'!$A$3:$B$9,2)*VLOOKUP($A81,'Growth Scenarios'!$E$3:$I$80,MATCH('Scenario Picker'!$B$3,'Growth Scenarios'!$F$2:$I$2,0)+1)/1000000000*VLOOKUP($A81,'Growth Scenarios'!$A$3:$D$80,MATCH('Scenario Picker'!$B$2,'Growth Scenarios'!$B$2:$D$2,0)+1)</f>
        <v>9.9799614223935421E-2</v>
      </c>
      <c r="M81" s="21">
        <f ca="1">(1-'Electrification Scenario'!E87)*VLOOKUP(E$3,'Static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N81" s="21">
        <f ca="1">(1-'Electrification Scenario'!F87)*VLOOKUP(F$3,'Static Parameters'!$A$3:$B$9,2)*VLOOKUP($A81,'Growth Scenarios'!$E$3:$I$80,MATCH('Scenario Picker'!$B$3,'Growth Scenarios'!$F$2:$I$2,0)+1)/1000000000*VLOOKUP($A81,'Growth Scenarios'!$A$3:$D$80,MATCH('Scenario Picker'!$B$2,'Growth Scenarios'!$B$2:$D$2,0)+1)</f>
        <v>1.0603709011293139</v>
      </c>
      <c r="O81" s="21">
        <f ca="1">(1-'Electrification Scenario'!G87)*VLOOKUP(G$3,'Static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P81" s="21">
        <f ca="1">(1-'Electrification Scenario'!H87)*VLOOKUP(H$3,'Static Parameters'!$A$3:$B$9,2)*VLOOKUP($A81,'Growth Scenarios'!$E$3:$I$80,MATCH('Scenario Picker'!$B$3,'Growth Scenarios'!$F$2:$I$2,0)+1)/1000000000*VLOOKUP($A81,'Growth Scenarios'!$A$3:$D$80,MATCH('Scenario Picker'!$B$2,'Growth Scenarios'!$B$2:$D$2,0)+1)</f>
        <v>19.211425738107568</v>
      </c>
      <c r="Q81" s="28">
        <f t="shared" ca="1" si="4"/>
        <v>22.766786994835268</v>
      </c>
      <c r="R81" s="28">
        <f t="shared" ca="1" si="5"/>
        <v>186.8623026825411</v>
      </c>
    </row>
    <row r="82" spans="1:18" ht="15.6" thickBot="1" x14ac:dyDescent="0.4">
      <c r="A82" s="32">
        <v>2100</v>
      </c>
      <c r="B82" s="26">
        <f ca="1">'Electrification Scenario'!B88*(1-'Electrification Scenario'!B$8*('Electrification Scenario'!B88-'Electrification Scenario'!B$4)/('Electrification Scenario'!B$5-'Electrification Scenario'!B$4))*VLOOKUP(B$3,'Static Parameters'!$A$3:$B$9,2)*VLOOKUP($A82,'Growth Scenarios'!$E$3:$I$80,MATCH('Scenario Picker'!$B$3,'Growth Scenarios'!$F$2:$I$2,0)+1)/1000000000*VLOOKUP($A82,'Growth Scenarios'!$A$3:$D$80,MATCH('Scenario Picker'!$B$2,'Growth Scenarios'!$B$2:$D$2,0)+1)</f>
        <v>2.8630064563647388</v>
      </c>
      <c r="C82" s="24">
        <f ca="1">'Electrification Scenario'!C88*(1-'Electrification Scenario'!C$8*('Electrification Scenario'!C88-'Electrification Scenario'!C$4)/('Electrification Scenario'!C$5-'Electrification Scenario'!C$4))*VLOOKUP(C$3,'Static Parameters'!$A$3:$B$9,2)*VLOOKUP($A82,'Growth Scenarios'!$E$3:$I$80,MATCH('Scenario Picker'!$B$3,'Growth Scenarios'!$F$2:$I$2,0)+1)/1000000000*VLOOKUP($A82,'Growth Scenarios'!$A$3:$D$80,MATCH('Scenario Picker'!$B$2,'Growth Scenarios'!$B$2:$D$2,0)+1)</f>
        <v>17.496150566673407</v>
      </c>
      <c r="D82" s="24">
        <f ca="1">'Electrification Scenario'!D88*(1-'Electrification Scenario'!D$8*('Electrification Scenario'!D88-'Electrification Scenario'!D$4)/('Electrification Scenario'!D$5-'Electrification Scenario'!D$4))*VLOOKUP(D$3,'Static Parameters'!$A$3:$B$9,2)*VLOOKUP($A82,'Growth Scenarios'!$E$3:$I$80,MATCH('Scenario Picker'!$B$3,'Growth Scenarios'!$F$2:$I$2,0)+1)/1000000000*VLOOKUP($A82,'Growth Scenarios'!$A$3:$D$80,MATCH('Scenario Picker'!$B$2,'Growth Scenarios'!$B$2:$D$2,0)+1)</f>
        <v>0.11929193568186412</v>
      </c>
      <c r="E82" s="24">
        <f ca="1">'Electrification Scenario'!E88*(1-'Electrification Scenario'!E$8*('Electrification Scenario'!E88-'Electrification Scenario'!E$4)/('Electrification Scenario'!E$5-'Electrification Scenario'!E$4))*VLOOKUP(E$3,'Static Parameters'!$A$3:$B$9,2)*VLOOKUP($A82,'Growth Scenarios'!$E$3:$I$80,MATCH('Scenario Picker'!$B$3,'Growth Scenarios'!$F$2:$I$2,0)+1)/1000000000*VLOOKUP($A82,'Growth Scenarios'!$A$3:$D$80,MATCH('Scenario Picker'!$B$2,'Growth Scenarios'!$B$2:$D$2,0)+1)</f>
        <v>67.002303874647026</v>
      </c>
      <c r="F82" s="24">
        <f ca="1">'Electrification Scenario'!F88*(1-'Electrification Scenario'!F$8*('Electrification Scenario'!F88-'Electrification Scenario'!F$4)/('Electrification Scenario'!F$5-'Electrification Scenario'!F$4))*VLOOKUP(F$3,'Static Parameters'!$A$3:$B$9,2)*VLOOKUP($A82,'Growth Scenarios'!$E$3:$I$80,MATCH('Scenario Picker'!$B$3,'Growth Scenarios'!$F$2:$I$2,0)+1)/1000000000*VLOOKUP($A82,'Growth Scenarios'!$A$3:$D$80,MATCH('Scenario Picker'!$B$2,'Growth Scenarios'!$B$2:$D$2,0)+1)</f>
        <v>2.5349536332396134</v>
      </c>
      <c r="G82" s="24">
        <f ca="1">'Electrification Scenario'!G88*(1-'Electrification Scenario'!G$8*('Electrification Scenario'!G88-'Electrification Scenario'!G$4)/('Electrification Scenario'!G$5-'Electrification Scenario'!G$4))*VLOOKUP(G$3,'Static Parameters'!$A$3:$B$9,2)*VLOOKUP($A82,'Growth Scenarios'!$E$3:$I$80,MATCH('Scenario Picker'!$B$3,'Growth Scenarios'!$F$2:$I$2,0)+1)/1000000000*VLOOKUP($A82,'Growth Scenarios'!$A$3:$D$80,MATCH('Scenario Picker'!$B$2,'Growth Scenarios'!$B$2:$D$2,0)+1)</f>
        <v>44.734475880699051</v>
      </c>
      <c r="H82" s="24">
        <f ca="1">'Electrification Scenario'!H88*(1-'Electrification Scenario'!H$8*('Electrification Scenario'!H88-'Electrification Scenario'!H$4)/('Electrification Scenario'!H$5-'Electrification Scenario'!H$4))*VLOOKUP(H$3,'Static Parameters'!$A$3:$B$9,2)*VLOOKUP($A82,'Growth Scenarios'!$E$3:$I$80,MATCH('Scenario Picker'!$B$3,'Growth Scenarios'!$F$2:$I$2,0)+1)/1000000000*VLOOKUP($A82,'Growth Scenarios'!$A$3:$D$80,MATCH('Scenario Picker'!$B$2,'Growth Scenarios'!$B$2:$D$2,0)+1)</f>
        <v>28.704622023448554</v>
      </c>
      <c r="I82" s="29">
        <f t="shared" ca="1" si="3"/>
        <v>163.45480437075426</v>
      </c>
      <c r="J82" s="26">
        <f ca="1">(1-'Electrification Scenario'!B88)*VLOOKUP(B$3,'Static Parameters'!$A$3:$B$9,2)*VLOOKUP($A82,'Growth Scenarios'!$E$3:$I$80,MATCH('Scenario Picker'!$B$3,'Growth Scenarios'!$F$2:$I$2,0)+1)/1000000000*VLOOKUP($A82,'Growth Scenarios'!$A$3:$D$80,MATCH('Scenario Picker'!$B$2,'Growth Scenarios'!$B$2:$D$2,0)+1)</f>
        <v>2.3858387136372827</v>
      </c>
      <c r="K82" s="24">
        <f ca="1">(1-'Electrification Scenario'!C88)*VLOOKUP(C$3,'Static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L82" s="24">
        <f ca="1">(1-'Electrification Scenario'!D88)*VLOOKUP(D$3,'Static Parameters'!$A$3:$B$9,2)*VLOOKUP($A82,'Growth Scenarios'!$E$3:$I$80,MATCH('Scenario Picker'!$B$3,'Growth Scenarios'!$F$2:$I$2,0)+1)/1000000000*VLOOKUP($A82,'Growth Scenarios'!$A$3:$D$80,MATCH('Scenario Picker'!$B$2,'Growth Scenarios'!$B$2:$D$2,0)+1)</f>
        <v>9.9409946401553442E-2</v>
      </c>
      <c r="M82" s="24">
        <f ca="1">(1-'Electrification Scenario'!E88)*VLOOKUP(E$3,'Static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N82" s="24">
        <f ca="1">(1-'Electrification Scenario'!F88)*VLOOKUP(F$3,'Static Parameters'!$A$3:$B$9,2)*VLOOKUP($A82,'Growth Scenarios'!$E$3:$I$80,MATCH('Scenario Picker'!$B$3,'Growth Scenarios'!$F$2:$I$2,0)+1)/1000000000*VLOOKUP($A82,'Growth Scenarios'!$A$3:$D$80,MATCH('Scenario Picker'!$B$2,'Growth Scenarios'!$B$2:$D$2,0)+1)</f>
        <v>1.0562306805165054</v>
      </c>
      <c r="O82" s="24">
        <f ca="1">(1-'Electrification Scenario'!G88)*VLOOKUP(G$3,'Static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P82" s="24">
        <f ca="1">(1-'Electrification Scenario'!H88)*VLOOKUP(H$3,'Static Parameters'!$A$3:$B$9,2)*VLOOKUP($A82,'Growth Scenarios'!$E$3:$I$80,MATCH('Scenario Picker'!$B$3,'Growth Scenarios'!$F$2:$I$2,0)+1)/1000000000*VLOOKUP($A82,'Growth Scenarios'!$A$3:$D$80,MATCH('Scenario Picker'!$B$2,'Growth Scenarios'!$B$2:$D$2,0)+1)</f>
        <v>19.136414682299037</v>
      </c>
      <c r="Q82" s="29">
        <f t="shared" ca="1" si="4"/>
        <v>22.677894022854378</v>
      </c>
      <c r="R82" s="28">
        <f t="shared" ca="1" si="5"/>
        <v>186.13269839360865</v>
      </c>
    </row>
  </sheetData>
  <mergeCells count="6">
    <mergeCell ref="J1:P1"/>
    <mergeCell ref="A2:A3"/>
    <mergeCell ref="J2:Q2"/>
    <mergeCell ref="B2:I2"/>
    <mergeCell ref="B4:I4"/>
    <mergeCell ref="J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2385-030F-4131-8208-8C03115F290B}">
  <dimension ref="A2:AO82"/>
  <sheetViews>
    <sheetView topLeftCell="E1" zoomScale="94" zoomScaleNormal="85" workbookViewId="0">
      <selection activeCell="H18" sqref="H18"/>
    </sheetView>
  </sheetViews>
  <sheetFormatPr defaultRowHeight="15" x14ac:dyDescent="0.35"/>
  <cols>
    <col min="1" max="4" width="8.88671875" style="33"/>
    <col min="5" max="16" width="13.21875" style="33" customWidth="1"/>
    <col min="17" max="19" width="8.88671875" style="33"/>
    <col min="20" max="20" width="10.44140625" style="33" bestFit="1" customWidth="1"/>
    <col min="21" max="22" width="9.44140625" style="33" bestFit="1" customWidth="1"/>
    <col min="23" max="31" width="8.88671875" style="33"/>
    <col min="32" max="33" width="20.88671875" style="33" customWidth="1"/>
    <col min="34" max="35" width="18.109375" style="33" customWidth="1"/>
    <col min="36" max="39" width="9.44140625" style="33" customWidth="1"/>
    <col min="40" max="41" width="20.5546875" style="33" customWidth="1"/>
    <col min="42" max="16384" width="8.88671875" style="33"/>
  </cols>
  <sheetData>
    <row r="2" spans="1:41" ht="15" customHeight="1" x14ac:dyDescent="0.35">
      <c r="A2" s="91"/>
      <c r="B2" s="44"/>
      <c r="C2" s="44"/>
      <c r="D2" s="44"/>
      <c r="E2" s="88" t="s">
        <v>78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  <c r="W2" s="68" t="s">
        <v>77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88"/>
      <c r="AI2" s="90"/>
      <c r="AJ2" s="70"/>
      <c r="AK2" s="70"/>
      <c r="AL2" s="70"/>
      <c r="AM2" s="70"/>
      <c r="AN2" s="70"/>
      <c r="AO2" s="70"/>
    </row>
    <row r="3" spans="1:41" x14ac:dyDescent="0.35">
      <c r="A3" s="91"/>
      <c r="B3" s="3" t="s">
        <v>2</v>
      </c>
      <c r="C3" s="3" t="s">
        <v>0</v>
      </c>
      <c r="D3" s="3" t="s">
        <v>1</v>
      </c>
      <c r="E3" s="3" t="s">
        <v>2</v>
      </c>
      <c r="F3" s="3" t="s">
        <v>0</v>
      </c>
      <c r="G3" s="3" t="s">
        <v>1</v>
      </c>
      <c r="H3" s="3" t="s">
        <v>13</v>
      </c>
      <c r="I3" s="3" t="s">
        <v>2</v>
      </c>
      <c r="J3" s="3" t="s">
        <v>0</v>
      </c>
      <c r="K3" s="3" t="s">
        <v>1</v>
      </c>
      <c r="L3" s="3" t="s">
        <v>13</v>
      </c>
      <c r="M3" s="3" t="s">
        <v>2</v>
      </c>
      <c r="N3" s="3" t="s">
        <v>0</v>
      </c>
      <c r="O3" s="3" t="s">
        <v>1</v>
      </c>
      <c r="P3" s="3" t="s">
        <v>13</v>
      </c>
      <c r="Q3" s="3" t="s">
        <v>2</v>
      </c>
      <c r="R3" s="3" t="s">
        <v>0</v>
      </c>
      <c r="S3" s="3" t="s">
        <v>1</v>
      </c>
      <c r="T3" s="3" t="s">
        <v>2</v>
      </c>
      <c r="U3" s="3" t="s">
        <v>0</v>
      </c>
      <c r="V3" s="3" t="s">
        <v>1</v>
      </c>
      <c r="W3" s="3" t="s">
        <v>7</v>
      </c>
      <c r="X3" s="3" t="s">
        <v>6</v>
      </c>
      <c r="Y3" s="3" t="s">
        <v>8</v>
      </c>
      <c r="Z3" s="3" t="s">
        <v>7</v>
      </c>
      <c r="AA3" s="3" t="s">
        <v>6</v>
      </c>
      <c r="AB3" s="3" t="s">
        <v>8</v>
      </c>
      <c r="AC3" s="3" t="s">
        <v>7</v>
      </c>
      <c r="AD3" s="3" t="s">
        <v>6</v>
      </c>
      <c r="AE3" s="3" t="s">
        <v>8</v>
      </c>
      <c r="AF3" s="68" t="s">
        <v>119</v>
      </c>
      <c r="AG3" s="68"/>
      <c r="AH3" s="88" t="s">
        <v>9</v>
      </c>
      <c r="AI3" s="90"/>
      <c r="AJ3" s="70" t="s">
        <v>105</v>
      </c>
      <c r="AK3" s="70"/>
      <c r="AL3" s="70"/>
      <c r="AM3" s="70"/>
      <c r="AN3" s="70"/>
      <c r="AO3" s="70"/>
    </row>
    <row r="4" spans="1:41" x14ac:dyDescent="0.35">
      <c r="A4" s="3" t="s">
        <v>3</v>
      </c>
      <c r="B4" s="70" t="s">
        <v>79</v>
      </c>
      <c r="C4" s="70"/>
      <c r="D4" s="70"/>
      <c r="E4" s="70" t="s">
        <v>102</v>
      </c>
      <c r="F4" s="70"/>
      <c r="G4" s="70"/>
      <c r="H4" s="70"/>
      <c r="I4" s="70" t="s">
        <v>70</v>
      </c>
      <c r="J4" s="70"/>
      <c r="K4" s="70"/>
      <c r="L4" s="70"/>
      <c r="M4" s="70" t="s">
        <v>71</v>
      </c>
      <c r="N4" s="70"/>
      <c r="O4" s="70"/>
      <c r="P4" s="70"/>
      <c r="Q4" s="70" t="s">
        <v>72</v>
      </c>
      <c r="R4" s="70"/>
      <c r="S4" s="70"/>
      <c r="T4" s="70" t="s">
        <v>80</v>
      </c>
      <c r="U4" s="70"/>
      <c r="V4" s="70"/>
      <c r="W4" s="70" t="s">
        <v>74</v>
      </c>
      <c r="X4" s="70"/>
      <c r="Y4" s="70"/>
      <c r="Z4" s="70" t="s">
        <v>75</v>
      </c>
      <c r="AA4" s="70"/>
      <c r="AB4" s="70"/>
      <c r="AC4" s="70" t="s">
        <v>76</v>
      </c>
      <c r="AD4" s="70"/>
      <c r="AE4" s="70"/>
      <c r="AF4" s="17" t="s">
        <v>95</v>
      </c>
      <c r="AG4" s="17" t="s">
        <v>96</v>
      </c>
      <c r="AH4" s="17" t="s">
        <v>97</v>
      </c>
      <c r="AI4" s="17" t="s">
        <v>98</v>
      </c>
      <c r="AJ4" s="17" t="s">
        <v>2</v>
      </c>
      <c r="AK4" s="17" t="s">
        <v>0</v>
      </c>
      <c r="AL4" s="17" t="s">
        <v>1</v>
      </c>
      <c r="AM4" s="17" t="s">
        <v>13</v>
      </c>
      <c r="AN4" s="17" t="s">
        <v>106</v>
      </c>
      <c r="AO4" s="17" t="s">
        <v>107</v>
      </c>
    </row>
    <row r="5" spans="1:41" x14ac:dyDescent="0.35">
      <c r="A5" s="13">
        <v>2023</v>
      </c>
      <c r="B5" s="12">
        <f>'Static Parameters'!C14</f>
        <v>0.82</v>
      </c>
      <c r="C5" s="12">
        <f>'Static Parameters'!D14</f>
        <v>7.0000000000000007E-2</v>
      </c>
      <c r="D5" s="12">
        <f>'Static Parameters'!E14</f>
        <v>0.61</v>
      </c>
      <c r="E5" s="12">
        <f ca="1">B5*('Model - Scarcity &amp; Growth Rates'!$D5*(1-'Model - Scarcity &amp; Growth Rates'!$I5)-'Model - Scarcity &amp; Growth Rates'!$I5)+(1-'Model - Supply'!B5)*('Model - Scarcity &amp; Growth Rates'!$E5*(1-'Model - Scarcity &amp; Growth Rates'!$I5)-'Model - Scarcity &amp; Growth Rates'!$I5)</f>
        <v>-6.844200114056416E-2</v>
      </c>
      <c r="F5" s="12">
        <f ca="1">C5*('Model - Scarcity &amp; Growth Rates'!$D5*(1-'Model - Scarcity &amp; Growth Rates'!$I5)-'Model - Scarcity &amp; Growth Rates'!$I5)+(1-'Model - Supply'!C5)*('Model - Scarcity &amp; Growth Rates'!$E5*(1-'Model - Scarcity &amp; Growth Rates'!$I5)-'Model - Scarcity &amp; Growth Rates'!$I5)</f>
        <v>4.6647293457467986E-2</v>
      </c>
      <c r="G5" s="12">
        <f ca="1">D5*('Model - Scarcity &amp; Growth Rates'!$D5*(1-'Model - Scarcity &amp; Growth Rates'!$I5)-'Model - Scarcity &amp; Growth Rates'!$I5)+(1-'Model - Supply'!D5)*('Model - Scarcity &amp; Growth Rates'!$E5*(1-'Model - Scarcity &amp; Growth Rates'!$I5)-'Model - Scarcity &amp; Growth Rates'!$I5)</f>
        <v>-3.6216998653115159E-2</v>
      </c>
      <c r="H5" s="12">
        <f ca="1">'Model - Scarcity &amp; Growth Rates'!J5</f>
        <v>-9.5954970600326581E-2</v>
      </c>
      <c r="I5" s="21">
        <f>'Static Parameters'!C16</f>
        <v>175</v>
      </c>
      <c r="J5" s="21">
        <f>'Static Parameters'!D16</f>
        <v>159</v>
      </c>
      <c r="K5" s="21">
        <f>'Static Parameters'!E16</f>
        <v>138</v>
      </c>
      <c r="L5" s="21">
        <f>'Static Parameters'!F16</f>
        <v>9.6999999999999993</v>
      </c>
      <c r="M5" s="21">
        <f>I5*B5*'Static Parameters'!C$15</f>
        <v>33.005000000000003</v>
      </c>
      <c r="N5" s="21">
        <f>J5*C5*'Static Parameters'!D$15</f>
        <v>2.5599000000000003</v>
      </c>
      <c r="O5" s="21">
        <f>K5*D5*'Static Parameters'!E$15</f>
        <v>20.203199999999999</v>
      </c>
      <c r="P5" s="63">
        <f>L5</f>
        <v>9.6999999999999993</v>
      </c>
      <c r="Q5" s="40">
        <f>I5*(1-B5)</f>
        <v>31.500000000000007</v>
      </c>
      <c r="R5" s="40">
        <f t="shared" ref="R5:S5" si="0">J5*(1-C5)</f>
        <v>147.86999999999998</v>
      </c>
      <c r="S5" s="40">
        <f t="shared" si="0"/>
        <v>53.82</v>
      </c>
      <c r="T5" s="64">
        <f>I5*'Static Parameters'!C$19/(44/12)/1000</f>
        <v>4.5961363636363641</v>
      </c>
      <c r="U5" s="64">
        <f>J5*'Static Parameters'!D$19/(44/12)/1000</f>
        <v>3.1785545454545452</v>
      </c>
      <c r="V5" s="64">
        <f>K5*'Static Parameters'!E$19/(44/12)/1000</f>
        <v>2.1114000000000002</v>
      </c>
      <c r="W5" s="18"/>
      <c r="X5" s="18"/>
      <c r="Y5" s="18"/>
      <c r="Z5" s="64">
        <f>AC5</f>
        <v>4.7</v>
      </c>
      <c r="AA5" s="64">
        <f t="shared" ref="AA5:AB5" si="1">AD5</f>
        <v>7.6</v>
      </c>
      <c r="AB5" s="64">
        <f t="shared" si="1"/>
        <v>16.100000000000001</v>
      </c>
      <c r="AC5" s="64">
        <f>'Static Parameters'!C24</f>
        <v>4.7</v>
      </c>
      <c r="AD5" s="64">
        <f>'Static Parameters'!D24</f>
        <v>7.6</v>
      </c>
      <c r="AE5" s="64">
        <f>'Static Parameters'!E24</f>
        <v>16.100000000000001</v>
      </c>
      <c r="AF5" s="64">
        <f>AG5*'Static Parameters'!C34</f>
        <v>78.599999999999994</v>
      </c>
      <c r="AG5" s="64">
        <f>'Static Parameters'!C32</f>
        <v>39.299999999999997</v>
      </c>
      <c r="AH5" s="64">
        <f>SUM(M5:P5,AC5:AE5)</f>
        <v>93.868099999999998</v>
      </c>
      <c r="AI5" s="64">
        <f>SUM(Q5:S5,AG5)</f>
        <v>272.48999999999995</v>
      </c>
      <c r="AJ5" s="64">
        <f>Q5+M5</f>
        <v>64.50500000000001</v>
      </c>
      <c r="AK5" s="64">
        <f t="shared" ref="AK5:AL5" si="2">R5+N5</f>
        <v>150.42989999999998</v>
      </c>
      <c r="AL5" s="64">
        <f t="shared" si="2"/>
        <v>74.023200000000003</v>
      </c>
      <c r="AM5" s="64">
        <f>P5</f>
        <v>9.6999999999999993</v>
      </c>
      <c r="AN5" s="64">
        <f>SUM(AC5:AE5)</f>
        <v>28.400000000000002</v>
      </c>
      <c r="AO5" s="64">
        <f>AG5</f>
        <v>39.299999999999997</v>
      </c>
    </row>
    <row r="6" spans="1:41" x14ac:dyDescent="0.35">
      <c r="A6" s="13">
        <v>2024</v>
      </c>
      <c r="B6" s="12">
        <f ca="1">MAX(0,MIN(1,B5*(1+'Model - Scarcity &amp; Growth Rates'!$D5-'Model - Scarcity &amp; Growth Rates'!$E5)))</f>
        <v>0.69415393974203943</v>
      </c>
      <c r="C6" s="12">
        <f ca="1">MAX(0,MIN(1,C5*(1+'Model - Scarcity &amp; Growth Rates'!$D5-'Model - Scarcity &amp; Growth Rates'!$E5)))</f>
        <v>5.9257043636515572E-2</v>
      </c>
      <c r="D6" s="12">
        <f ca="1">MAX(0,MIN(1,D5*(1+'Model - Scarcity &amp; Growth Rates'!$D5-'Model - Scarcity &amp; Growth Rates'!$E5)))</f>
        <v>0.51638280883249277</v>
      </c>
      <c r="E6" s="12">
        <f ca="1">B6*('Model - Scarcity &amp; Growth Rates'!$D6*(1-'Model - Scarcity &amp; Growth Rates'!$I6)-'Model - Scarcity &amp; Growth Rates'!$I6)+(1-'Model - Supply'!B6)*('Model - Scarcity &amp; Growth Rates'!$E6*(1-'Model - Scarcity &amp; Growth Rates'!$I6)-'Model - Scarcity &amp; Growth Rates'!$I6)</f>
        <v>6.4123539803657675E-2</v>
      </c>
      <c r="F6" s="12">
        <f ca="1">C6*('Model - Scarcity &amp; Growth Rates'!$D6*(1-'Model - Scarcity &amp; Growth Rates'!$I6)-'Model - Scarcity &amp; Growth Rates'!$I6)+(1-'Model - Supply'!C6)*('Model - Scarcity &amp; Growth Rates'!$E6*(1-'Model - Scarcity &amp; Growth Rates'!$I6)-'Model - Scarcity &amp; Growth Rates'!$I6)</f>
        <v>-9.5158494928193005E-2</v>
      </c>
      <c r="G6" s="12">
        <f ca="1">D6*('Model - Scarcity &amp; Growth Rates'!$D6*(1-'Model - Scarcity &amp; Growth Rates'!$I6)-'Model - Scarcity &amp; Growth Rates'!$I6)+(1-'Model - Supply'!D6)*('Model - Scarcity &amp; Growth Rates'!$E6*(1-'Model - Scarcity &amp; Growth Rates'!$I6)-'Model - Scarcity &amp; Growth Rates'!$I6)</f>
        <v>1.9524570078739485E-2</v>
      </c>
      <c r="H6" s="12">
        <f ca="1">'Model - Scarcity &amp; Growth Rates'!J6</f>
        <v>0.14775104268236464</v>
      </c>
      <c r="I6" s="21">
        <f ca="1">(1+E5)*I5*(1-(SUM(I$5:I5)/'Static Parameters'!C$17)^2)</f>
        <v>163.01479297205327</v>
      </c>
      <c r="J6" s="21">
        <f ca="1">(1+F5)*J5*(1-(SUM(J$5:J5)/'Static Parameters'!D$17)^2)</f>
        <v>166.36848459294305</v>
      </c>
      <c r="K6" s="21">
        <f ca="1">(1+G5)*K5*(1-(SUM(K$5:K5)/'Static Parameters'!E$17)^2)</f>
        <v>132.94997638516031</v>
      </c>
      <c r="L6" s="21">
        <f ca="1">(1+H5)*L5*(1-(SUM(L$5:L5)/'Static Parameters'!F$17)^2)</f>
        <v>8.7687170714648648</v>
      </c>
      <c r="M6" s="21">
        <f ca="1">I6*B6*'Static Parameters'!C$15</f>
        <v>26.026192978890251</v>
      </c>
      <c r="N6" s="21">
        <f ca="1">J6*C6*'Static Parameters'!D$15</f>
        <v>2.267456046790949</v>
      </c>
      <c r="O6" s="21">
        <f ca="1">K6*D6*'Static Parameters'!E$15</f>
        <v>16.476739737595839</v>
      </c>
      <c r="P6" s="63">
        <f ca="1">L6</f>
        <v>8.7687170714648648</v>
      </c>
      <c r="Q6" s="40">
        <f ca="1">I6*(1-B6)</f>
        <v>49.85743219426957</v>
      </c>
      <c r="R6" s="40">
        <f t="shared" ref="R6" ca="1" si="3">J6*(1-C6)</f>
        <v>156.50998004167803</v>
      </c>
      <c r="S6" s="40">
        <f t="shared" ref="S6" ca="1" si="4">K6*(1-D6)</f>
        <v>64.296894145177646</v>
      </c>
      <c r="T6" s="64">
        <f ca="1">I6*'Static Parameters'!C$19/(44/12)/1000</f>
        <v>4.281361244511471</v>
      </c>
      <c r="U6" s="64">
        <f ca="1">J6*'Static Parameters'!D$19/(44/12)/1000</f>
        <v>3.3258572510898343</v>
      </c>
      <c r="V6" s="64">
        <f ca="1">K6*'Static Parameters'!E$19/(44/12)/1000</f>
        <v>2.0341346386929531</v>
      </c>
      <c r="W6" s="64">
        <f ca="1">MAX(0,AC5*'Model - Scarcity &amp; Growth Rates'!$J5*(1-'Model - Supply'!Z5/'Static Parameters'!C$25)+'Model - Supply'!Z5/'Static Parameters'!C$27)</f>
        <v>0</v>
      </c>
      <c r="X6" s="64">
        <f ca="1">MAX(0,AD5*'Model - Scarcity &amp; Growth Rates'!$J5*(1-'Model - Supply'!AA5/'Static Parameters'!D$25)+'Model - Supply'!AA5/'Static Parameters'!D$27)</f>
        <v>0</v>
      </c>
      <c r="Y6" s="64">
        <f ca="1">MAX(0,AE5*'Model - Scarcity &amp; Growth Rates'!$J5*(1-'Model - Supply'!AB5/'Static Parameters'!E$25)+'Model - Supply'!AB5/'Static Parameters'!E$27)</f>
        <v>0</v>
      </c>
      <c r="Z6" s="64">
        <f ca="1">Z5+W6-Z5/'Static Parameters'!C$27</f>
        <v>4.5120000000000005</v>
      </c>
      <c r="AA6" s="64">
        <f ca="1">AA5+X6-AA5/'Static Parameters'!D$27</f>
        <v>7.2959999999999994</v>
      </c>
      <c r="AB6" s="64">
        <f ca="1">AB5+Y6-AB5/'Static Parameters'!E$27</f>
        <v>15.885333333333335</v>
      </c>
      <c r="AC6" s="64">
        <f ca="1">Z6-W6*'Static Parameters'!C$27/'Static Parameters'!C$26</f>
        <v>4.5120000000000005</v>
      </c>
      <c r="AD6" s="64">
        <f ca="1">AA6-X6*'Static Parameters'!D$27/'Static Parameters'!D$26</f>
        <v>7.2959999999999994</v>
      </c>
      <c r="AE6" s="64">
        <f ca="1">AB6-Y6*'Static Parameters'!E$27/'Static Parameters'!E$26</f>
        <v>15.885333333333335</v>
      </c>
      <c r="AF6" s="64">
        <f ca="1">AG5*'Model - Scarcity &amp; Growth Rates'!K5*(1-'Model - Supply'!AF5/'Static Parameters'!C$33)+'Model - Supply'!AF5</f>
        <v>79.97204598578297</v>
      </c>
      <c r="AG6" s="64">
        <f ca="1">AF6-AF6/'Static Parameters'!$C$34</f>
        <v>39.986022992891485</v>
      </c>
      <c r="AH6" s="64">
        <f ca="1">SUM(M6:P6,AC6:AE6)</f>
        <v>81.232439168075246</v>
      </c>
      <c r="AI6" s="64">
        <f ca="1">SUM(Q6:S6,AG6)</f>
        <v>310.65032937401674</v>
      </c>
      <c r="AJ6" s="64">
        <f t="shared" ref="AJ6:AJ69" ca="1" si="5">Q6+M6</f>
        <v>75.883625173159828</v>
      </c>
      <c r="AK6" s="64">
        <f t="shared" ref="AK6:AK69" ca="1" si="6">R6+N6</f>
        <v>158.77743608846899</v>
      </c>
      <c r="AL6" s="64">
        <f t="shared" ref="AL6:AL69" ca="1" si="7">S6+O6</f>
        <v>80.773633882773481</v>
      </c>
      <c r="AM6" s="64">
        <f t="shared" ref="AM6:AM69" ca="1" si="8">P6</f>
        <v>8.7687170714648648</v>
      </c>
      <c r="AN6" s="64">
        <f t="shared" ref="AN6:AN69" ca="1" si="9">SUM(AC6:AE6)</f>
        <v>27.693333333333335</v>
      </c>
      <c r="AO6" s="64">
        <f t="shared" ref="AO6:AO69" ca="1" si="10">AG6</f>
        <v>39.986022992891485</v>
      </c>
    </row>
    <row r="7" spans="1:41" x14ac:dyDescent="0.35">
      <c r="A7" s="13">
        <v>2025</v>
      </c>
      <c r="B7" s="12">
        <f ca="1">MAX(0,MIN(1,B6*(1+'Model - Scarcity &amp; Growth Rates'!$D6-'Model - Scarcity &amp; Growth Rates'!$E6)))</f>
        <v>0.86935514896592392</v>
      </c>
      <c r="C7" s="12">
        <f ca="1">MAX(0,MIN(1,C6*(1+'Model - Scarcity &amp; Growth Rates'!$D6-'Model - Scarcity &amp; Growth Rates'!$E6)))</f>
        <v>7.4213244423920341E-2</v>
      </c>
      <c r="D7" s="12">
        <f ca="1">MAX(0,MIN(1,D6*(1+'Model - Scarcity &amp; Growth Rates'!$D6-'Model - Scarcity &amp; Growth Rates'!$E6)))</f>
        <v>0.64671541569416291</v>
      </c>
      <c r="E7" s="12">
        <f ca="1">B7*('Model - Scarcity &amp; Growth Rates'!$D7*(1-'Model - Scarcity &amp; Growth Rates'!$I7)-'Model - Scarcity &amp; Growth Rates'!$I7)+(1-'Model - Supply'!B7)*('Model - Scarcity &amp; Growth Rates'!$E7*(1-'Model - Scarcity &amp; Growth Rates'!$I7)-'Model - Scarcity &amp; Growth Rates'!$I7)</f>
        <v>8.7798734473768847E-2</v>
      </c>
      <c r="F7" s="12">
        <f ca="1">C7*('Model - Scarcity &amp; Growth Rates'!$D7*(1-'Model - Scarcity &amp; Growth Rates'!$I7)-'Model - Scarcity &amp; Growth Rates'!$I7)+(1-'Model - Supply'!C7)*('Model - Scarcity &amp; Growth Rates'!$E7*(1-'Model - Scarcity &amp; Growth Rates'!$I7)-'Model - Scarcity &amp; Growth Rates'!$I7)</f>
        <v>7.9861554583057298E-2</v>
      </c>
      <c r="G7" s="12">
        <f ca="1">D7*('Model - Scarcity &amp; Growth Rates'!$D7*(1-'Model - Scarcity &amp; Growth Rates'!$I7)-'Model - Scarcity &amp; Growth Rates'!$I7)+(1-'Model - Supply'!D7)*('Model - Scarcity &amp; Growth Rates'!$E7*(1-'Model - Scarcity &amp; Growth Rates'!$I7)-'Model - Scarcity &amp; Growth Rates'!$I7)</f>
        <v>8.5576324104369605E-2</v>
      </c>
      <c r="H7" s="12">
        <f ca="1">'Model - Scarcity &amp; Growth Rates'!J7</f>
        <v>0.10059809122890008</v>
      </c>
      <c r="I7" s="21">
        <f ca="1">(1+E6)*I6*(1-(SUM(I$5:I6)/'Static Parameters'!C$17)^2)</f>
        <v>173.4366886579549</v>
      </c>
      <c r="J7" s="21">
        <f ca="1">(1+F6)*J6*(1-(SUM(J$5:J6)/'Static Parameters'!D$17)^2)</f>
        <v>150.35364098510126</v>
      </c>
      <c r="K7" s="21">
        <f ca="1">(1+G6)*K6*(1-(SUM(K$5:K6)/'Static Parameters'!E$17)^2)</f>
        <v>135.34117002205792</v>
      </c>
      <c r="L7" s="21">
        <f ca="1">(1+H6)*L6*(1-(SUM(L$5:L6)/'Static Parameters'!F$17)^2)</f>
        <v>10.062141860907014</v>
      </c>
      <c r="M7" s="21">
        <f ca="1">I7*B7*'Static Parameters'!C$15</f>
        <v>34.678958010010376</v>
      </c>
      <c r="N7" s="21">
        <f ca="1">J7*C7*'Static Parameters'!D$15</f>
        <v>2.5663932469443482</v>
      </c>
      <c r="O7" s="21">
        <f ca="1">K7*D7*'Static Parameters'!E$15</f>
        <v>21.006533047523895</v>
      </c>
      <c r="P7" s="63">
        <f t="shared" ref="P7:P70" ca="1" si="11">L7</f>
        <v>10.062141860907014</v>
      </c>
      <c r="Q7" s="40">
        <f t="shared" ref="Q7:Q70" ca="1" si="12">I7*(1-B7)</f>
        <v>22.658610353561951</v>
      </c>
      <c r="R7" s="40">
        <f t="shared" ref="R7:R70" ca="1" si="13">J7*(1-C7)</f>
        <v>139.1954094766476</v>
      </c>
      <c r="S7" s="40">
        <f t="shared" ref="S7:S70" ca="1" si="14">K7*(1-D7)</f>
        <v>47.813948990708354</v>
      </c>
      <c r="T7" s="64">
        <f ca="1">I7*'Static Parameters'!C$19/(44/12)/1000</f>
        <v>4.5550781230257424</v>
      </c>
      <c r="U7" s="64">
        <f ca="1">J7*'Static Parameters'!D$19/(44/12)/1000</f>
        <v>3.0057059684203429</v>
      </c>
      <c r="V7" s="64">
        <f ca="1">K7*'Static Parameters'!E$19/(44/12)/1000</f>
        <v>2.070719901337486</v>
      </c>
      <c r="W7" s="64">
        <f ca="1">MAX(0,AC6*'Model - Scarcity &amp; Growth Rates'!$J6*(1-'Model - Supply'!Z6/'Static Parameters'!C$25)+'Model - Supply'!Z6/'Static Parameters'!C$27)</f>
        <v>0.83209301956744075</v>
      </c>
      <c r="X7" s="64">
        <f ca="1">MAX(0,AD6*'Model - Scarcity &amp; Growth Rates'!$J6*(1-'Model - Supply'!AA6/'Static Parameters'!D$25)+'Model - Supply'!AA6/'Static Parameters'!D$27)</f>
        <v>1.3585958548852934</v>
      </c>
      <c r="Y7" s="64">
        <f ca="1">MAX(0,AE6*'Model - Scarcity &amp; Growth Rates'!$J6*(1-'Model - Supply'!AB6/'Static Parameters'!E$25)+'Model - Supply'!AB6/'Static Parameters'!E$27)</f>
        <v>1.8131977718591175</v>
      </c>
      <c r="Z7" s="64">
        <f ca="1">Z6+W7-Z6/'Static Parameters'!C$27</f>
        <v>5.1636130195674408</v>
      </c>
      <c r="AA7" s="64">
        <f ca="1">AA6+X7-AA6/'Static Parameters'!D$27</f>
        <v>8.3627558548852932</v>
      </c>
      <c r="AB7" s="64">
        <f ca="1">AB6+Y7-AB6/'Static Parameters'!E$27</f>
        <v>17.486726660748008</v>
      </c>
      <c r="AC7" s="64">
        <f ca="1">Z7-W7*'Static Parameters'!C$27/'Static Parameters'!C$26</f>
        <v>3.7767913202883729</v>
      </c>
      <c r="AD7" s="64">
        <f ca="1">AA7-X7*'Static Parameters'!D$27/'Static Parameters'!D$26</f>
        <v>6.6645110362786761</v>
      </c>
      <c r="AE7" s="64">
        <f ca="1">AB7-Y7*'Static Parameters'!E$27/'Static Parameters'!E$26</f>
        <v>15.544014762327524</v>
      </c>
      <c r="AF7" s="64">
        <f ca="1">AG6*'Model - Scarcity &amp; Growth Rates'!K6*(1-'Model - Supply'!AF6/'Static Parameters'!C$33)+'Model - Supply'!AF6</f>
        <v>77.460875937272903</v>
      </c>
      <c r="AG7" s="64">
        <f ca="1">AF7-AF7/'Static Parameters'!$C$34</f>
        <v>38.730437968636451</v>
      </c>
      <c r="AH7" s="64">
        <f t="shared" ref="AH7:AH70" ca="1" si="15">SUM(M7:P7,AC7:AE7)</f>
        <v>94.299343284280212</v>
      </c>
      <c r="AI7" s="64">
        <f t="shared" ref="AI7:AI70" ca="1" si="16">SUM(Q7:S7,AG7)</f>
        <v>248.39840678955437</v>
      </c>
      <c r="AJ7" s="64">
        <f t="shared" ca="1" si="5"/>
        <v>57.337568363572331</v>
      </c>
      <c r="AK7" s="64">
        <f t="shared" ca="1" si="6"/>
        <v>141.76180272359196</v>
      </c>
      <c r="AL7" s="64">
        <f t="shared" ca="1" si="7"/>
        <v>68.820482038232257</v>
      </c>
      <c r="AM7" s="64">
        <f t="shared" ca="1" si="8"/>
        <v>10.062141860907014</v>
      </c>
      <c r="AN7" s="64">
        <f t="shared" ca="1" si="9"/>
        <v>25.985317118894574</v>
      </c>
      <c r="AO7" s="64">
        <f t="shared" ca="1" si="10"/>
        <v>38.730437968636451</v>
      </c>
    </row>
    <row r="8" spans="1:41" x14ac:dyDescent="0.35">
      <c r="A8" s="13">
        <v>2026</v>
      </c>
      <c r="B8" s="12">
        <f ca="1">MAX(0,MIN(1,B7*(1+'Model - Scarcity &amp; Growth Rates'!$D7-'Model - Scarcity &amp; Growth Rates'!$E7)))</f>
        <v>0.87812472657301444</v>
      </c>
      <c r="C8" s="12">
        <f ca="1">MAX(0,MIN(1,C7*(1+'Model - Scarcity &amp; Growth Rates'!$D7-'Model - Scarcity &amp; Growth Rates'!$E7)))</f>
        <v>7.4961866902574406E-2</v>
      </c>
      <c r="D8" s="12">
        <f ca="1">MAX(0,MIN(1,D7*(1+'Model - Scarcity &amp; Growth Rates'!$D7-'Model - Scarcity &amp; Growth Rates'!$E7)))</f>
        <v>0.6532391258652912</v>
      </c>
      <c r="E8" s="12">
        <f ca="1">B8*('Model - Scarcity &amp; Growth Rates'!$D8*(1-'Model - Scarcity &amp; Growth Rates'!$I8)-'Model - Scarcity &amp; Growth Rates'!$I8)+(1-'Model - Supply'!B8)*('Model - Scarcity &amp; Growth Rates'!$E8*(1-'Model - Scarcity &amp; Growth Rates'!$I8)-'Model - Scarcity &amp; Growth Rates'!$I8)</f>
        <v>6.0270168790607495E-2</v>
      </c>
      <c r="F8" s="12">
        <f ca="1">C8*('Model - Scarcity &amp; Growth Rates'!$D8*(1-'Model - Scarcity &amp; Growth Rates'!$I8)-'Model - Scarcity &amp; Growth Rates'!$I8)+(1-'Model - Supply'!C8)*('Model - Scarcity &amp; Growth Rates'!$E8*(1-'Model - Scarcity &amp; Growth Rates'!$I8)-'Model - Scarcity &amp; Growth Rates'!$I8)</f>
        <v>-3.3543260461725809E-3</v>
      </c>
      <c r="G8" s="12">
        <f ca="1">D8*('Model - Scarcity &amp; Growth Rates'!$D8*(1-'Model - Scarcity &amp; Growth Rates'!$I8)-'Model - Scarcity &amp; Growth Rates'!$I8)+(1-'Model - Supply'!D8)*('Model - Scarcity &amp; Growth Rates'!$E8*(1-'Model - Scarcity &amp; Growth Rates'!$I8)-'Model - Scarcity &amp; Growth Rates'!$I8)</f>
        <v>4.2455310236309073E-2</v>
      </c>
      <c r="H8" s="12">
        <f ca="1">'Model - Scarcity &amp; Growth Rates'!J8</f>
        <v>8.5836200238530752E-2</v>
      </c>
      <c r="I8" s="21">
        <f ca="1">(1+E7)*I7*(1-(SUM(I$5:I7)/'Static Parameters'!C$17)^2)</f>
        <v>188.58654609911966</v>
      </c>
      <c r="J8" s="21">
        <f ca="1">(1+F7)*J7*(1-(SUM(J$5:J7)/'Static Parameters'!D$17)^2)</f>
        <v>161.93810038277411</v>
      </c>
      <c r="K8" s="21">
        <f ca="1">(1+G7)*K7*(1-(SUM(K$5:K7)/'Static Parameters'!E$17)^2)</f>
        <v>146.42451377010784</v>
      </c>
      <c r="L8" s="21">
        <f ca="1">(1+H7)*L7*(1-(SUM(L$5:L7)/'Static Parameters'!F$17)^2)</f>
        <v>11.068695963593438</v>
      </c>
      <c r="M8" s="21">
        <f ca="1">I8*B8*'Static Parameters'!C$15</f>
        <v>38.088577122586891</v>
      </c>
      <c r="N8" s="21">
        <f ca="1">J8*C8*'Static Parameters'!D$15</f>
        <v>2.792011935290327</v>
      </c>
      <c r="O8" s="21">
        <f ca="1">K8*D8*'Static Parameters'!E$15</f>
        <v>22.956053131304529</v>
      </c>
      <c r="P8" s="63">
        <f t="shared" ca="1" si="11"/>
        <v>11.068695963593438</v>
      </c>
      <c r="Q8" s="40">
        <f t="shared" ca="1" si="12"/>
        <v>22.984036870481027</v>
      </c>
      <c r="R8" s="40">
        <f t="shared" ca="1" si="13"/>
        <v>149.79891805542485</v>
      </c>
      <c r="S8" s="40">
        <f t="shared" ca="1" si="14"/>
        <v>50.774292389672297</v>
      </c>
      <c r="T8" s="64">
        <f ca="1">I8*'Static Parameters'!C$19/(44/12)/1000</f>
        <v>4.9529684698214238</v>
      </c>
      <c r="U8" s="64">
        <f ca="1">J8*'Static Parameters'!D$19/(44/12)/1000</f>
        <v>3.2372898431065478</v>
      </c>
      <c r="V8" s="64">
        <f ca="1">K8*'Static Parameters'!E$19/(44/12)/1000</f>
        <v>2.2402950606826502</v>
      </c>
      <c r="W8" s="64">
        <f ca="1">MAX(0,AC7*'Model - Scarcity &amp; Growth Rates'!$J7*(1-'Model - Supply'!Z7/'Static Parameters'!C$25)+'Model - Supply'!Z7/'Static Parameters'!C$27)</f>
        <v>0.57667325461347829</v>
      </c>
      <c r="X8" s="64">
        <f ca="1">MAX(0,AD7*'Model - Scarcity &amp; Growth Rates'!$J7*(1-'Model - Supply'!AA7/'Static Parameters'!D$25)+'Model - Supply'!AA7/'Static Parameters'!D$27)</f>
        <v>0.99693774957150438</v>
      </c>
      <c r="Y8" s="64">
        <f ca="1">MAX(0,AE7*'Model - Scarcity &amp; Growth Rates'!$J7*(1-'Model - Supply'!AB7/'Static Parameters'!E$25)+'Model - Supply'!AB7/'Static Parameters'!E$27)</f>
        <v>1.2499753052451776</v>
      </c>
      <c r="Z8" s="64">
        <f ca="1">Z7+W8-Z7/'Static Parameters'!C$27</f>
        <v>5.5337417533982212</v>
      </c>
      <c r="AA8" s="64">
        <f ca="1">AA7+X8-AA7/'Static Parameters'!D$27</f>
        <v>9.0251833702613862</v>
      </c>
      <c r="AB8" s="64">
        <f ca="1">AB7+Y8-AB7/'Static Parameters'!E$27</f>
        <v>18.503545610516543</v>
      </c>
      <c r="AC8" s="64">
        <f ca="1">Z8-W8*'Static Parameters'!C$27/'Static Parameters'!C$26</f>
        <v>4.5726196623757573</v>
      </c>
      <c r="AD8" s="64">
        <f ca="1">AA8-X8*'Static Parameters'!D$27/'Static Parameters'!D$26</f>
        <v>7.7790111832970057</v>
      </c>
      <c r="AE8" s="64">
        <f ca="1">AB8-Y8*'Static Parameters'!E$27/'Static Parameters'!E$26</f>
        <v>17.16428635489671</v>
      </c>
      <c r="AF8" s="64">
        <f ca="1">AG7*'Model - Scarcity &amp; Growth Rates'!K7*(1-'Model - Supply'!AF7/'Static Parameters'!C$33)+'Model - Supply'!AF7</f>
        <v>79.608690685070101</v>
      </c>
      <c r="AG8" s="64">
        <f ca="1">AF8-AF8/'Static Parameters'!$C$34</f>
        <v>39.804345342535051</v>
      </c>
      <c r="AH8" s="64">
        <f t="shared" ca="1" si="15"/>
        <v>104.42125535334466</v>
      </c>
      <c r="AI8" s="64">
        <f t="shared" ca="1" si="16"/>
        <v>263.36159265811324</v>
      </c>
      <c r="AJ8" s="64">
        <f t="shared" ca="1" si="5"/>
        <v>61.072613993067918</v>
      </c>
      <c r="AK8" s="64">
        <f t="shared" ca="1" si="6"/>
        <v>152.59092999071518</v>
      </c>
      <c r="AL8" s="64">
        <f t="shared" ca="1" si="7"/>
        <v>73.730345520976826</v>
      </c>
      <c r="AM8" s="64">
        <f t="shared" ca="1" si="8"/>
        <v>11.068695963593438</v>
      </c>
      <c r="AN8" s="64">
        <f t="shared" ca="1" si="9"/>
        <v>29.515917200569472</v>
      </c>
      <c r="AO8" s="64">
        <f t="shared" ca="1" si="10"/>
        <v>39.804345342535051</v>
      </c>
    </row>
    <row r="9" spans="1:41" x14ac:dyDescent="0.35">
      <c r="A9" s="13">
        <v>2027</v>
      </c>
      <c r="B9" s="12">
        <f ca="1">MAX(0,MIN(1,B8*(1+'Model - Scarcity &amp; Growth Rates'!$D8-'Model - Scarcity &amp; Growth Rates'!$E8)))</f>
        <v>0.94872201043088555</v>
      </c>
      <c r="C9" s="12">
        <f ca="1">MAX(0,MIN(1,C8*(1+'Model - Scarcity &amp; Growth Rates'!$D8-'Model - Scarcity &amp; Growth Rates'!$E8)))</f>
        <v>8.09884643050756E-2</v>
      </c>
      <c r="D9" s="12">
        <f ca="1">MAX(0,MIN(1,D8*(1+'Model - Scarcity &amp; Growth Rates'!$D8-'Model - Scarcity &amp; Growth Rates'!$E8)))</f>
        <v>0.70575661751565877</v>
      </c>
      <c r="E9" s="12">
        <f ca="1">B9*('Model - Scarcity &amp; Growth Rates'!$D9*(1-'Model - Scarcity &amp; Growth Rates'!$I9)-'Model - Scarcity &amp; Growth Rates'!$I9)+(1-'Model - Supply'!B9)*('Model - Scarcity &amp; Growth Rates'!$E9*(1-'Model - Scarcity &amp; Growth Rates'!$I9)-'Model - Scarcity &amp; Growth Rates'!$I9)</f>
        <v>4.0891048758720495E-2</v>
      </c>
      <c r="F9" s="12">
        <f ca="1">C9*('Model - Scarcity &amp; Growth Rates'!$D9*(1-'Model - Scarcity &amp; Growth Rates'!$I9)-'Model - Scarcity &amp; Growth Rates'!$I9)+(1-'Model - Supply'!C9)*('Model - Scarcity &amp; Growth Rates'!$E9*(1-'Model - Scarcity &amp; Growth Rates'!$I9)-'Model - Scarcity &amp; Growth Rates'!$I9)</f>
        <v>3.4267782043189157E-2</v>
      </c>
      <c r="G9" s="12">
        <f ca="1">D9*('Model - Scarcity &amp; Growth Rates'!$D9*(1-'Model - Scarcity &amp; Growth Rates'!$I9)-'Model - Scarcity &amp; Growth Rates'!$I9)+(1-'Model - Supply'!D9)*('Model - Scarcity &amp; Growth Rates'!$E9*(1-'Model - Scarcity &amp; Growth Rates'!$I9)-'Model - Scarcity &amp; Growth Rates'!$I9)</f>
        <v>3.9036534078371724E-2</v>
      </c>
      <c r="H9" s="12">
        <f ca="1">'Model - Scarcity &amp; Growth Rates'!J9</f>
        <v>6.2075447236273097E-2</v>
      </c>
      <c r="I9" s="21">
        <f ca="1">(1+E8)*I8*(1-(SUM(I$5:I8)/'Static Parameters'!C$17)^2)</f>
        <v>199.79848574069618</v>
      </c>
      <c r="J9" s="21">
        <f ca="1">(1+F8)*J8*(1-(SUM(J$5:J8)/'Static Parameters'!D$17)^2)</f>
        <v>160.63940338411641</v>
      </c>
      <c r="K9" s="21">
        <f ca="1">(1+G8)*K8*(1-(SUM(K$5:K8)/'Static Parameters'!E$17)^2)</f>
        <v>151.68224975815602</v>
      </c>
      <c r="L9" s="21">
        <f ca="1">(1+H8)*L8*(1-(SUM(L$5:L8)/'Static Parameters'!F$17)^2)</f>
        <v>12.00691941167627</v>
      </c>
      <c r="M9" s="21">
        <f ca="1">I9*B9*'Static Parameters'!C$15</f>
        <v>43.597240846780778</v>
      </c>
      <c r="N9" s="21">
        <f ca="1">J9*C9*'Static Parameters'!D$15</f>
        <v>2.9922858750015249</v>
      </c>
      <c r="O9" s="21">
        <f ca="1">K9*D9*'Static Parameters'!E$15</f>
        <v>25.692180366355572</v>
      </c>
      <c r="P9" s="63">
        <f t="shared" ca="1" si="11"/>
        <v>12.00691941167627</v>
      </c>
      <c r="Q9" s="40">
        <f t="shared" ca="1" si="12"/>
        <v>10.245264667736279</v>
      </c>
      <c r="R9" s="40">
        <f t="shared" ca="1" si="13"/>
        <v>147.62946479715325</v>
      </c>
      <c r="S9" s="40">
        <f t="shared" ca="1" si="14"/>
        <v>44.631498231674477</v>
      </c>
      <c r="T9" s="64">
        <f ca="1">I9*'Static Parameters'!C$19/(44/12)/1000</f>
        <v>5.2474347754988306</v>
      </c>
      <c r="U9" s="64">
        <f ca="1">J9*'Static Parameters'!D$19/(44/12)/1000</f>
        <v>3.211327709469745</v>
      </c>
      <c r="V9" s="64">
        <f ca="1">K9*'Static Parameters'!E$19/(44/12)/1000</f>
        <v>2.320738421299787</v>
      </c>
      <c r="W9" s="64">
        <f ca="1">MAX(0,AC8*'Model - Scarcity &amp; Growth Rates'!$J8*(1-'Model - Supply'!Z8/'Static Parameters'!C$25)+'Model - Supply'!Z8/'Static Parameters'!C$27)</f>
        <v>0.60298610135770547</v>
      </c>
      <c r="X9" s="64">
        <f ca="1">MAX(0,AD8*'Model - Scarcity &amp; Growth Rates'!$J8*(1-'Model - Supply'!AA8/'Static Parameters'!D$25)+'Model - Supply'!AA8/'Static Parameters'!D$27)</f>
        <v>1.0201190930927708</v>
      </c>
      <c r="Y9" s="64">
        <f ca="1">MAX(0,AE8*'Model - Scarcity &amp; Growth Rates'!$J8*(1-'Model - Supply'!AB8/'Static Parameters'!E$25)+'Model - Supply'!AB8/'Static Parameters'!E$27)</f>
        <v>1.1747992512215693</v>
      </c>
      <c r="Z9" s="64">
        <f ca="1">Z8+W9-Z8/'Static Parameters'!C$27</f>
        <v>5.915378184619998</v>
      </c>
      <c r="AA9" s="64">
        <f ca="1">AA8+X9-AA8/'Static Parameters'!D$27</f>
        <v>9.6842951285437007</v>
      </c>
      <c r="AB9" s="64">
        <f ca="1">AB8+Y9-AB8/'Static Parameters'!E$27</f>
        <v>19.431630920264556</v>
      </c>
      <c r="AC9" s="64">
        <f ca="1">Z9-W9*'Static Parameters'!C$27/'Static Parameters'!C$26</f>
        <v>4.9104013490238225</v>
      </c>
      <c r="AD9" s="64">
        <f ca="1">AA9-X9*'Static Parameters'!D$27/'Static Parameters'!D$26</f>
        <v>8.4091462621777371</v>
      </c>
      <c r="AE9" s="64">
        <f ca="1">AB9-Y9*'Static Parameters'!E$27/'Static Parameters'!E$26</f>
        <v>18.172917436812874</v>
      </c>
      <c r="AF9" s="64">
        <f ca="1">AG8*'Model - Scarcity &amp; Growth Rates'!K8*(1-'Model - Supply'!AF8/'Static Parameters'!C$33)+'Model - Supply'!AF8</f>
        <v>79.7390523063969</v>
      </c>
      <c r="AG9" s="64">
        <f ca="1">AF9-AF9/'Static Parameters'!$C$34</f>
        <v>39.86952615319845</v>
      </c>
      <c r="AH9" s="64">
        <f t="shared" ca="1" si="15"/>
        <v>115.78109154782859</v>
      </c>
      <c r="AI9" s="64">
        <f t="shared" ca="1" si="16"/>
        <v>242.37575384976245</v>
      </c>
      <c r="AJ9" s="64">
        <f t="shared" ca="1" si="5"/>
        <v>53.842505514517057</v>
      </c>
      <c r="AK9" s="64">
        <f t="shared" ca="1" si="6"/>
        <v>150.62175067215477</v>
      </c>
      <c r="AL9" s="64">
        <f t="shared" ca="1" si="7"/>
        <v>70.323678598030057</v>
      </c>
      <c r="AM9" s="64">
        <f t="shared" ca="1" si="8"/>
        <v>12.00691941167627</v>
      </c>
      <c r="AN9" s="64">
        <f t="shared" ca="1" si="9"/>
        <v>31.492465048014434</v>
      </c>
      <c r="AO9" s="64">
        <f t="shared" ca="1" si="10"/>
        <v>39.86952615319845</v>
      </c>
    </row>
    <row r="10" spans="1:41" x14ac:dyDescent="0.35">
      <c r="A10" s="13">
        <v>2028</v>
      </c>
      <c r="B10" s="12">
        <f ca="1">MAX(0,MIN(1,B9*(1+'Model - Scarcity &amp; Growth Rates'!$D9-'Model - Scarcity &amp; Growth Rates'!$E9)))</f>
        <v>0.95610805043460279</v>
      </c>
      <c r="C10" s="12">
        <f ca="1">MAX(0,MIN(1,C9*(1+'Model - Scarcity &amp; Growth Rates'!$D9-'Model - Scarcity &amp; Growth Rates'!$E9)))</f>
        <v>8.161897991514902E-2</v>
      </c>
      <c r="D10" s="12">
        <f ca="1">MAX(0,MIN(1,D9*(1+'Model - Scarcity &amp; Growth Rates'!$D9-'Model - Scarcity &amp; Growth Rates'!$E9)))</f>
        <v>0.7112511106891557</v>
      </c>
      <c r="E10" s="12">
        <f ca="1">B10*('Model - Scarcity &amp; Growth Rates'!$D10*(1-'Model - Scarcity &amp; Growth Rates'!$I10)-'Model - Scarcity &amp; Growth Rates'!$I10)+(1-'Model - Supply'!B10)*('Model - Scarcity &amp; Growth Rates'!$E10*(1-'Model - Scarcity &amp; Growth Rates'!$I10)-'Model - Scarcity &amp; Growth Rates'!$I10)</f>
        <v>5.1535089364566494E-2</v>
      </c>
      <c r="F10" s="12">
        <f ca="1">C10*('Model - Scarcity &amp; Growth Rates'!$D10*(1-'Model - Scarcity &amp; Growth Rates'!$I10)-'Model - Scarcity &amp; Growth Rates'!$I10)+(1-'Model - Supply'!C10)*('Model - Scarcity &amp; Growth Rates'!$E10*(1-'Model - Scarcity &amp; Growth Rates'!$I10)-'Model - Scarcity &amp; Growth Rates'!$I10)</f>
        <v>-1.3371118827696954E-2</v>
      </c>
      <c r="G10" s="12">
        <f ca="1">D10*('Model - Scarcity &amp; Growth Rates'!$D10*(1-'Model - Scarcity &amp; Growth Rates'!$I10)-'Model - Scarcity &amp; Growth Rates'!$I10)+(1-'Model - Supply'!D10)*('Model - Scarcity &amp; Growth Rates'!$E10*(1-'Model - Scarcity &amp; Growth Rates'!$I10)-'Model - Scarcity &amp; Growth Rates'!$I10)</f>
        <v>3.3361351070732723E-2</v>
      </c>
      <c r="H10" s="12">
        <f ca="1">'Model - Scarcity &amp; Growth Rates'!J10</f>
        <v>8.1890186647452221E-2</v>
      </c>
      <c r="I10" s="21">
        <f ca="1">(1+E9)*I9*(1-(SUM(I$5:I9)/'Static Parameters'!C$17)^2)</f>
        <v>207.70345412080457</v>
      </c>
      <c r="J10" s="21">
        <f ca="1">(1+F9)*J9*(1-(SUM(J$5:J9)/'Static Parameters'!D$17)^2)</f>
        <v>164.92521164240929</v>
      </c>
      <c r="K10" s="21">
        <f ca="1">(1+G9)*K9*(1-(SUM(K$5:K9)/'Static Parameters'!E$17)^2)</f>
        <v>155.99557764675569</v>
      </c>
      <c r="L10" s="21">
        <f ca="1">(1+H9)*L9*(1-(SUM(L$5:L9)/'Static Parameters'!F$17)^2)</f>
        <v>12.730862163021071</v>
      </c>
      <c r="M10" s="21">
        <f ca="1">I10*B10*'Static Parameters'!C$15</f>
        <v>45.674997255234345</v>
      </c>
      <c r="N10" s="21">
        <f ca="1">J10*C10*'Static Parameters'!D$15</f>
        <v>3.0960363334050065</v>
      </c>
      <c r="O10" s="21">
        <f ca="1">K10*D10*'Static Parameters'!E$15</f>
        <v>26.628486687324337</v>
      </c>
      <c r="P10" s="63">
        <f t="shared" ca="1" si="11"/>
        <v>12.730862163021071</v>
      </c>
      <c r="Q10" s="40">
        <f t="shared" ca="1" si="12"/>
        <v>9.1165095328291486</v>
      </c>
      <c r="R10" s="40">
        <f t="shared" ca="1" si="13"/>
        <v>151.4641841058658</v>
      </c>
      <c r="S10" s="40">
        <f t="shared" ca="1" si="14"/>
        <v>45.043549782904279</v>
      </c>
      <c r="T10" s="64">
        <f ca="1">I10*'Static Parameters'!C$19/(44/12)/1000</f>
        <v>5.4550479905000406</v>
      </c>
      <c r="U10" s="64">
        <f ca="1">J10*'Static Parameters'!D$19/(44/12)/1000</f>
        <v>3.297004912742346</v>
      </c>
      <c r="V10" s="64">
        <f ca="1">K10*'Static Parameters'!E$19/(44/12)/1000</f>
        <v>2.3867323379953622</v>
      </c>
      <c r="W10" s="64">
        <f ca="1">MAX(0,AC9*'Model - Scarcity &amp; Growth Rates'!$J9*(1-'Model - Supply'!Z9/'Static Parameters'!C$25)+'Model - Supply'!Z9/'Static Parameters'!C$27)</f>
        <v>0.53241499658507607</v>
      </c>
      <c r="X10" s="64">
        <f ca="1">MAX(0,AD9*'Model - Scarcity &amp; Growth Rates'!$J9*(1-'Model - Supply'!AA9/'Static Parameters'!D$25)+'Model - Supply'!AA9/'Static Parameters'!D$27)</f>
        <v>0.9021515820562731</v>
      </c>
      <c r="Y10" s="64">
        <f ca="1">MAX(0,AE9*'Model - Scarcity &amp; Growth Rates'!$J9*(1-'Model - Supply'!AB9/'Static Parameters'!E$25)+'Model - Supply'!AB9/'Static Parameters'!E$27)</f>
        <v>0.94876705073893153</v>
      </c>
      <c r="Z10" s="64">
        <f ca="1">Z9+W10-Z9/'Static Parameters'!C$27</f>
        <v>6.2111780538202739</v>
      </c>
      <c r="AA10" s="64">
        <f ca="1">AA9+X10-AA9/'Static Parameters'!D$27</f>
        <v>10.199074905458225</v>
      </c>
      <c r="AB10" s="64">
        <f ca="1">AB9+Y10-AB9/'Static Parameters'!E$27</f>
        <v>20.121309558733294</v>
      </c>
      <c r="AC10" s="64">
        <f ca="1">Z10-W10*'Static Parameters'!C$27/'Static Parameters'!C$26</f>
        <v>5.3238197261784803</v>
      </c>
      <c r="AD10" s="64">
        <f ca="1">AA10-X10*'Static Parameters'!D$27/'Static Parameters'!D$26</f>
        <v>9.0713854278878845</v>
      </c>
      <c r="AE10" s="64">
        <f ca="1">AB10-Y10*'Static Parameters'!E$27/'Static Parameters'!E$26</f>
        <v>19.104773432941581</v>
      </c>
      <c r="AF10" s="64">
        <f ca="1">AG9*'Model - Scarcity &amp; Growth Rates'!K9*(1-'Model - Supply'!AF9/'Static Parameters'!C$33)+'Model - Supply'!AF9</f>
        <v>81.040591058009483</v>
      </c>
      <c r="AG10" s="64">
        <f ca="1">AF10-AF10/'Static Parameters'!$C$34</f>
        <v>40.520295529004741</v>
      </c>
      <c r="AH10" s="64">
        <f t="shared" ca="1" si="15"/>
        <v>121.63036102599273</v>
      </c>
      <c r="AI10" s="64">
        <f t="shared" ca="1" si="16"/>
        <v>246.14453895060399</v>
      </c>
      <c r="AJ10" s="64">
        <f t="shared" ca="1" si="5"/>
        <v>54.791506788063494</v>
      </c>
      <c r="AK10" s="64">
        <f t="shared" ca="1" si="6"/>
        <v>154.56022043927081</v>
      </c>
      <c r="AL10" s="64">
        <f t="shared" ca="1" si="7"/>
        <v>71.672036470228619</v>
      </c>
      <c r="AM10" s="64">
        <f t="shared" ca="1" si="8"/>
        <v>12.730862163021071</v>
      </c>
      <c r="AN10" s="64">
        <f t="shared" ca="1" si="9"/>
        <v>33.499978587007945</v>
      </c>
      <c r="AO10" s="64">
        <f t="shared" ca="1" si="10"/>
        <v>40.520295529004741</v>
      </c>
    </row>
    <row r="11" spans="1:41" x14ac:dyDescent="0.35">
      <c r="A11" s="13">
        <v>2029</v>
      </c>
      <c r="B11" s="12">
        <f ca="1">MAX(0,MIN(1,B10*(1+'Model - Scarcity &amp; Growth Rates'!$D10-'Model - Scarcity &amp; Growth Rates'!$E10)))</f>
        <v>1</v>
      </c>
      <c r="C11" s="12">
        <f ca="1">MAX(0,MIN(1,C10*(1+'Model - Scarcity &amp; Growth Rates'!$D10-'Model - Scarcity &amp; Growth Rates'!$E10)))</f>
        <v>8.7832518891703029E-2</v>
      </c>
      <c r="D11" s="12">
        <f ca="1">MAX(0,MIN(1,D10*(1+'Model - Scarcity &amp; Growth Rates'!$D10-'Model - Scarcity &amp; Growth Rates'!$E10)))</f>
        <v>0.76539766462769776</v>
      </c>
      <c r="E11" s="12">
        <f ca="1">B11*('Model - Scarcity &amp; Growth Rates'!$D11*(1-'Model - Scarcity &amp; Growth Rates'!$I11)-'Model - Scarcity &amp; Growth Rates'!$I11)+(1-'Model - Supply'!B11)*('Model - Scarcity &amp; Growth Rates'!$E11*(1-'Model - Scarcity &amp; Growth Rates'!$I11)-'Model - Scarcity &amp; Growth Rates'!$I11)</f>
        <v>3.9571271971721153E-2</v>
      </c>
      <c r="F11" s="12">
        <f ca="1">C11*('Model - Scarcity &amp; Growth Rates'!$D11*(1-'Model - Scarcity &amp; Growth Rates'!$I11)-'Model - Scarcity &amp; Growth Rates'!$I11)+(1-'Model - Supply'!C11)*('Model - Scarcity &amp; Growth Rates'!$E11*(1-'Model - Scarcity &amp; Growth Rates'!$I11)-'Model - Scarcity &amp; Growth Rates'!$I11)</f>
        <v>2.7288423462915098E-2</v>
      </c>
      <c r="G11" s="12">
        <f ca="1">D11*('Model - Scarcity &amp; Growth Rates'!$D11*(1-'Model - Scarcity &amp; Growth Rates'!$I11)-'Model - Scarcity &amp; Growth Rates'!$I11)+(1-'Model - Supply'!D11)*('Model - Scarcity &amp; Growth Rates'!$E11*(1-'Model - Scarcity &amp; Growth Rates'!$I11)-'Model - Scarcity &amp; Growth Rates'!$I11)</f>
        <v>3.6412219489726366E-2</v>
      </c>
      <c r="H11" s="12">
        <f ca="1">'Model - Scarcity &amp; Growth Rates'!J11</f>
        <v>7.2466848563515276E-2</v>
      </c>
      <c r="I11" s="21">
        <f ca="1">(1+E10)*I10*(1-(SUM(I$5:I10)/'Static Parameters'!C$17)^2)</f>
        <v>217.98586153002992</v>
      </c>
      <c r="J11" s="21">
        <f ca="1">(1+F10)*J10*(1-(SUM(J$5:J10)/'Static Parameters'!D$17)^2)</f>
        <v>160.98191850726579</v>
      </c>
      <c r="K11" s="21">
        <f ca="1">(1+G10)*K10*(1-(SUM(K$5:K10)/'Static Parameters'!E$17)^2)</f>
        <v>158.74625126681232</v>
      </c>
      <c r="L11" s="21">
        <f ca="1">(1+H10)*L10*(1-(SUM(L$5:L10)/'Static Parameters'!F$17)^2)</f>
        <v>13.737483960539999</v>
      </c>
      <c r="M11" s="21">
        <f ca="1">I11*B11*'Static Parameters'!C$15</f>
        <v>50.136748151906886</v>
      </c>
      <c r="N11" s="21">
        <f ca="1">J11*C11*'Static Parameters'!D$15</f>
        <v>3.252072901657765</v>
      </c>
      <c r="O11" s="21">
        <f ca="1">K11*D11*'Static Parameters'!E$15</f>
        <v>29.160962397124766</v>
      </c>
      <c r="P11" s="63">
        <f t="shared" ca="1" si="11"/>
        <v>13.737483960539999</v>
      </c>
      <c r="Q11" s="40">
        <f t="shared" ca="1" si="12"/>
        <v>0</v>
      </c>
      <c r="R11" s="40">
        <f t="shared" ca="1" si="13"/>
        <v>146.84247110875376</v>
      </c>
      <c r="S11" s="40">
        <f t="shared" ca="1" si="14"/>
        <v>37.242241278792463</v>
      </c>
      <c r="T11" s="64">
        <f ca="1">I11*'Static Parameters'!C$19/(44/12)/1000</f>
        <v>5.725101399638695</v>
      </c>
      <c r="U11" s="64">
        <f ca="1">J11*'Static Parameters'!D$19/(44/12)/1000</f>
        <v>3.2181748981588862</v>
      </c>
      <c r="V11" s="64">
        <f ca="1">K11*'Static Parameters'!E$19/(44/12)/1000</f>
        <v>2.4288176443822289</v>
      </c>
      <c r="W11" s="64">
        <f ca="1">MAX(0,AC10*'Model - Scarcity &amp; Growth Rates'!$J10*(1-'Model - Supply'!Z10/'Static Parameters'!C$25)+'Model - Supply'!Z10/'Static Parameters'!C$27)</f>
        <v>0.67087632048240242</v>
      </c>
      <c r="X11" s="64">
        <f ca="1">MAX(0,AD10*'Model - Scarcity &amp; Growth Rates'!$J10*(1-'Model - Supply'!AA10/'Static Parameters'!D$25)+'Model - Supply'!AA10/'Static Parameters'!D$27)</f>
        <v>1.1399969295816077</v>
      </c>
      <c r="Y11" s="64">
        <f ca="1">MAX(0,AE10*'Model - Scarcity &amp; Growth Rates'!$J10*(1-'Model - Supply'!AB10/'Static Parameters'!E$25)+'Model - Supply'!AB10/'Static Parameters'!E$27)</f>
        <v>1.2031844445872926</v>
      </c>
      <c r="Z11" s="64">
        <f ca="1">Z10+W11-Z10/'Static Parameters'!C$27</f>
        <v>6.633607252149865</v>
      </c>
      <c r="AA11" s="64">
        <f ca="1">AA10+X11-AA10/'Static Parameters'!D$27</f>
        <v>10.931108838821505</v>
      </c>
      <c r="AB11" s="64">
        <f ca="1">AB10+Y11-AB10/'Static Parameters'!E$27</f>
        <v>21.05620987587081</v>
      </c>
      <c r="AC11" s="64">
        <f ca="1">Z11-W11*'Static Parameters'!C$27/'Static Parameters'!C$26</f>
        <v>5.5154800513458611</v>
      </c>
      <c r="AD11" s="64">
        <f ca="1">AA11-X11*'Static Parameters'!D$27/'Static Parameters'!D$26</f>
        <v>9.506112676844495</v>
      </c>
      <c r="AE11" s="64">
        <f ca="1">AB11-Y11*'Static Parameters'!E$27/'Static Parameters'!E$26</f>
        <v>19.767083685241566</v>
      </c>
      <c r="AF11" s="64">
        <f ca="1">AG10*'Model - Scarcity &amp; Growth Rates'!K10*(1-'Model - Supply'!AF10/'Static Parameters'!C$33)+'Model - Supply'!AF10</f>
        <v>81.179452996826598</v>
      </c>
      <c r="AG11" s="64">
        <f ca="1">AF11-AF11/'Static Parameters'!$C$34</f>
        <v>40.589726498413299</v>
      </c>
      <c r="AH11" s="64">
        <f t="shared" ca="1" si="15"/>
        <v>131.07594382466135</v>
      </c>
      <c r="AI11" s="64">
        <f t="shared" ca="1" si="16"/>
        <v>224.67443888595955</v>
      </c>
      <c r="AJ11" s="64">
        <f t="shared" ca="1" si="5"/>
        <v>50.136748151906886</v>
      </c>
      <c r="AK11" s="64">
        <f t="shared" ca="1" si="6"/>
        <v>150.09454401041151</v>
      </c>
      <c r="AL11" s="64">
        <f t="shared" ca="1" si="7"/>
        <v>66.403203675917226</v>
      </c>
      <c r="AM11" s="64">
        <f t="shared" ca="1" si="8"/>
        <v>13.737483960539999</v>
      </c>
      <c r="AN11" s="64">
        <f t="shared" ca="1" si="9"/>
        <v>34.788676413431922</v>
      </c>
      <c r="AO11" s="64">
        <f t="shared" ca="1" si="10"/>
        <v>40.589726498413299</v>
      </c>
    </row>
    <row r="12" spans="1:41" x14ac:dyDescent="0.35">
      <c r="A12" s="13">
        <v>2030</v>
      </c>
      <c r="B12" s="12">
        <f ca="1">MAX(0,MIN(1,B11*(1+'Model - Scarcity &amp; Growth Rates'!$D11-'Model - Scarcity &amp; Growth Rates'!$E11)))</f>
        <v>1</v>
      </c>
      <c r="C12" s="12">
        <f ca="1">MAX(0,MIN(1,C11*(1+'Model - Scarcity &amp; Growth Rates'!$D11-'Model - Scarcity &amp; Growth Rates'!$E11)))</f>
        <v>8.9052658301116999E-2</v>
      </c>
      <c r="D12" s="12">
        <f ca="1">MAX(0,MIN(1,D11*(1+'Model - Scarcity &amp; Growth Rates'!$D11-'Model - Scarcity &amp; Growth Rates'!$E11)))</f>
        <v>0.77603030805259088</v>
      </c>
      <c r="E12" s="12">
        <f ca="1">B12*('Model - Scarcity &amp; Growth Rates'!$D12*(1-'Model - Scarcity &amp; Growth Rates'!$I12)-'Model - Scarcity &amp; Growth Rates'!$I12)+(1-'Model - Supply'!B12)*('Model - Scarcity &amp; Growth Rates'!$E12*(1-'Model - Scarcity &amp; Growth Rates'!$I12)-'Model - Scarcity &amp; Growth Rates'!$I12)</f>
        <v>4.8025879951663228E-2</v>
      </c>
      <c r="F12" s="12">
        <f ca="1">C12*('Model - Scarcity &amp; Growth Rates'!$D12*(1-'Model - Scarcity &amp; Growth Rates'!$I12)-'Model - Scarcity &amp; Growth Rates'!$I12)+(1-'Model - Supply'!C12)*('Model - Scarcity &amp; Growth Rates'!$E12*(1-'Model - Scarcity &amp; Growth Rates'!$I12)-'Model - Scarcity &amp; Growth Rates'!$I12)</f>
        <v>-1.4503646233235716E-2</v>
      </c>
      <c r="G12" s="12">
        <f ca="1">D12*('Model - Scarcity &amp; Growth Rates'!$D12*(1-'Model - Scarcity &amp; Growth Rates'!$I12)-'Model - Scarcity &amp; Growth Rates'!$I12)+(1-'Model - Supply'!D12)*('Model - Scarcity &amp; Growth Rates'!$E12*(1-'Model - Scarcity &amp; Growth Rates'!$I12)-'Model - Scarcity &amp; Growth Rates'!$I12)</f>
        <v>3.2652083820779318E-2</v>
      </c>
      <c r="H12" s="12">
        <f ca="1">'Model - Scarcity &amp; Growth Rates'!J12</f>
        <v>8.748996300801043E-2</v>
      </c>
      <c r="I12" s="21">
        <f ca="1">(1+E11)*I11*(1-(SUM(I$5:I11)/'Static Parameters'!C$17)^2)</f>
        <v>225.98525115248</v>
      </c>
      <c r="J12" s="21">
        <f ca="1">(1+F11)*J11*(1-(SUM(J$5:J11)/'Static Parameters'!D$17)^2)</f>
        <v>162.96867052093657</v>
      </c>
      <c r="K12" s="21">
        <f ca="1">(1+G11)*K11*(1-(SUM(K$5:K11)/'Static Parameters'!E$17)^2)</f>
        <v>161.01305759218286</v>
      </c>
      <c r="L12" s="21">
        <f ca="1">(1+H11)*L11*(1-(SUM(L$5:L11)/'Static Parameters'!F$17)^2)</f>
        <v>14.67642798076975</v>
      </c>
      <c r="M12" s="21">
        <f ca="1">I12*B12*'Static Parameters'!C$15</f>
        <v>51.976607765070405</v>
      </c>
      <c r="N12" s="21">
        <f ca="1">J12*C12*'Static Parameters'!D$15</f>
        <v>3.3379424658283057</v>
      </c>
      <c r="O12" s="21">
        <f ca="1">K12*D12*'Static Parameters'!E$15</f>
        <v>29.98824304410029</v>
      </c>
      <c r="P12" s="63">
        <f t="shared" ca="1" si="11"/>
        <v>14.67642798076975</v>
      </c>
      <c r="Q12" s="40">
        <f t="shared" ca="1" si="12"/>
        <v>0</v>
      </c>
      <c r="R12" s="40">
        <f t="shared" ca="1" si="13"/>
        <v>148.45587719124831</v>
      </c>
      <c r="S12" s="40">
        <f t="shared" ca="1" si="14"/>
        <v>36.062044908431638</v>
      </c>
      <c r="T12" s="64">
        <f ca="1">I12*'Static Parameters'!C$19/(44/12)/1000</f>
        <v>5.9351944598137694</v>
      </c>
      <c r="U12" s="64">
        <f ca="1">J12*'Static Parameters'!D$19/(44/12)/1000</f>
        <v>3.2578918770503593</v>
      </c>
      <c r="V12" s="64">
        <f ca="1">K12*'Static Parameters'!E$19/(44/12)/1000</f>
        <v>2.4634997811603974</v>
      </c>
      <c r="W12" s="64">
        <f ca="1">MAX(0,AC11*'Model - Scarcity &amp; Growth Rates'!$J11*(1-'Model - Supply'!Z11/'Static Parameters'!C$25)+'Model - Supply'!Z11/'Static Parameters'!C$27)</f>
        <v>0.65177683329805547</v>
      </c>
      <c r="X12" s="64">
        <f ca="1">MAX(0,AD11*'Model - Scarcity &amp; Growth Rates'!$J11*(1-'Model - Supply'!AA11/'Static Parameters'!D$25)+'Model - Supply'!AA11/'Static Parameters'!D$27)</f>
        <v>1.1153649517644024</v>
      </c>
      <c r="Y12" s="64">
        <f ca="1">MAX(0,AE11*'Model - Scarcity &amp; Growth Rates'!$J11*(1-'Model - Supply'!AB11/'Static Parameters'!E$25)+'Model - Supply'!AB11/'Static Parameters'!E$27)</f>
        <v>1.1099648897691863</v>
      </c>
      <c r="Z12" s="64">
        <f ca="1">Z11+W12-Z11/'Static Parameters'!C$27</f>
        <v>7.0200397953619262</v>
      </c>
      <c r="AA12" s="64">
        <f ca="1">AA11+X12-AA11/'Static Parameters'!D$27</f>
        <v>11.609229437033047</v>
      </c>
      <c r="AB12" s="64">
        <f ca="1">AB11+Y12-AB11/'Static Parameters'!E$27</f>
        <v>21.885425300628388</v>
      </c>
      <c r="AC12" s="64">
        <f ca="1">Z12-W12*'Static Parameters'!C$27/'Static Parameters'!C$26</f>
        <v>5.9337450731985006</v>
      </c>
      <c r="AD12" s="64">
        <f ca="1">AA12-X12*'Static Parameters'!D$27/'Static Parameters'!D$26</f>
        <v>10.215023247327544</v>
      </c>
      <c r="AE12" s="64">
        <f ca="1">AB12-Y12*'Static Parameters'!E$27/'Static Parameters'!E$26</f>
        <v>20.696177204447118</v>
      </c>
      <c r="AF12" s="64">
        <f ca="1">AG11*'Model - Scarcity &amp; Growth Rates'!K11*(1-'Model - Supply'!AF11/'Static Parameters'!C$33)+'Model - Supply'!AF11</f>
        <v>82.591962501242321</v>
      </c>
      <c r="AG12" s="64">
        <f ca="1">AF12-AF12/'Static Parameters'!$C$34</f>
        <v>41.295981250621161</v>
      </c>
      <c r="AH12" s="64">
        <f t="shared" ca="1" si="15"/>
        <v>136.8241667807419</v>
      </c>
      <c r="AI12" s="64">
        <f t="shared" ca="1" si="16"/>
        <v>225.8139033503011</v>
      </c>
      <c r="AJ12" s="64">
        <f t="shared" ca="1" si="5"/>
        <v>51.976607765070405</v>
      </c>
      <c r="AK12" s="64">
        <f t="shared" ca="1" si="6"/>
        <v>151.7938196570766</v>
      </c>
      <c r="AL12" s="64">
        <f t="shared" ca="1" si="7"/>
        <v>66.050287952531932</v>
      </c>
      <c r="AM12" s="64">
        <f t="shared" ca="1" si="8"/>
        <v>14.67642798076975</v>
      </c>
      <c r="AN12" s="64">
        <f t="shared" ca="1" si="9"/>
        <v>36.844945524973163</v>
      </c>
      <c r="AO12" s="64">
        <f t="shared" ca="1" si="10"/>
        <v>41.295981250621161</v>
      </c>
    </row>
    <row r="13" spans="1:41" x14ac:dyDescent="0.35">
      <c r="A13" s="13">
        <v>2031</v>
      </c>
      <c r="B13" s="12">
        <f ca="1">MAX(0,MIN(1,B12*(1+'Model - Scarcity &amp; Growth Rates'!$D12-'Model - Scarcity &amp; Growth Rates'!$E12)))</f>
        <v>1</v>
      </c>
      <c r="C13" s="12">
        <f ca="1">MAX(0,MIN(1,C12*(1+'Model - Scarcity &amp; Growth Rates'!$D12-'Model - Scarcity &amp; Growth Rates'!$E12)))</f>
        <v>9.5395618746531019E-2</v>
      </c>
      <c r="D13" s="12">
        <f ca="1">MAX(0,MIN(1,D12*(1+'Model - Scarcity &amp; Growth Rates'!$D12-'Model - Scarcity &amp; Growth Rates'!$E12)))</f>
        <v>0.83130467764834171</v>
      </c>
      <c r="E13" s="12">
        <f ca="1">B13*('Model - Scarcity &amp; Growth Rates'!$D13*(1-'Model - Scarcity &amp; Growth Rates'!$I13)-'Model - Scarcity &amp; Growth Rates'!$I13)+(1-'Model - Supply'!B13)*('Model - Scarcity &amp; Growth Rates'!$E13*(1-'Model - Scarcity &amp; Growth Rates'!$I13)-'Model - Scarcity &amp; Growth Rates'!$I13)</f>
        <v>4.2818605667244131E-2</v>
      </c>
      <c r="F13" s="12">
        <f ca="1">C13*('Model - Scarcity &amp; Growth Rates'!$D13*(1-'Model - Scarcity &amp; Growth Rates'!$I13)-'Model - Scarcity &amp; Growth Rates'!$I13)+(1-'Model - Supply'!C13)*('Model - Scarcity &amp; Growth Rates'!$E13*(1-'Model - Scarcity &amp; Growth Rates'!$I13)-'Model - Scarcity &amp; Growth Rates'!$I13)</f>
        <v>1.6605389683401446E-3</v>
      </c>
      <c r="G13" s="12">
        <f ca="1">D13*('Model - Scarcity &amp; Growth Rates'!$D13*(1-'Model - Scarcity &amp; Growth Rates'!$I13)-'Model - Scarcity &amp; Growth Rates'!$I13)+(1-'Model - Supply'!D13)*('Model - Scarcity &amp; Growth Rates'!$E13*(1-'Model - Scarcity &amp; Growth Rates'!$I13)-'Model - Scarcity &amp; Growth Rates'!$I13)</f>
        <v>3.5143235667906052E-2</v>
      </c>
      <c r="H13" s="12">
        <f ca="1">'Model - Scarcity &amp; Growth Rates'!J13</f>
        <v>8.838359935644588E-2</v>
      </c>
      <c r="I13" s="21">
        <f ca="1">(1+E12)*I12*(1-(SUM(I$5:I12)/'Static Parameters'!C$17)^2)</f>
        <v>235.94120032848437</v>
      </c>
      <c r="J13" s="21">
        <f ca="1">(1+F12)*J12*(1-(SUM(J$5:J12)/'Static Parameters'!D$17)^2)</f>
        <v>157.54163696627884</v>
      </c>
      <c r="K13" s="21">
        <f ca="1">(1+G12)*K12*(1-(SUM(K$5:K12)/'Static Parameters'!E$17)^2)</f>
        <v>161.50914565293547</v>
      </c>
      <c r="L13" s="21">
        <f ca="1">(1+H12)*L12*(1-(SUM(L$5:L12)/'Static Parameters'!F$17)^2)</f>
        <v>15.873982470155605</v>
      </c>
      <c r="M13" s="21">
        <f ca="1">I13*B13*'Static Parameters'!C$15</f>
        <v>54.26647607555141</v>
      </c>
      <c r="N13" s="21">
        <f ca="1">J13*C13*'Static Parameters'!D$15</f>
        <v>3.4566198454500929</v>
      </c>
      <c r="O13" s="21">
        <f ca="1">K13*D13*'Static Parameters'!E$15</f>
        <v>32.223193983425418</v>
      </c>
      <c r="P13" s="63">
        <f t="shared" ca="1" si="11"/>
        <v>15.873982470155605</v>
      </c>
      <c r="Q13" s="40">
        <f t="shared" ca="1" si="12"/>
        <v>0</v>
      </c>
      <c r="R13" s="40">
        <f t="shared" ca="1" si="13"/>
        <v>142.51285502953931</v>
      </c>
      <c r="S13" s="40">
        <f t="shared" ca="1" si="14"/>
        <v>27.245837388662881</v>
      </c>
      <c r="T13" s="64">
        <f ca="1">I13*'Static Parameters'!C$19/(44/12)/1000</f>
        <v>6.1966738886271946</v>
      </c>
      <c r="U13" s="64">
        <f ca="1">J13*'Static Parameters'!D$19/(44/12)/1000</f>
        <v>3.1494005426258833</v>
      </c>
      <c r="V13" s="64">
        <f ca="1">K13*'Static Parameters'!E$19/(44/12)/1000</f>
        <v>2.471089928489913</v>
      </c>
      <c r="W13" s="64">
        <f ca="1">MAX(0,AC12*'Model - Scarcity &amp; Growth Rates'!$J12*(1-'Model - Supply'!Z12/'Static Parameters'!C$25)+'Model - Supply'!Z12/'Static Parameters'!C$27)</f>
        <v>0.78172270136307909</v>
      </c>
      <c r="X13" s="64">
        <f ca="1">MAX(0,AD12*'Model - Scarcity &amp; Growth Rates'!$J12*(1-'Model - Supply'!AA12/'Static Parameters'!D$25)+'Model - Supply'!AA12/'Static Parameters'!D$27)</f>
        <v>1.3432593153321362</v>
      </c>
      <c r="Y13" s="64">
        <f ca="1">MAX(0,AE12*'Model - Scarcity &amp; Growth Rates'!$J12*(1-'Model - Supply'!AB12/'Static Parameters'!E$25)+'Model - Supply'!AB12/'Static Parameters'!E$27)</f>
        <v>1.3099512523549965</v>
      </c>
      <c r="Z13" s="64">
        <f ca="1">Z12+W13-Z12/'Static Parameters'!C$27</f>
        <v>7.5209609049105284</v>
      </c>
      <c r="AA13" s="64">
        <f ca="1">AA12+X13-AA12/'Static Parameters'!D$27</f>
        <v>12.488119574883862</v>
      </c>
      <c r="AB13" s="64">
        <f ca="1">AB12+Y13-AB12/'Static Parameters'!E$27</f>
        <v>22.903570882308337</v>
      </c>
      <c r="AC13" s="64">
        <f ca="1">Z13-W13*'Static Parameters'!C$27/'Static Parameters'!C$26</f>
        <v>6.2180897359720628</v>
      </c>
      <c r="AD13" s="64">
        <f ca="1">AA13-X13*'Static Parameters'!D$27/'Static Parameters'!D$26</f>
        <v>10.809045430718692</v>
      </c>
      <c r="AE13" s="64">
        <f ca="1">AB13-Y13*'Static Parameters'!E$27/'Static Parameters'!E$26</f>
        <v>21.500051683356556</v>
      </c>
      <c r="AF13" s="64">
        <f ca="1">AG12*'Model - Scarcity &amp; Growth Rates'!K12*(1-'Model - Supply'!AF12/'Static Parameters'!C$33)+'Model - Supply'!AF12</f>
        <v>82.986213926807167</v>
      </c>
      <c r="AG13" s="64">
        <f ca="1">AF13-AF13/'Static Parameters'!$C$34</f>
        <v>41.493106963403584</v>
      </c>
      <c r="AH13" s="64">
        <f t="shared" ca="1" si="15"/>
        <v>144.34745922462983</v>
      </c>
      <c r="AI13" s="64">
        <f t="shared" ca="1" si="16"/>
        <v>211.25179938160579</v>
      </c>
      <c r="AJ13" s="64">
        <f t="shared" ca="1" si="5"/>
        <v>54.26647607555141</v>
      </c>
      <c r="AK13" s="64">
        <f t="shared" ca="1" si="6"/>
        <v>145.9694748749894</v>
      </c>
      <c r="AL13" s="64">
        <f t="shared" ca="1" si="7"/>
        <v>59.469031372088295</v>
      </c>
      <c r="AM13" s="64">
        <f t="shared" ca="1" si="8"/>
        <v>15.873982470155605</v>
      </c>
      <c r="AN13" s="64">
        <f t="shared" ca="1" si="9"/>
        <v>38.527186850047315</v>
      </c>
      <c r="AO13" s="64">
        <f t="shared" ca="1" si="10"/>
        <v>41.493106963403584</v>
      </c>
    </row>
    <row r="14" spans="1:41" x14ac:dyDescent="0.35">
      <c r="A14" s="13">
        <v>2032</v>
      </c>
      <c r="B14" s="12">
        <f ca="1">MAX(0,MIN(1,B13*(1+'Model - Scarcity &amp; Growth Rates'!$D13-'Model - Scarcity &amp; Growth Rates'!$E13)))</f>
        <v>1</v>
      </c>
      <c r="C14" s="12">
        <f ca="1">MAX(0,MIN(1,C13*(1+'Model - Scarcity &amp; Growth Rates'!$D13-'Model - Scarcity &amp; Growth Rates'!$E13)))</f>
        <v>9.9925615875606569E-2</v>
      </c>
      <c r="D14" s="12">
        <f ca="1">MAX(0,MIN(1,D13*(1+'Model - Scarcity &amp; Growth Rates'!$D13-'Model - Scarcity &amp; Growth Rates'!$E13)))</f>
        <v>0.87078036691600014</v>
      </c>
      <c r="E14" s="12">
        <f ca="1">B14*('Model - Scarcity &amp; Growth Rates'!$D14*(1-'Model - Scarcity &amp; Growth Rates'!$I14)-'Model - Scarcity &amp; Growth Rates'!$I14)+(1-'Model - Supply'!B14)*('Model - Scarcity &amp; Growth Rates'!$E14*(1-'Model - Scarcity &amp; Growth Rates'!$I14)-'Model - Scarcity &amp; Growth Rates'!$I14)</f>
        <v>3.8800268312524575E-2</v>
      </c>
      <c r="F14" s="12">
        <f ca="1">C14*('Model - Scarcity &amp; Growth Rates'!$D14*(1-'Model - Scarcity &amp; Growth Rates'!$I14)-'Model - Scarcity &amp; Growth Rates'!$I14)+(1-'Model - Supply'!C14)*('Model - Scarcity &amp; Growth Rates'!$E14*(1-'Model - Scarcity &amp; Growth Rates'!$I14)-'Model - Scarcity &amp; Growth Rates'!$I14)</f>
        <v>-5.8872695650427978E-4</v>
      </c>
      <c r="G14" s="12">
        <f ca="1">D14*('Model - Scarcity &amp; Growth Rates'!$D14*(1-'Model - Scarcity &amp; Growth Rates'!$I14)-'Model - Scarcity &amp; Growth Rates'!$I14)+(1-'Model - Supply'!D14)*('Model - Scarcity &amp; Growth Rates'!$E14*(1-'Model - Scarcity &amp; Growth Rates'!$I14)-'Model - Scarcity &amp; Growth Rates'!$I14)</f>
        <v>3.3145367333242977E-2</v>
      </c>
      <c r="H14" s="12">
        <f ca="1">'Model - Scarcity &amp; Growth Rates'!J14</f>
        <v>9.0456607092051278E-2</v>
      </c>
      <c r="I14" s="21">
        <f ca="1">(1+E13)*I13*(1-(SUM(I$5:I13)/'Static Parameters'!C$17)^2)</f>
        <v>244.80677388483878</v>
      </c>
      <c r="J14" s="21">
        <f ca="1">(1+F13)*J13*(1-(SUM(J$5:J13)/'Static Parameters'!D$17)^2)</f>
        <v>154.01140364028441</v>
      </c>
      <c r="K14" s="21">
        <f ca="1">(1+G13)*K13*(1-(SUM(K$5:K13)/'Static Parameters'!E$17)^2)</f>
        <v>160.99753306350956</v>
      </c>
      <c r="L14" s="21">
        <f ca="1">(1+H13)*L13*(1-(SUM(L$5:L13)/'Static Parameters'!F$17)^2)</f>
        <v>17.148575318758429</v>
      </c>
      <c r="M14" s="21">
        <f ca="1">I14*B14*'Static Parameters'!C$15</f>
        <v>56.30555799351292</v>
      </c>
      <c r="N14" s="21">
        <f ca="1">J14*C14*'Static Parameters'!D$15</f>
        <v>3.539627402943073</v>
      </c>
      <c r="O14" s="21">
        <f ca="1">K14*D14*'Static Parameters'!E$15</f>
        <v>33.646437819267291</v>
      </c>
      <c r="P14" s="63">
        <f t="shared" ca="1" si="11"/>
        <v>17.148575318758429</v>
      </c>
      <c r="Q14" s="40">
        <f t="shared" ca="1" si="12"/>
        <v>0</v>
      </c>
      <c r="R14" s="40">
        <f t="shared" ca="1" si="13"/>
        <v>138.62171927966236</v>
      </c>
      <c r="S14" s="40">
        <f t="shared" ca="1" si="14"/>
        <v>20.804042149895842</v>
      </c>
      <c r="T14" s="64">
        <f ca="1">I14*'Static Parameters'!C$19/(44/12)/1000</f>
        <v>6.4295160886663565</v>
      </c>
      <c r="U14" s="64">
        <f ca="1">J14*'Static Parameters'!D$19/(44/12)/1000</f>
        <v>3.0788279691362312</v>
      </c>
      <c r="V14" s="64">
        <f ca="1">K14*'Static Parameters'!E$19/(44/12)/1000</f>
        <v>2.4632622558716966</v>
      </c>
      <c r="W14" s="64">
        <f ca="1">MAX(0,AC13*'Model - Scarcity &amp; Growth Rates'!$J13*(1-'Model - Supply'!Z13/'Static Parameters'!C$25)+'Model - Supply'!Z13/'Static Parameters'!C$27)</f>
        <v>0.8297488468113885</v>
      </c>
      <c r="X14" s="64">
        <f ca="1">MAX(0,AD13*'Model - Scarcity &amp; Growth Rates'!$J13*(1-'Model - Supply'!AA13/'Static Parameters'!D$25)+'Model - Supply'!AA13/'Static Parameters'!D$27)</f>
        <v>1.4378236532174196</v>
      </c>
      <c r="Y14" s="64">
        <f ca="1">MAX(0,AE13*'Model - Scarcity &amp; Growth Rates'!$J13*(1-'Model - Supply'!AB13/'Static Parameters'!E$25)+'Model - Supply'!AB13/'Static Parameters'!E$27)</f>
        <v>1.3351817927113261</v>
      </c>
      <c r="Z14" s="64">
        <f ca="1">Z13+W14-Z13/'Static Parameters'!C$27</f>
        <v>8.0498713155254951</v>
      </c>
      <c r="AA14" s="64">
        <f ca="1">AA13+X14-AA13/'Static Parameters'!D$27</f>
        <v>13.426418445105927</v>
      </c>
      <c r="AB14" s="64">
        <f ca="1">AB13+Y14-AB13/'Static Parameters'!E$27</f>
        <v>23.933371729922218</v>
      </c>
      <c r="AC14" s="64">
        <f ca="1">Z14-W14*'Static Parameters'!C$27/'Static Parameters'!C$26</f>
        <v>6.6669565708398473</v>
      </c>
      <c r="AD14" s="64">
        <f ca="1">AA14-X14*'Static Parameters'!D$27/'Static Parameters'!D$26</f>
        <v>11.629138878584152</v>
      </c>
      <c r="AE14" s="64">
        <f ca="1">AB14-Y14*'Static Parameters'!E$27/'Static Parameters'!E$26</f>
        <v>22.502819809160084</v>
      </c>
      <c r="AF14" s="64">
        <f ca="1">AG13*'Model - Scarcity &amp; Growth Rates'!K13*(1-'Model - Supply'!AF13/'Static Parameters'!C$33)+'Model - Supply'!AF13</f>
        <v>83.979047074257579</v>
      </c>
      <c r="AG14" s="64">
        <f ca="1">AF14-AF14/'Static Parameters'!$C$34</f>
        <v>41.98952353712879</v>
      </c>
      <c r="AH14" s="64">
        <f t="shared" ca="1" si="15"/>
        <v>151.43911379306579</v>
      </c>
      <c r="AI14" s="64">
        <f t="shared" ca="1" si="16"/>
        <v>201.41528496668701</v>
      </c>
      <c r="AJ14" s="64">
        <f t="shared" ca="1" si="5"/>
        <v>56.30555799351292</v>
      </c>
      <c r="AK14" s="64">
        <f t="shared" ca="1" si="6"/>
        <v>142.16134668260543</v>
      </c>
      <c r="AL14" s="64">
        <f t="shared" ca="1" si="7"/>
        <v>54.450479969163133</v>
      </c>
      <c r="AM14" s="64">
        <f t="shared" ca="1" si="8"/>
        <v>17.148575318758429</v>
      </c>
      <c r="AN14" s="64">
        <f t="shared" ca="1" si="9"/>
        <v>40.798915258584088</v>
      </c>
      <c r="AO14" s="64">
        <f t="shared" ca="1" si="10"/>
        <v>41.98952353712879</v>
      </c>
    </row>
    <row r="15" spans="1:41" x14ac:dyDescent="0.35">
      <c r="A15" s="13">
        <v>2033</v>
      </c>
      <c r="B15" s="12">
        <f ca="1">MAX(0,MIN(1,B14*(1+'Model - Scarcity &amp; Growth Rates'!$D14-'Model - Scarcity &amp; Growth Rates'!$E14)))</f>
        <v>1</v>
      </c>
      <c r="C15" s="12">
        <f ca="1">MAX(0,MIN(1,C14*(1+'Model - Scarcity &amp; Growth Rates'!$D14-'Model - Scarcity &amp; Growth Rates'!$E14)))</f>
        <v>0.10451600677372337</v>
      </c>
      <c r="D15" s="12">
        <f ca="1">MAX(0,MIN(1,D14*(1+'Model - Scarcity &amp; Growth Rates'!$D14-'Model - Scarcity &amp; Growth Rates'!$E14)))</f>
        <v>0.91078234474244657</v>
      </c>
      <c r="E15" s="12">
        <f ca="1">B15*('Model - Scarcity &amp; Growth Rates'!$D15*(1-'Model - Scarcity &amp; Growth Rates'!$I15)-'Model - Scarcity &amp; Growth Rates'!$I15)+(1-'Model - Supply'!B15)*('Model - Scarcity &amp; Growth Rates'!$E15*(1-'Model - Scarcity &amp; Growth Rates'!$I15)-'Model - Scarcity &amp; Growth Rates'!$I15)</f>
        <v>3.6128161775952281E-2</v>
      </c>
      <c r="F15" s="12">
        <f ca="1">C15*('Model - Scarcity &amp; Growth Rates'!$D15*(1-'Model - Scarcity &amp; Growth Rates'!$I15)-'Model - Scarcity &amp; Growth Rates'!$I15)+(1-'Model - Supply'!C15)*('Model - Scarcity &amp; Growth Rates'!$E15*(1-'Model - Scarcity &amp; Growth Rates'!$I15)-'Model - Scarcity &amp; Growth Rates'!$I15)</f>
        <v>1.6653493830001784E-3</v>
      </c>
      <c r="G15" s="12">
        <f ca="1">D15*('Model - Scarcity &amp; Growth Rates'!$D15*(1-'Model - Scarcity &amp; Growth Rates'!$I15)-'Model - Scarcity &amp; Growth Rates'!$I15)+(1-'Model - Supply'!D15)*('Model - Scarcity &amp; Growth Rates'!$E15*(1-'Model - Scarcity &amp; Growth Rates'!$I15)-'Model - Scarcity &amp; Growth Rates'!$I15)</f>
        <v>3.2694609262967037E-2</v>
      </c>
      <c r="H15" s="12">
        <f ca="1">'Model - Scarcity &amp; Growth Rates'!J15</f>
        <v>9.389618252546264E-2</v>
      </c>
      <c r="I15" s="21">
        <f ca="1">(1+E14)*I14*(1-(SUM(I$5:I14)/'Static Parameters'!C$17)^2)</f>
        <v>252.65247947262569</v>
      </c>
      <c r="J15" s="21">
        <f ca="1">(1+F14)*J14*(1-(SUM(J$5:J14)/'Static Parameters'!D$17)^2)</f>
        <v>149.39160370738787</v>
      </c>
      <c r="K15" s="21">
        <f ca="1">(1+G14)*K14*(1-(SUM(K$5:K14)/'Static Parameters'!E$17)^2)</f>
        <v>158.61171107280907</v>
      </c>
      <c r="L15" s="21">
        <f ca="1">(1+H14)*L14*(1-(SUM(L$5:L14)/'Static Parameters'!F$17)^2)</f>
        <v>18.513450275976499</v>
      </c>
      <c r="M15" s="21">
        <f ca="1">I15*B15*'Static Parameters'!C$15</f>
        <v>58.110070278703908</v>
      </c>
      <c r="N15" s="21">
        <f ca="1">J15*C15*'Static Parameters'!D$15</f>
        <v>3.5911771889543123</v>
      </c>
      <c r="O15" s="21">
        <f ca="1">K15*D15*'Static Parameters'!E$15</f>
        <v>34.670579067481086</v>
      </c>
      <c r="P15" s="63">
        <f t="shared" ca="1" si="11"/>
        <v>18.513450275976499</v>
      </c>
      <c r="Q15" s="40">
        <f t="shared" ca="1" si="12"/>
        <v>0</v>
      </c>
      <c r="R15" s="40">
        <f t="shared" ca="1" si="13"/>
        <v>133.77778984236912</v>
      </c>
      <c r="S15" s="40">
        <f t="shared" ca="1" si="14"/>
        <v>14.15096495830455</v>
      </c>
      <c r="T15" s="64">
        <f ca="1">I15*'Static Parameters'!C$19/(44/12)/1000</f>
        <v>6.6355728472401418</v>
      </c>
      <c r="U15" s="64">
        <f ca="1">J15*'Static Parameters'!D$19/(44/12)/1000</f>
        <v>2.9864739686595083</v>
      </c>
      <c r="V15" s="64">
        <f ca="1">K15*'Static Parameters'!E$19/(44/12)/1000</f>
        <v>2.4267591794139793</v>
      </c>
      <c r="W15" s="64">
        <f ca="1">MAX(0,AC14*'Model - Scarcity &amp; Growth Rates'!$J14*(1-'Model - Supply'!Z14/'Static Parameters'!C$25)+'Model - Supply'!Z14/'Static Parameters'!C$27)</f>
        <v>0.90079193326926776</v>
      </c>
      <c r="X15" s="64">
        <f ca="1">MAX(0,AD14*'Model - Scarcity &amp; Growth Rates'!$J14*(1-'Model - Supply'!AA14/'Static Parameters'!D$25)+'Model - Supply'!AA14/'Static Parameters'!D$27)</f>
        <v>1.568812491019222</v>
      </c>
      <c r="Y15" s="64">
        <f ca="1">MAX(0,AE14*'Model - Scarcity &amp; Growth Rates'!$J14*(1-'Model - Supply'!AB14/'Static Parameters'!E$25)+'Model - Supply'!AB14/'Static Parameters'!E$27)</f>
        <v>1.3802990377940403</v>
      </c>
      <c r="Z15" s="64">
        <f ca="1">Z14+W15-Z14/'Static Parameters'!C$27</f>
        <v>8.6286683961737438</v>
      </c>
      <c r="AA15" s="64">
        <f ca="1">AA14+X15-AA14/'Static Parameters'!D$27</f>
        <v>14.458174198320913</v>
      </c>
      <c r="AB15" s="64">
        <f ca="1">AB14+Y15-AB14/'Static Parameters'!E$27</f>
        <v>24.994559144650626</v>
      </c>
      <c r="AC15" s="64">
        <f ca="1">Z15-W15*'Static Parameters'!C$27/'Static Parameters'!C$26</f>
        <v>7.1273485073916305</v>
      </c>
      <c r="AD15" s="64">
        <f ca="1">AA15-X15*'Static Parameters'!D$27/'Static Parameters'!D$26</f>
        <v>12.497158584546886</v>
      </c>
      <c r="AE15" s="64">
        <f ca="1">AB15-Y15*'Static Parameters'!E$27/'Static Parameters'!E$26</f>
        <v>23.515667318442727</v>
      </c>
      <c r="AF15" s="64">
        <f ca="1">AG14*'Model - Scarcity &amp; Growth Rates'!K14*(1-'Model - Supply'!AF14/'Static Parameters'!C$33)+'Model - Supply'!AF14</f>
        <v>85.063443731156099</v>
      </c>
      <c r="AG15" s="64">
        <f ca="1">AF15-AF15/'Static Parameters'!$C$34</f>
        <v>42.531721865578049</v>
      </c>
      <c r="AH15" s="64">
        <f t="shared" ca="1" si="15"/>
        <v>158.02545122149704</v>
      </c>
      <c r="AI15" s="64">
        <f t="shared" ca="1" si="16"/>
        <v>190.46047666625171</v>
      </c>
      <c r="AJ15" s="64">
        <f t="shared" ca="1" si="5"/>
        <v>58.110070278703908</v>
      </c>
      <c r="AK15" s="64">
        <f t="shared" ca="1" si="6"/>
        <v>137.36896703132342</v>
      </c>
      <c r="AL15" s="64">
        <f t="shared" ca="1" si="7"/>
        <v>48.821544025785634</v>
      </c>
      <c r="AM15" s="64">
        <f t="shared" ca="1" si="8"/>
        <v>18.513450275976499</v>
      </c>
      <c r="AN15" s="64">
        <f t="shared" ca="1" si="9"/>
        <v>43.140174410381249</v>
      </c>
      <c r="AO15" s="64">
        <f t="shared" ca="1" si="10"/>
        <v>42.531721865578049</v>
      </c>
    </row>
    <row r="16" spans="1:41" x14ac:dyDescent="0.35">
      <c r="A16" s="13">
        <v>2034</v>
      </c>
      <c r="B16" s="12">
        <f ca="1">MAX(0,MIN(1,B15*(1+'Model - Scarcity &amp; Growth Rates'!$D15-'Model - Scarcity &amp; Growth Rates'!$E15)))</f>
        <v>1</v>
      </c>
      <c r="C16" s="12">
        <f ca="1">MAX(0,MIN(1,C15*(1+'Model - Scarcity &amp; Growth Rates'!$D15-'Model - Scarcity &amp; Growth Rates'!$E15)))</f>
        <v>0.10876257714968764</v>
      </c>
      <c r="D16" s="12">
        <f ca="1">MAX(0,MIN(1,D15*(1+'Model - Scarcity &amp; Growth Rates'!$D15-'Model - Scarcity &amp; Growth Rates'!$E15)))</f>
        <v>0.94778817230442092</v>
      </c>
      <c r="E16" s="12">
        <f ca="1">B16*('Model - Scarcity &amp; Growth Rates'!$D16*(1-'Model - Scarcity &amp; Growth Rates'!$I16)-'Model - Scarcity &amp; Growth Rates'!$I16)+(1-'Model - Supply'!B16)*('Model - Scarcity &amp; Growth Rates'!$E16*(1-'Model - Scarcity &amp; Growth Rates'!$I16)-'Model - Scarcity &amp; Growth Rates'!$I16)</f>
        <v>3.46455538404878E-2</v>
      </c>
      <c r="F16" s="12">
        <f ca="1">C16*('Model - Scarcity &amp; Growth Rates'!$D16*(1-'Model - Scarcity &amp; Growth Rates'!$I16)-'Model - Scarcity &amp; Growth Rates'!$I16)+(1-'Model - Supply'!C16)*('Model - Scarcity &amp; Growth Rates'!$E16*(1-'Model - Scarcity &amp; Growth Rates'!$I16)-'Model - Scarcity &amp; Growth Rates'!$I16)</f>
        <v>2.2513754990137634E-3</v>
      </c>
      <c r="G16" s="12">
        <f ca="1">D16*('Model - Scarcity &amp; Growth Rates'!$D16*(1-'Model - Scarcity &amp; Growth Rates'!$I16)-'Model - Scarcity &amp; Growth Rates'!$I16)+(1-'Model - Supply'!D16)*('Model - Scarcity &amp; Growth Rates'!$E16*(1-'Model - Scarcity &amp; Growth Rates'!$I16)-'Model - Scarcity &amp; Growth Rates'!$I16)</f>
        <v>3.2747788761800151E-2</v>
      </c>
      <c r="H16" s="12">
        <f ca="1">'Model - Scarcity &amp; Growth Rates'!J16</f>
        <v>9.8557542343209167E-2</v>
      </c>
      <c r="I16" s="21">
        <f ca="1">(1+E15)*I15*(1-(SUM(I$5:I15)/'Static Parameters'!C$17)^2)</f>
        <v>259.62955400563561</v>
      </c>
      <c r="J16" s="21">
        <f ca="1">(1+F15)*J15*(1-(SUM(J$5:J15)/'Static Parameters'!D$17)^2)</f>
        <v>144.37586376695336</v>
      </c>
      <c r="K16" s="21">
        <f ca="1">(1+G15)*K15*(1-(SUM(K$5:K15)/'Static Parameters'!E$17)^2)</f>
        <v>154.50299521284904</v>
      </c>
      <c r="L16" s="21">
        <f ca="1">(1+H15)*L15*(1-(SUM(L$5:L15)/'Static Parameters'!F$17)^2)</f>
        <v>19.986222999145436</v>
      </c>
      <c r="M16" s="21">
        <f ca="1">I16*B16*'Static Parameters'!C$15</f>
        <v>59.71479742129619</v>
      </c>
      <c r="N16" s="21">
        <f ca="1">J16*C16*'Static Parameters'!D$15</f>
        <v>3.6116189349463932</v>
      </c>
      <c r="O16" s="21">
        <f ca="1">K16*D16*'Static Parameters'!E$15</f>
        <v>35.14466674760277</v>
      </c>
      <c r="P16" s="63">
        <f t="shared" ca="1" si="11"/>
        <v>19.986222999145436</v>
      </c>
      <c r="Q16" s="40">
        <f t="shared" ca="1" si="12"/>
        <v>0</v>
      </c>
      <c r="R16" s="40">
        <f t="shared" ca="1" si="13"/>
        <v>128.67317274544732</v>
      </c>
      <c r="S16" s="40">
        <f t="shared" ca="1" si="14"/>
        <v>8.0668837645041549</v>
      </c>
      <c r="T16" s="64">
        <f ca="1">I16*'Static Parameters'!C$19/(44/12)/1000</f>
        <v>6.8188161956571021</v>
      </c>
      <c r="U16" s="64">
        <f ca="1">J16*'Static Parameters'!D$19/(44/12)/1000</f>
        <v>2.8862047674866402</v>
      </c>
      <c r="V16" s="64">
        <f ca="1">K16*'Static Parameters'!E$19/(44/12)/1000</f>
        <v>2.363895826756591</v>
      </c>
      <c r="W16" s="64">
        <f ca="1">MAX(0,AC15*'Model - Scarcity &amp; Growth Rates'!$J15*(1-'Model - Supply'!Z15/'Static Parameters'!C$25)+'Model - Supply'!Z15/'Static Parameters'!C$27)</f>
        <v>0.98550469824467779</v>
      </c>
      <c r="X16" s="64">
        <f ca="1">MAX(0,AD15*'Model - Scarcity &amp; Growth Rates'!$J15*(1-'Model - Supply'!AA15/'Static Parameters'!D$25)+'Model - Supply'!AA15/'Static Parameters'!D$27)</f>
        <v>1.7275256876785381</v>
      </c>
      <c r="Y16" s="64">
        <f ca="1">MAX(0,AE15*'Model - Scarcity &amp; Growth Rates'!$J15*(1-'Model - Supply'!AB15/'Static Parameters'!E$25)+'Model - Supply'!AB15/'Static Parameters'!E$27)</f>
        <v>1.437516755553697</v>
      </c>
      <c r="Z16" s="64">
        <f ca="1">Z15+W16-Z15/'Static Parameters'!C$27</f>
        <v>9.2690263585714732</v>
      </c>
      <c r="AA16" s="64">
        <f ca="1">AA15+X16-AA15/'Static Parameters'!D$27</f>
        <v>15.607372918066615</v>
      </c>
      <c r="AB16" s="64">
        <f ca="1">AB15+Y16-AB15/'Static Parameters'!E$27</f>
        <v>26.098815111608982</v>
      </c>
      <c r="AC16" s="64">
        <f ca="1">Z16-W16*'Static Parameters'!C$27/'Static Parameters'!C$26</f>
        <v>7.6265185281636771</v>
      </c>
      <c r="AD16" s="64">
        <f ca="1">AA16-X16*'Static Parameters'!D$27/'Static Parameters'!D$26</f>
        <v>13.447965808468442</v>
      </c>
      <c r="AE16" s="64">
        <f ca="1">AB16-Y16*'Static Parameters'!E$27/'Static Parameters'!E$26</f>
        <v>24.558618587801448</v>
      </c>
      <c r="AF16" s="64">
        <f ca="1">AG15*'Model - Scarcity &amp; Growth Rates'!K15*(1-'Model - Supply'!AF15/'Static Parameters'!C$33)+'Model - Supply'!AF15</f>
        <v>86.365369102957345</v>
      </c>
      <c r="AG16" s="64">
        <f ca="1">AF16-AF16/'Static Parameters'!$C$34</f>
        <v>43.182684551478673</v>
      </c>
      <c r="AH16" s="64">
        <f t="shared" ca="1" si="15"/>
        <v>164.09040902742436</v>
      </c>
      <c r="AI16" s="64">
        <f t="shared" ca="1" si="16"/>
        <v>179.92274106143014</v>
      </c>
      <c r="AJ16" s="64">
        <f t="shared" ca="1" si="5"/>
        <v>59.71479742129619</v>
      </c>
      <c r="AK16" s="64">
        <f t="shared" ca="1" si="6"/>
        <v>132.28479168039371</v>
      </c>
      <c r="AL16" s="64">
        <f t="shared" ca="1" si="7"/>
        <v>43.211550512106925</v>
      </c>
      <c r="AM16" s="64">
        <f t="shared" ca="1" si="8"/>
        <v>19.986222999145436</v>
      </c>
      <c r="AN16" s="64">
        <f t="shared" ca="1" si="9"/>
        <v>45.633102924433565</v>
      </c>
      <c r="AO16" s="64">
        <f t="shared" ca="1" si="10"/>
        <v>43.182684551478673</v>
      </c>
    </row>
    <row r="17" spans="1:41" x14ac:dyDescent="0.35">
      <c r="A17" s="13">
        <v>2035</v>
      </c>
      <c r="B17" s="12">
        <f ca="1">MAX(0,MIN(1,B16*(1+'Model - Scarcity &amp; Growth Rates'!$D16-'Model - Scarcity &amp; Growth Rates'!$E16)))</f>
        <v>1</v>
      </c>
      <c r="C17" s="12">
        <f ca="1">MAX(0,MIN(1,C16*(1+'Model - Scarcity &amp; Growth Rates'!$D16-'Model - Scarcity &amp; Growth Rates'!$E16)))</f>
        <v>0.11296001484831063</v>
      </c>
      <c r="D17" s="12">
        <f ca="1">MAX(0,MIN(1,D16*(1+'Model - Scarcity &amp; Growth Rates'!$D16-'Model - Scarcity &amp; Growth Rates'!$E16)))</f>
        <v>0.98436584367813551</v>
      </c>
      <c r="E17" s="12">
        <f ca="1">B17*('Model - Scarcity &amp; Growth Rates'!$D17*(1-'Model - Scarcity &amp; Growth Rates'!$I17)-'Model - Scarcity &amp; Growth Rates'!$I17)+(1-'Model - Supply'!B17)*('Model - Scarcity &amp; Growth Rates'!$E17*(1-'Model - Scarcity &amp; Growth Rates'!$I17)-'Model - Scarcity &amp; Growth Rates'!$I17)</f>
        <v>3.3321267826367088E-2</v>
      </c>
      <c r="F17" s="12">
        <f ca="1">C17*('Model - Scarcity &amp; Growth Rates'!$D17*(1-'Model - Scarcity &amp; Growth Rates'!$I17)-'Model - Scarcity &amp; Growth Rates'!$I17)+(1-'Model - Supply'!C17)*('Model - Scarcity &amp; Growth Rates'!$E17*(1-'Model - Scarcity &amp; Growth Rates'!$I17)-'Model - Scarcity &amp; Growth Rates'!$I17)</f>
        <v>3.190012102781155E-3</v>
      </c>
      <c r="G17" s="12">
        <f ca="1">D17*('Model - Scarcity &amp; Growth Rates'!$D17*(1-'Model - Scarcity &amp; Growth Rates'!$I17)-'Model - Scarcity &amp; Growth Rates'!$I17)+(1-'Model - Supply'!D17)*('Model - Scarcity &amp; Growth Rates'!$E17*(1-'Model - Scarcity &amp; Growth Rates'!$I17)-'Model - Scarcity &amp; Growth Rates'!$I17)</f>
        <v>3.279020184282401E-2</v>
      </c>
      <c r="H17" s="12">
        <f ca="1">'Model - Scarcity &amp; Growth Rates'!J17</f>
        <v>0.10336102619592656</v>
      </c>
      <c r="I17" s="21">
        <f ca="1">(1+E16)*I16*(1-(SUM(I$5:I16)/'Static Parameters'!C$17)^2)</f>
        <v>265.88748125474319</v>
      </c>
      <c r="J17" s="21">
        <f ca="1">(1+F16)*J16*(1-(SUM(J$5:J16)/'Static Parameters'!D$17)^2)</f>
        <v>138.73454956815957</v>
      </c>
      <c r="K17" s="21">
        <f ca="1">(1+G16)*K16*(1-(SUM(K$5:K16)/'Static Parameters'!E$17)^2)</f>
        <v>148.74602182576442</v>
      </c>
      <c r="L17" s="21">
        <f ca="1">(1+H16)*L16*(1-(SUM(L$5:L16)/'Static Parameters'!F$17)^2)</f>
        <v>21.582811098388085</v>
      </c>
      <c r="M17" s="21">
        <f ca="1">I17*B17*'Static Parameters'!C$15</f>
        <v>61.154120688590936</v>
      </c>
      <c r="N17" s="21">
        <f ca="1">J17*C17*'Static Parameters'!D$15</f>
        <v>3.6044350592143881</v>
      </c>
      <c r="O17" s="21">
        <f ca="1">K17*D17*'Static Parameters'!E$15</f>
        <v>35.140920784388392</v>
      </c>
      <c r="P17" s="63">
        <f t="shared" ca="1" si="11"/>
        <v>21.582811098388085</v>
      </c>
      <c r="Q17" s="40">
        <f t="shared" ca="1" si="12"/>
        <v>0</v>
      </c>
      <c r="R17" s="40">
        <f t="shared" ca="1" si="13"/>
        <v>123.06309278896657</v>
      </c>
      <c r="S17" s="40">
        <f t="shared" ca="1" si="14"/>
        <v>2.3255185574794681</v>
      </c>
      <c r="T17" s="64">
        <f ca="1">I17*'Static Parameters'!C$19/(44/12)/1000</f>
        <v>6.9831721213177564</v>
      </c>
      <c r="U17" s="64">
        <f ca="1">J17*'Static Parameters'!D$19/(44/12)/1000</f>
        <v>2.7734297681852991</v>
      </c>
      <c r="V17" s="64">
        <f ca="1">K17*'Static Parameters'!E$19/(44/12)/1000</f>
        <v>2.2758141339341957</v>
      </c>
      <c r="W17" s="64">
        <f ca="1">MAX(0,AC16*'Model - Scarcity &amp; Growth Rates'!$J16*(1-'Model - Supply'!Z16/'Static Parameters'!C$25)+'Model - Supply'!Z16/'Static Parameters'!C$27)</f>
        <v>1.087576616035586</v>
      </c>
      <c r="X17" s="64">
        <f ca="1">MAX(0,AD16*'Model - Scarcity &amp; Growth Rates'!$J16*(1-'Model - Supply'!AA16/'Static Parameters'!D$25)+'Model - Supply'!AA16/'Static Parameters'!D$27)</f>
        <v>1.9201419648579943</v>
      </c>
      <c r="Y17" s="64">
        <f ca="1">MAX(0,AE16*'Model - Scarcity &amp; Growth Rates'!$J16*(1-'Model - Supply'!AB16/'Static Parameters'!E$25)+'Model - Supply'!AB16/'Static Parameters'!E$27)</f>
        <v>1.505010490113442</v>
      </c>
      <c r="Z17" s="64">
        <f ca="1">Z16+W17-Z16/'Static Parameters'!C$27</f>
        <v>9.9858419202641997</v>
      </c>
      <c r="AA17" s="64">
        <f ca="1">AA16+X17-AA16/'Static Parameters'!D$27</f>
        <v>16.903219966201945</v>
      </c>
      <c r="AB17" s="64">
        <f ca="1">AB16+Y17-AB16/'Static Parameters'!E$27</f>
        <v>27.255841400234303</v>
      </c>
      <c r="AC17" s="64">
        <f ca="1">Z17-W17*'Static Parameters'!C$27/'Static Parameters'!C$26</f>
        <v>8.173214226871556</v>
      </c>
      <c r="AD17" s="64">
        <f ca="1">AA17-X17*'Static Parameters'!D$27/'Static Parameters'!D$26</f>
        <v>14.503042510129452</v>
      </c>
      <c r="AE17" s="64">
        <f ca="1">AB17-Y17*'Static Parameters'!E$27/'Static Parameters'!E$26</f>
        <v>25.643330160827045</v>
      </c>
      <c r="AF17" s="64">
        <f ca="1">AG16*'Model - Scarcity &amp; Growth Rates'!K16*(1-'Model - Supply'!AF16/'Static Parameters'!C$33)+'Model - Supply'!AF16</f>
        <v>87.836621887435001</v>
      </c>
      <c r="AG17" s="64">
        <f ca="1">AF17-AF17/'Static Parameters'!$C$34</f>
        <v>43.918310943717501</v>
      </c>
      <c r="AH17" s="64">
        <f t="shared" ca="1" si="15"/>
        <v>169.80187452840985</v>
      </c>
      <c r="AI17" s="64">
        <f t="shared" ca="1" si="16"/>
        <v>169.30692229016353</v>
      </c>
      <c r="AJ17" s="64">
        <f t="shared" ca="1" si="5"/>
        <v>61.154120688590936</v>
      </c>
      <c r="AK17" s="64">
        <f t="shared" ca="1" si="6"/>
        <v>126.66752784818095</v>
      </c>
      <c r="AL17" s="64">
        <f t="shared" ca="1" si="7"/>
        <v>37.466439341867861</v>
      </c>
      <c r="AM17" s="64">
        <f t="shared" ca="1" si="8"/>
        <v>21.582811098388085</v>
      </c>
      <c r="AN17" s="64">
        <f t="shared" ca="1" si="9"/>
        <v>48.319586897828053</v>
      </c>
      <c r="AO17" s="64">
        <f t="shared" ca="1" si="10"/>
        <v>43.918310943717501</v>
      </c>
    </row>
    <row r="18" spans="1:41" x14ac:dyDescent="0.35">
      <c r="A18" s="13">
        <v>2036</v>
      </c>
      <c r="B18" s="12">
        <f ca="1">MAX(0,MIN(1,B17*(1+'Model - Scarcity &amp; Growth Rates'!$D17-'Model - Scarcity &amp; Growth Rates'!$E17)))</f>
        <v>1</v>
      </c>
      <c r="C18" s="12">
        <f ca="1">MAX(0,MIN(1,C17*(1+'Model - Scarcity &amp; Growth Rates'!$D17-'Model - Scarcity &amp; Growth Rates'!$E17)))</f>
        <v>0.11705715713382156</v>
      </c>
      <c r="D18" s="12">
        <f ca="1">MAX(0,MIN(1,D17*(1+'Model - Scarcity &amp; Growth Rates'!$D17-'Model - Scarcity &amp; Growth Rates'!$E17)))</f>
        <v>1</v>
      </c>
      <c r="E18" s="12">
        <f ca="1">B18*('Model - Scarcity &amp; Growth Rates'!$D18*(1-'Model - Scarcity &amp; Growth Rates'!$I18)-'Model - Scarcity &amp; Growth Rates'!$I18)+(1-'Model - Supply'!B18)*('Model - Scarcity &amp; Growth Rates'!$E18*(1-'Model - Scarcity &amp; Growth Rates'!$I18)-'Model - Scarcity &amp; Growth Rates'!$I18)</f>
        <v>3.5351901623923876E-2</v>
      </c>
      <c r="F18" s="12">
        <f ca="1">C18*('Model - Scarcity &amp; Growth Rates'!$D18*(1-'Model - Scarcity &amp; Growth Rates'!$I18)-'Model - Scarcity &amp; Growth Rates'!$I18)+(1-'Model - Supply'!C18)*('Model - Scarcity &amp; Growth Rates'!$E18*(1-'Model - Scarcity &amp; Growth Rates'!$I18)-'Model - Scarcity &amp; Growth Rates'!$I18)</f>
        <v>-1.0284372101902238E-2</v>
      </c>
      <c r="G18" s="12">
        <f ca="1">D18*('Model - Scarcity &amp; Growth Rates'!$D18*(1-'Model - Scarcity &amp; Growth Rates'!$I18)-'Model - Scarcity &amp; Growth Rates'!$I18)+(1-'Model - Supply'!D18)*('Model - Scarcity &amp; Growth Rates'!$E18*(1-'Model - Scarcity &amp; Growth Rates'!$I18)-'Model - Scarcity &amp; Growth Rates'!$I18)</f>
        <v>3.5351901623923876E-2</v>
      </c>
      <c r="H18" s="12">
        <f ca="1">'Model - Scarcity &amp; Growth Rates'!J18</f>
        <v>0.11174296651849086</v>
      </c>
      <c r="I18" s="21">
        <f ca="1">(1+E17)*I17*(1-(SUM(I$5:I17)/'Static Parameters'!C$17)^2)</f>
        <v>271.33210373057466</v>
      </c>
      <c r="J18" s="21">
        <f ca="1">(1+F17)*J17*(1-(SUM(J$5:J17)/'Static Parameters'!D$17)^2)</f>
        <v>132.56630840455679</v>
      </c>
      <c r="K18" s="21">
        <f ca="1">(1+G17)*K17*(1-(SUM(K$5:K17)/'Static Parameters'!E$17)^2)</f>
        <v>141.43335318418846</v>
      </c>
      <c r="L18" s="21">
        <f ca="1">(1+H17)*L17*(1-(SUM(L$5:L17)/'Static Parameters'!F$17)^2)</f>
        <v>23.295502184269342</v>
      </c>
      <c r="M18" s="21">
        <f ca="1">I18*B18*'Static Parameters'!C$15</f>
        <v>62.406383858032171</v>
      </c>
      <c r="N18" s="21">
        <f ca="1">J18*C18*'Static Parameters'!D$15</f>
        <v>3.5691020945194567</v>
      </c>
      <c r="O18" s="21">
        <f ca="1">K18*D18*'Static Parameters'!E$15</f>
        <v>33.944004764205232</v>
      </c>
      <c r="P18" s="63">
        <f t="shared" ca="1" si="11"/>
        <v>23.295502184269342</v>
      </c>
      <c r="Q18" s="40">
        <f t="shared" ca="1" si="12"/>
        <v>0</v>
      </c>
      <c r="R18" s="40">
        <f t="shared" ca="1" si="13"/>
        <v>117.04847321099393</v>
      </c>
      <c r="S18" s="40">
        <f t="shared" ca="1" si="14"/>
        <v>0</v>
      </c>
      <c r="T18" s="64">
        <f ca="1">I18*'Static Parameters'!C$19/(44/12)/1000</f>
        <v>7.1261677061602748</v>
      </c>
      <c r="U18" s="64">
        <f ca="1">J18*'Static Parameters'!D$19/(44/12)/1000</f>
        <v>2.6501210198329126</v>
      </c>
      <c r="V18" s="64">
        <f ca="1">K18*'Static Parameters'!E$19/(44/12)/1000</f>
        <v>2.1639303037180833</v>
      </c>
      <c r="W18" s="64">
        <f ca="1">MAX(0,AC17*'Model - Scarcity &amp; Growth Rates'!$J17*(1-'Model - Supply'!Z17/'Static Parameters'!C$25)+'Model - Supply'!Z17/'Static Parameters'!C$27)</f>
        <v>1.2020456992777462</v>
      </c>
      <c r="X18" s="64">
        <f ca="1">MAX(0,AD17*'Model - Scarcity &amp; Growth Rates'!$J17*(1-'Model - Supply'!AA17/'Static Parameters'!D$25)+'Model - Supply'!AA17/'Static Parameters'!D$27)</f>
        <v>2.138979925431983</v>
      </c>
      <c r="Y18" s="64">
        <f ca="1">MAX(0,AE17*'Model - Scarcity &amp; Growth Rates'!$J17*(1-'Model - Supply'!AB17/'Static Parameters'!E$25)+'Model - Supply'!AB17/'Static Parameters'!E$27)</f>
        <v>1.5690885824286065</v>
      </c>
      <c r="Z18" s="64">
        <f ca="1">Z17+W18-Z17/'Static Parameters'!C$27</f>
        <v>10.788453942731378</v>
      </c>
      <c r="AA18" s="64">
        <f ca="1">AA17+X18-AA17/'Static Parameters'!D$27</f>
        <v>18.366071092985848</v>
      </c>
      <c r="AB18" s="64">
        <f ca="1">AB17+Y18-AB17/'Static Parameters'!E$27</f>
        <v>28.461518763993119</v>
      </c>
      <c r="AC18" s="64">
        <f ca="1">Z18-W18*'Static Parameters'!C$27/'Static Parameters'!C$26</f>
        <v>8.785044443935135</v>
      </c>
      <c r="AD18" s="64">
        <f ca="1">AA18-X18*'Static Parameters'!D$27/'Static Parameters'!D$26</f>
        <v>15.69234618619587</v>
      </c>
      <c r="AE18" s="64">
        <f ca="1">AB18-Y18*'Static Parameters'!E$27/'Static Parameters'!E$26</f>
        <v>26.780352425676757</v>
      </c>
      <c r="AF18" s="64">
        <f ca="1">AG17*'Model - Scarcity &amp; Growth Rates'!K17*(1-'Model - Supply'!AF17/'Static Parameters'!C$33)+'Model - Supply'!AF17</f>
        <v>89.489064624756153</v>
      </c>
      <c r="AG18" s="64">
        <f ca="1">AF18-AF18/'Static Parameters'!$C$34</f>
        <v>44.744532312378077</v>
      </c>
      <c r="AH18" s="64">
        <f t="shared" ca="1" si="15"/>
        <v>174.47273595683396</v>
      </c>
      <c r="AI18" s="64">
        <f t="shared" ca="1" si="16"/>
        <v>161.79300552337202</v>
      </c>
      <c r="AJ18" s="64">
        <f t="shared" ca="1" si="5"/>
        <v>62.406383858032171</v>
      </c>
      <c r="AK18" s="64">
        <f t="shared" ca="1" si="6"/>
        <v>120.61757530551338</v>
      </c>
      <c r="AL18" s="64">
        <f t="shared" ca="1" si="7"/>
        <v>33.944004764205232</v>
      </c>
      <c r="AM18" s="64">
        <f t="shared" ca="1" si="8"/>
        <v>23.295502184269342</v>
      </c>
      <c r="AN18" s="64">
        <f t="shared" ca="1" si="9"/>
        <v>51.257743055807765</v>
      </c>
      <c r="AO18" s="64">
        <f t="shared" ca="1" si="10"/>
        <v>44.744532312378077</v>
      </c>
    </row>
    <row r="19" spans="1:41" x14ac:dyDescent="0.35">
      <c r="A19" s="13">
        <v>2037</v>
      </c>
      <c r="B19" s="12">
        <f ca="1">MAX(0,MIN(1,B18*(1+'Model - Scarcity &amp; Growth Rates'!$D18-'Model - Scarcity &amp; Growth Rates'!$E18)))</f>
        <v>1</v>
      </c>
      <c r="C19" s="12">
        <f ca="1">MAX(0,MIN(1,C18*(1+'Model - Scarcity &amp; Growth Rates'!$D18-'Model - Scarcity &amp; Growth Rates'!$E18)))</f>
        <v>0.12355384443010634</v>
      </c>
      <c r="D19" s="12">
        <f ca="1">MAX(0,MIN(1,D18*(1+'Model - Scarcity &amp; Growth Rates'!$D18-'Model - Scarcity &amp; Growth Rates'!$E18)))</f>
        <v>1</v>
      </c>
      <c r="E19" s="12">
        <f ca="1">B19*('Model - Scarcity &amp; Growth Rates'!$D19*(1-'Model - Scarcity &amp; Growth Rates'!$I19)-'Model - Scarcity &amp; Growth Rates'!$I19)+(1-'Model - Supply'!B19)*('Model - Scarcity &amp; Growth Rates'!$E19*(1-'Model - Scarcity &amp; Growth Rates'!$I19)-'Model - Scarcity &amp; Growth Rates'!$I19)</f>
        <v>3.7446503732954661E-2</v>
      </c>
      <c r="F19" s="12">
        <f ca="1">C19*('Model - Scarcity &amp; Growth Rates'!$D19*(1-'Model - Scarcity &amp; Growth Rates'!$I19)-'Model - Scarcity &amp; Growth Rates'!$I19)+(1-'Model - Supply'!C19)*('Model - Scarcity &amp; Growth Rates'!$E19*(1-'Model - Scarcity &amp; Growth Rates'!$I19)-'Model - Scarcity &amp; Growth Rates'!$I19)</f>
        <v>-2.4716252833043316E-2</v>
      </c>
      <c r="G19" s="12">
        <f ca="1">D19*('Model - Scarcity &amp; Growth Rates'!$D19*(1-'Model - Scarcity &amp; Growth Rates'!$I19)-'Model - Scarcity &amp; Growth Rates'!$I19)+(1-'Model - Supply'!D19)*('Model - Scarcity &amp; Growth Rates'!$E19*(1-'Model - Scarcity &amp; Growth Rates'!$I19)-'Model - Scarcity &amp; Growth Rates'!$I19)</f>
        <v>3.7446503732954661E-2</v>
      </c>
      <c r="H19" s="12">
        <f ca="1">'Model - Scarcity &amp; Growth Rates'!J19</f>
        <v>0.12021163920099399</v>
      </c>
      <c r="I19" s="21">
        <f ca="1">(1+E18)*I18*(1-(SUM(I$5:I18)/'Static Parameters'!C$17)^2)</f>
        <v>276.72555443160968</v>
      </c>
      <c r="J19" s="21">
        <f ca="1">(1+F18)*J18*(1-(SUM(J$5:J18)/'Static Parameters'!D$17)^2)</f>
        <v>124.13090709216465</v>
      </c>
      <c r="K19" s="21">
        <f ca="1">(1+G18)*K18*(1-(SUM(K$5:K18)/'Static Parameters'!E$17)^2)</f>
        <v>133.08045514359236</v>
      </c>
      <c r="L19" s="21">
        <f ca="1">(1+H18)*L18*(1-(SUM(L$5:L18)/'Static Parameters'!F$17)^2)</f>
        <v>25.185004594053261</v>
      </c>
      <c r="M19" s="21">
        <f ca="1">I19*B19*'Static Parameters'!C$15</f>
        <v>63.646877519270227</v>
      </c>
      <c r="N19" s="21">
        <f ca="1">J19*C19*'Static Parameters'!D$15</f>
        <v>3.5274756802816576</v>
      </c>
      <c r="O19" s="21">
        <f ca="1">K19*D19*'Static Parameters'!E$15</f>
        <v>31.939309234462165</v>
      </c>
      <c r="P19" s="63">
        <f t="shared" ca="1" si="11"/>
        <v>25.185004594053261</v>
      </c>
      <c r="Q19" s="40">
        <f t="shared" ca="1" si="12"/>
        <v>0</v>
      </c>
      <c r="R19" s="40">
        <f t="shared" ca="1" si="13"/>
        <v>108.79405630833136</v>
      </c>
      <c r="S19" s="40">
        <f t="shared" ca="1" si="14"/>
        <v>0</v>
      </c>
      <c r="T19" s="64">
        <f ca="1">I19*'Static Parameters'!C$19/(44/12)/1000</f>
        <v>7.2678193341174575</v>
      </c>
      <c r="U19" s="64">
        <f ca="1">J19*'Static Parameters'!D$19/(44/12)/1000</f>
        <v>2.4814896790515464</v>
      </c>
      <c r="V19" s="64">
        <f ca="1">K19*'Static Parameters'!E$19/(44/12)/1000</f>
        <v>2.0361309636969636</v>
      </c>
      <c r="W19" s="64">
        <f ca="1">MAX(0,AC18*'Model - Scarcity &amp; Growth Rates'!$J18*(1-'Model - Supply'!Z18/'Static Parameters'!C$25)+'Model - Supply'!Z18/'Static Parameters'!C$27)</f>
        <v>1.3602517427173983</v>
      </c>
      <c r="X19" s="64">
        <f ca="1">MAX(0,AD18*'Model - Scarcity &amp; Growth Rates'!$J18*(1-'Model - Supply'!AA18/'Static Parameters'!D$25)+'Model - Supply'!AA18/'Static Parameters'!D$27)</f>
        <v>2.4421449057258515</v>
      </c>
      <c r="Y19" s="64">
        <f ca="1">MAX(0,AE18*'Model - Scarcity &amp; Growth Rates'!$J18*(1-'Model - Supply'!AB18/'Static Parameters'!E$25)+'Model - Supply'!AB18/'Static Parameters'!E$27)</f>
        <v>1.6685719216770574</v>
      </c>
      <c r="Z19" s="64">
        <f ca="1">Z18+W19-Z18/'Static Parameters'!C$27</f>
        <v>11.717167527739521</v>
      </c>
      <c r="AA19" s="64">
        <f ca="1">AA18+X19-AA18/'Static Parameters'!D$27</f>
        <v>20.073573154992264</v>
      </c>
      <c r="AB19" s="64">
        <f ca="1">AB18+Y19-AB18/'Static Parameters'!E$27</f>
        <v>29.750603768816934</v>
      </c>
      <c r="AC19" s="64">
        <f ca="1">Z19-W19*'Static Parameters'!C$27/'Static Parameters'!C$26</f>
        <v>9.4500812898771898</v>
      </c>
      <c r="AD19" s="64">
        <f ca="1">AA19-X19*'Static Parameters'!D$27/'Static Parameters'!D$26</f>
        <v>17.02089202283495</v>
      </c>
      <c r="AE19" s="64">
        <f ca="1">AB19-Y19*'Static Parameters'!E$27/'Static Parameters'!E$26</f>
        <v>27.962848138448656</v>
      </c>
      <c r="AF19" s="64">
        <f ca="1">AG18*'Model - Scarcity &amp; Growth Rates'!K18*(1-'Model - Supply'!AF18/'Static Parameters'!C$33)+'Model - Supply'!AF18</f>
        <v>90.879601329678849</v>
      </c>
      <c r="AG19" s="64">
        <f ca="1">AF19-AF19/'Static Parameters'!$C$34</f>
        <v>45.439800664839424</v>
      </c>
      <c r="AH19" s="64">
        <f t="shared" ca="1" si="15"/>
        <v>178.7324884792281</v>
      </c>
      <c r="AI19" s="64">
        <f t="shared" ca="1" si="16"/>
        <v>154.23385697317079</v>
      </c>
      <c r="AJ19" s="64">
        <f t="shared" ca="1" si="5"/>
        <v>63.646877519270227</v>
      </c>
      <c r="AK19" s="64">
        <f t="shared" ca="1" si="6"/>
        <v>112.32153198861302</v>
      </c>
      <c r="AL19" s="64">
        <f t="shared" ca="1" si="7"/>
        <v>31.939309234462165</v>
      </c>
      <c r="AM19" s="64">
        <f t="shared" ca="1" si="8"/>
        <v>25.185004594053261</v>
      </c>
      <c r="AN19" s="64">
        <f t="shared" ca="1" si="9"/>
        <v>54.433821451160796</v>
      </c>
      <c r="AO19" s="64">
        <f t="shared" ca="1" si="10"/>
        <v>45.439800664839424</v>
      </c>
    </row>
    <row r="20" spans="1:41" x14ac:dyDescent="0.35">
      <c r="A20" s="13">
        <v>2038</v>
      </c>
      <c r="B20" s="12">
        <f ca="1">MAX(0,MIN(1,B19*(1+'Model - Scarcity &amp; Growth Rates'!$D19-'Model - Scarcity &amp; Growth Rates'!$E19)))</f>
        <v>1</v>
      </c>
      <c r="C20" s="12">
        <f ca="1">MAX(0,MIN(1,C19*(1+'Model - Scarcity &amp; Growth Rates'!$D19-'Model - Scarcity &amp; Growth Rates'!$E19)))</f>
        <v>0.13301612141639171</v>
      </c>
      <c r="D20" s="12">
        <f ca="1">MAX(0,MIN(1,D19*(1+'Model - Scarcity &amp; Growth Rates'!$D19-'Model - Scarcity &amp; Growth Rates'!$E19)))</f>
        <v>1</v>
      </c>
      <c r="E20" s="12">
        <f ca="1">B20*('Model - Scarcity &amp; Growth Rates'!$D20*(1-'Model - Scarcity &amp; Growth Rates'!$I20)-'Model - Scarcity &amp; Growth Rates'!$I20)+(1-'Model - Supply'!B20)*('Model - Scarcity &amp; Growth Rates'!$E20*(1-'Model - Scarcity &amp; Growth Rates'!$I20)-'Model - Scarcity &amp; Growth Rates'!$I20)</f>
        <v>3.6328366585408528E-2</v>
      </c>
      <c r="F20" s="12">
        <f ca="1">C20*('Model - Scarcity &amp; Growth Rates'!$D20*(1-'Model - Scarcity &amp; Growth Rates'!$I20)-'Model - Scarcity &amp; Growth Rates'!$I20)+(1-'Model - Supply'!C20)*('Model - Scarcity &amp; Growth Rates'!$E20*(1-'Model - Scarcity &amp; Growth Rates'!$I20)-'Model - Scarcity &amp; Growth Rates'!$I20)</f>
        <v>-2.989563285342586E-2</v>
      </c>
      <c r="G20" s="12">
        <f ca="1">D20*('Model - Scarcity &amp; Growth Rates'!$D20*(1-'Model - Scarcity &amp; Growth Rates'!$I20)-'Model - Scarcity &amp; Growth Rates'!$I20)+(1-'Model - Supply'!D20)*('Model - Scarcity &amp; Growth Rates'!$E20*(1-'Model - Scarcity &amp; Growth Rates'!$I20)-'Model - Scarcity &amp; Growth Rates'!$I20)</f>
        <v>3.6328366585408528E-2</v>
      </c>
      <c r="H20" s="12">
        <f ca="1">'Model - Scarcity &amp; Growth Rates'!J20</f>
        <v>0.12521072845934958</v>
      </c>
      <c r="I20" s="21">
        <f ca="1">(1+E19)*I19*(1-(SUM(I$5:I19)/'Static Parameters'!C$17)^2)</f>
        <v>281.99200679725368</v>
      </c>
      <c r="J20" s="21">
        <f ca="1">(1+F19)*J19*(1-(SUM(J$5:J19)/'Static Parameters'!D$17)^2)</f>
        <v>113.76721134796759</v>
      </c>
      <c r="K20" s="21">
        <f ca="1">(1+G19)*K19*(1-(SUM(K$5:K19)/'Static Parameters'!E$17)^2)</f>
        <v>123.83278521826658</v>
      </c>
      <c r="L20" s="21">
        <f ca="1">(1+H19)*L19*(1-(SUM(L$5:L19)/'Static Parameters'!F$17)^2)</f>
        <v>27.236687663971725</v>
      </c>
      <c r="M20" s="21">
        <f ca="1">I20*B20*'Static Parameters'!C$15</f>
        <v>64.858161563368355</v>
      </c>
      <c r="N20" s="21">
        <f ca="1">J20*C20*'Static Parameters'!D$15</f>
        <v>3.4805608355090776</v>
      </c>
      <c r="O20" s="21">
        <f ca="1">K20*D20*'Static Parameters'!E$15</f>
        <v>29.719868452383977</v>
      </c>
      <c r="P20" s="63">
        <f t="shared" ca="1" si="11"/>
        <v>27.236687663971725</v>
      </c>
      <c r="Q20" s="40">
        <f t="shared" ca="1" si="12"/>
        <v>0</v>
      </c>
      <c r="R20" s="40">
        <f t="shared" ca="1" si="13"/>
        <v>98.634338150102025</v>
      </c>
      <c r="S20" s="40">
        <f t="shared" ca="1" si="14"/>
        <v>0</v>
      </c>
      <c r="T20" s="64">
        <f ca="1">I20*'Static Parameters'!C$19/(44/12)/1000</f>
        <v>7.406135523975145</v>
      </c>
      <c r="U20" s="64">
        <f ca="1">J20*'Static Parameters'!D$19/(44/12)/1000</f>
        <v>2.2743099795834611</v>
      </c>
      <c r="V20" s="64">
        <f ca="1">K20*'Static Parameters'!E$19/(44/12)/1000</f>
        <v>1.8946416138394788</v>
      </c>
      <c r="W20" s="64">
        <f ca="1">MAX(0,AC19*'Model - Scarcity &amp; Growth Rates'!$J19*(1-'Model - Supply'!Z19/'Static Parameters'!C$25)+'Model - Supply'!Z19/'Static Parameters'!C$27)</f>
        <v>1.5381423800501475</v>
      </c>
      <c r="X20" s="64">
        <f ca="1">MAX(0,AD19*'Model - Scarcity &amp; Growth Rates'!$J19*(1-'Model - Supply'!AA19/'Static Parameters'!D$25)+'Model - Supply'!AA19/'Static Parameters'!D$27)</f>
        <v>2.7903769350228269</v>
      </c>
      <c r="Y20" s="64">
        <f ca="1">MAX(0,AE19*'Model - Scarcity &amp; Growth Rates'!$J19*(1-'Model - Supply'!AB19/'Static Parameters'!E$25)+'Model - Supply'!AB19/'Static Parameters'!E$27)</f>
        <v>1.7580253496630958</v>
      </c>
      <c r="Z20" s="64">
        <f ca="1">Z19+W20-Z19/'Static Parameters'!C$27</f>
        <v>12.786623206680089</v>
      </c>
      <c r="AA20" s="64">
        <f ca="1">AA19+X20-AA19/'Static Parameters'!D$27</f>
        <v>22.0610071638154</v>
      </c>
      <c r="AB20" s="64">
        <f ca="1">AB19+Y20-AB19/'Static Parameters'!E$27</f>
        <v>31.111954401562471</v>
      </c>
      <c r="AC20" s="64">
        <f ca="1">Z20-W20*'Static Parameters'!C$27/'Static Parameters'!C$26</f>
        <v>10.223052573263177</v>
      </c>
      <c r="AD20" s="64">
        <f ca="1">AA20-X20*'Static Parameters'!D$27/'Static Parameters'!D$26</f>
        <v>18.573035995036868</v>
      </c>
      <c r="AE20" s="64">
        <f ca="1">AB20-Y20*'Static Parameters'!E$27/'Static Parameters'!E$26</f>
        <v>29.228355812637727</v>
      </c>
      <c r="AF20" s="64">
        <f ca="1">AG19*'Model - Scarcity &amp; Growth Rates'!K19*(1-'Model - Supply'!AF19/'Static Parameters'!C$33)+'Model - Supply'!AF19</f>
        <v>91.9612138675719</v>
      </c>
      <c r="AG20" s="64">
        <f ca="1">AF20-AF20/'Static Parameters'!$C$34</f>
        <v>45.98060693378595</v>
      </c>
      <c r="AH20" s="64">
        <f t="shared" ca="1" si="15"/>
        <v>183.3197228961709</v>
      </c>
      <c r="AI20" s="64">
        <f t="shared" ca="1" si="16"/>
        <v>144.61494508388796</v>
      </c>
      <c r="AJ20" s="64">
        <f t="shared" ca="1" si="5"/>
        <v>64.858161563368355</v>
      </c>
      <c r="AK20" s="64">
        <f t="shared" ca="1" si="6"/>
        <v>102.11489898561111</v>
      </c>
      <c r="AL20" s="64">
        <f t="shared" ca="1" si="7"/>
        <v>29.719868452383977</v>
      </c>
      <c r="AM20" s="64">
        <f t="shared" ca="1" si="8"/>
        <v>27.236687663971725</v>
      </c>
      <c r="AN20" s="64">
        <f t="shared" ca="1" si="9"/>
        <v>58.024444380937766</v>
      </c>
      <c r="AO20" s="64">
        <f t="shared" ca="1" si="10"/>
        <v>45.98060693378595</v>
      </c>
    </row>
    <row r="21" spans="1:41" x14ac:dyDescent="0.35">
      <c r="A21" s="13">
        <v>2039</v>
      </c>
      <c r="B21" s="12">
        <f ca="1">MAX(0,MIN(1,B20*(1+'Model - Scarcity &amp; Growth Rates'!$D20-'Model - Scarcity &amp; Growth Rates'!$E20)))</f>
        <v>1</v>
      </c>
      <c r="C21" s="12">
        <f ca="1">MAX(0,MIN(1,C20*(1+'Model - Scarcity &amp; Growth Rates'!$D20-'Model - Scarcity &amp; Growth Rates'!$E20)))</f>
        <v>0.1440478899781619</v>
      </c>
      <c r="D21" s="12">
        <f ca="1">MAX(0,MIN(1,D20*(1+'Model - Scarcity &amp; Growth Rates'!$D20-'Model - Scarcity &amp; Growth Rates'!$E20)))</f>
        <v>1</v>
      </c>
      <c r="E21" s="12">
        <f ca="1">B21*('Model - Scarcity &amp; Growth Rates'!$D21*(1-'Model - Scarcity &amp; Growth Rates'!$I21)-'Model - Scarcity &amp; Growth Rates'!$I21)+(1-'Model - Supply'!B21)*('Model - Scarcity &amp; Growth Rates'!$E21*(1-'Model - Scarcity &amp; Growth Rates'!$I21)-'Model - Scarcity &amp; Growth Rates'!$I21)</f>
        <v>3.3668503846264089E-2</v>
      </c>
      <c r="F21" s="12">
        <f ca="1">C21*('Model - Scarcity &amp; Growth Rates'!$D21*(1-'Model - Scarcity &amp; Growth Rates'!$I21)-'Model - Scarcity &amp; Growth Rates'!$I21)+(1-'Model - Supply'!C21)*('Model - Scarcity &amp; Growth Rates'!$E21*(1-'Model - Scarcity &amp; Growth Rates'!$I21)-'Model - Scarcity &amp; Growth Rates'!$I21)</f>
        <v>-3.399168223840842E-2</v>
      </c>
      <c r="G21" s="12">
        <f ca="1">D21*('Model - Scarcity &amp; Growth Rates'!$D21*(1-'Model - Scarcity &amp; Growth Rates'!$I21)-'Model - Scarcity &amp; Growth Rates'!$I21)+(1-'Model - Supply'!D21)*('Model - Scarcity &amp; Growth Rates'!$E21*(1-'Model - Scarcity &amp; Growth Rates'!$I21)-'Model - Scarcity &amp; Growth Rates'!$I21)</f>
        <v>3.3668503846264089E-2</v>
      </c>
      <c r="H21" s="12">
        <f ca="1">'Model - Scarcity &amp; Growth Rates'!J21</f>
        <v>0.12850723025155747</v>
      </c>
      <c r="I21" s="21">
        <f ca="1">(1+E20)*I20*(1-(SUM(I$5:I20)/'Static Parameters'!C$17)^2)</f>
        <v>286.14130777420934</v>
      </c>
      <c r="J21" s="21">
        <f ca="1">(1+F20)*J20*(1-(SUM(J$5:J20)/'Static Parameters'!D$17)^2)</f>
        <v>103.03715795592795</v>
      </c>
      <c r="K21" s="21">
        <f ca="1">(1+G20)*K20*(1-(SUM(K$5:K20)/'Static Parameters'!E$17)^2)</f>
        <v>113.59990598588347</v>
      </c>
      <c r="L21" s="21">
        <f ca="1">(1+H20)*L20*(1-(SUM(L$5:L20)/'Static Parameters'!F$17)^2)</f>
        <v>29.326220947495163</v>
      </c>
      <c r="M21" s="21">
        <f ca="1">I21*B21*'Static Parameters'!C$15</f>
        <v>65.812500788068149</v>
      </c>
      <c r="N21" s="21">
        <f ca="1">J21*C21*'Static Parameters'!D$15</f>
        <v>3.4137255943665399</v>
      </c>
      <c r="O21" s="21">
        <f ca="1">K21*D21*'Static Parameters'!E$15</f>
        <v>27.263977436612031</v>
      </c>
      <c r="P21" s="63">
        <f t="shared" ca="1" si="11"/>
        <v>29.326220947495163</v>
      </c>
      <c r="Q21" s="40">
        <f t="shared" ca="1" si="12"/>
        <v>0</v>
      </c>
      <c r="R21" s="40">
        <f t="shared" ca="1" si="13"/>
        <v>88.194872763029963</v>
      </c>
      <c r="S21" s="40">
        <f t="shared" ca="1" si="14"/>
        <v>0</v>
      </c>
      <c r="T21" s="64">
        <f ca="1">I21*'Static Parameters'!C$19/(44/12)/1000</f>
        <v>7.5151112559971889</v>
      </c>
      <c r="U21" s="64">
        <f ca="1">J21*'Static Parameters'!D$19/(44/12)/1000</f>
        <v>2.0598064576825958</v>
      </c>
      <c r="V21" s="64">
        <f ca="1">K21*'Static Parameters'!E$19/(44/12)/1000</f>
        <v>1.7380785615840173</v>
      </c>
      <c r="W21" s="64">
        <f ca="1">MAX(0,AC20*'Model - Scarcity &amp; Growth Rates'!$J20*(1-'Model - Supply'!Z20/'Static Parameters'!C$25)+'Model - Supply'!Z20/'Static Parameters'!C$27)</f>
        <v>1.7096641068937091</v>
      </c>
      <c r="X21" s="64">
        <f ca="1">MAX(0,AD20*'Model - Scarcity &amp; Growth Rates'!$J20*(1-'Model - Supply'!AA20/'Static Parameters'!D$25)+'Model - Supply'!AA20/'Static Parameters'!D$27)</f>
        <v>3.1346924690911671</v>
      </c>
      <c r="Y21" s="64">
        <f ca="1">MAX(0,AE20*'Model - Scarcity &amp; Growth Rates'!$J20*(1-'Model - Supply'!AB20/'Static Parameters'!E$25)+'Model - Supply'!AB20/'Static Parameters'!E$27)</f>
        <v>1.797319074611865</v>
      </c>
      <c r="Z21" s="64">
        <f ca="1">Z20+W21-Z20/'Static Parameters'!C$27</f>
        <v>13.984822385306595</v>
      </c>
      <c r="AA21" s="64">
        <f ca="1">AA20+X21-AA20/'Static Parameters'!D$27</f>
        <v>24.313259346353952</v>
      </c>
      <c r="AB21" s="64">
        <f ca="1">AB20+Y21-AB20/'Static Parameters'!E$27</f>
        <v>32.494447417486832</v>
      </c>
      <c r="AC21" s="64">
        <f ca="1">Z21-W21*'Static Parameters'!C$27/'Static Parameters'!C$26</f>
        <v>11.135382207150414</v>
      </c>
      <c r="AD21" s="64">
        <f ca="1">AA21-X21*'Static Parameters'!D$27/'Static Parameters'!D$26</f>
        <v>20.394893759989994</v>
      </c>
      <c r="AE21" s="64">
        <f ca="1">AB21-Y21*'Static Parameters'!E$27/'Static Parameters'!E$26</f>
        <v>30.56874840897412</v>
      </c>
      <c r="AF21" s="64">
        <f ca="1">AG20*'Model - Scarcity &amp; Growth Rates'!K20*(1-'Model - Supply'!AF20/'Static Parameters'!C$33)+'Model - Supply'!AF20</f>
        <v>93.011262923989293</v>
      </c>
      <c r="AG21" s="64">
        <f ca="1">AF21-AF21/'Static Parameters'!$C$34</f>
        <v>46.505631461994646</v>
      </c>
      <c r="AH21" s="64">
        <f t="shared" ca="1" si="15"/>
        <v>187.9154491426564</v>
      </c>
      <c r="AI21" s="64">
        <f t="shared" ca="1" si="16"/>
        <v>134.70050422502462</v>
      </c>
      <c r="AJ21" s="64">
        <f t="shared" ca="1" si="5"/>
        <v>65.812500788068149</v>
      </c>
      <c r="AK21" s="64">
        <f t="shared" ca="1" si="6"/>
        <v>91.608598357396502</v>
      </c>
      <c r="AL21" s="64">
        <f t="shared" ca="1" si="7"/>
        <v>27.263977436612031</v>
      </c>
      <c r="AM21" s="64">
        <f t="shared" ca="1" si="8"/>
        <v>29.326220947495163</v>
      </c>
      <c r="AN21" s="64">
        <f t="shared" ca="1" si="9"/>
        <v>62.099024376114528</v>
      </c>
      <c r="AO21" s="64">
        <f t="shared" ca="1" si="10"/>
        <v>46.505631461994646</v>
      </c>
    </row>
    <row r="22" spans="1:41" x14ac:dyDescent="0.35">
      <c r="A22" s="13">
        <v>2040</v>
      </c>
      <c r="B22" s="12">
        <f ca="1">MAX(0,MIN(1,B21*(1+'Model - Scarcity &amp; Growth Rates'!$D21-'Model - Scarcity &amp; Growth Rates'!$E21)))</f>
        <v>1</v>
      </c>
      <c r="C22" s="12">
        <f ca="1">MAX(0,MIN(1,C21*(1+'Model - Scarcity &amp; Growth Rates'!$D21-'Model - Scarcity &amp; Growth Rates'!$E21)))</f>
        <v>0.1564791080383458</v>
      </c>
      <c r="D22" s="12">
        <f ca="1">MAX(0,MIN(1,D21*(1+'Model - Scarcity &amp; Growth Rates'!$D21-'Model - Scarcity &amp; Growth Rates'!$E21)))</f>
        <v>1</v>
      </c>
      <c r="E22" s="12">
        <f ca="1">B22*('Model - Scarcity &amp; Growth Rates'!$D22*(1-'Model - Scarcity &amp; Growth Rates'!$I22)-'Model - Scarcity &amp; Growth Rates'!$I22)+(1-'Model - Supply'!B22)*('Model - Scarcity &amp; Growth Rates'!$E22*(1-'Model - Scarcity &amp; Growth Rates'!$I22)-'Model - Scarcity &amp; Growth Rates'!$I22)</f>
        <v>3.081014781145984E-2</v>
      </c>
      <c r="F22" s="12">
        <f ca="1">C22*('Model - Scarcity &amp; Growth Rates'!$D22*(1-'Model - Scarcity &amp; Growth Rates'!$I22)-'Model - Scarcity &amp; Growth Rates'!$I22)+(1-'Model - Supply'!C22)*('Model - Scarcity &amp; Growth Rates'!$E22*(1-'Model - Scarcity &amp; Growth Rates'!$I22)-'Model - Scarcity &amp; Growth Rates'!$I22)</f>
        <v>-3.9162568521431129E-2</v>
      </c>
      <c r="G22" s="12">
        <f ca="1">D22*('Model - Scarcity &amp; Growth Rates'!$D22*(1-'Model - Scarcity &amp; Growth Rates'!$I22)-'Model - Scarcity &amp; Growth Rates'!$I22)+(1-'Model - Supply'!D22)*('Model - Scarcity &amp; Growth Rates'!$E22*(1-'Model - Scarcity &amp; Growth Rates'!$I22)-'Model - Scarcity &amp; Growth Rates'!$I22)</f>
        <v>3.081014781145984E-2</v>
      </c>
      <c r="H22" s="12">
        <f ca="1">'Model - Scarcity &amp; Growth Rates'!J22</f>
        <v>0.13154869596026564</v>
      </c>
      <c r="I22" s="21">
        <f ca="1">(1+E21)*I21*(1-(SUM(I$5:I21)/'Static Parameters'!C$17)^2)</f>
        <v>288.59859193651482</v>
      </c>
      <c r="J22" s="21">
        <f ca="1">(1+F21)*J21*(1-(SUM(J$5:J21)/'Static Parameters'!D$17)^2)</f>
        <v>92.34580157455288</v>
      </c>
      <c r="K22" s="21">
        <f ca="1">(1+G21)*K21*(1-(SUM(K$5:K21)/'Static Parameters'!E$17)^2)</f>
        <v>102.61787400239926</v>
      </c>
      <c r="L22" s="21">
        <f ca="1">(1+H21)*L21*(1-(SUM(L$5:L21)/'Static Parameters'!F$17)^2)</f>
        <v>31.330822554725462</v>
      </c>
      <c r="M22" s="21">
        <f ca="1">I22*B22*'Static Parameters'!C$15</f>
        <v>66.377676145398411</v>
      </c>
      <c r="N22" s="21">
        <f ca="1">J22*C22*'Static Parameters'!D$15</f>
        <v>3.3235433921385842</v>
      </c>
      <c r="O22" s="21">
        <f ca="1">K22*D22*'Static Parameters'!E$15</f>
        <v>24.628289760575822</v>
      </c>
      <c r="P22" s="63">
        <f t="shared" ca="1" si="11"/>
        <v>31.330822554725462</v>
      </c>
      <c r="Q22" s="40">
        <f t="shared" ca="1" si="12"/>
        <v>0</v>
      </c>
      <c r="R22" s="40">
        <f t="shared" ca="1" si="13"/>
        <v>77.895612913080768</v>
      </c>
      <c r="S22" s="40">
        <f t="shared" ca="1" si="14"/>
        <v>0</v>
      </c>
      <c r="T22" s="64">
        <f ca="1">I22*'Static Parameters'!C$19/(44/12)/1000</f>
        <v>7.5796484736781027</v>
      </c>
      <c r="U22" s="64">
        <f ca="1">J22*'Static Parameters'!D$19/(44/12)/1000</f>
        <v>1.8460765242040162</v>
      </c>
      <c r="V22" s="64">
        <f ca="1">K22*'Static Parameters'!E$19/(44/12)/1000</f>
        <v>1.5700534722367088</v>
      </c>
      <c r="W22" s="64">
        <f ca="1">MAX(0,AC21*'Model - Scarcity &amp; Growth Rates'!$J21*(1-'Model - Supply'!Z21/'Static Parameters'!C$25)+'Model - Supply'!Z21/'Static Parameters'!C$27)</f>
        <v>1.8903102159765113</v>
      </c>
      <c r="X22" s="64">
        <f ca="1">MAX(0,AD21*'Model - Scarcity &amp; Growth Rates'!$J21*(1-'Model - Supply'!AA21/'Static Parameters'!D$25)+'Model - Supply'!AA21/'Static Parameters'!D$27)</f>
        <v>3.5023896677980577</v>
      </c>
      <c r="Y22" s="64">
        <f ca="1">MAX(0,AE21*'Model - Scarcity &amp; Growth Rates'!$J21*(1-'Model - Supply'!AB21/'Static Parameters'!E$25)+'Model - Supply'!AB21/'Static Parameters'!E$27)</f>
        <v>1.8086023602768335</v>
      </c>
      <c r="Z22" s="64">
        <f ca="1">Z21+W22-Z21/'Static Parameters'!C$27</f>
        <v>15.315739705870842</v>
      </c>
      <c r="AA22" s="64">
        <f ca="1">AA21+X22-AA21/'Static Parameters'!D$27</f>
        <v>26.843118640297849</v>
      </c>
      <c r="AB22" s="64">
        <f ca="1">AB21+Y22-AB21/'Static Parameters'!E$27</f>
        <v>33.869790478863841</v>
      </c>
      <c r="AC22" s="64">
        <f ca="1">Z22-W22*'Static Parameters'!C$27/'Static Parameters'!C$26</f>
        <v>12.165222679243323</v>
      </c>
      <c r="AD22" s="64">
        <f ca="1">AA22-X22*'Static Parameters'!D$27/'Static Parameters'!D$26</f>
        <v>22.465131555550279</v>
      </c>
      <c r="AE22" s="64">
        <f ca="1">AB22-Y22*'Static Parameters'!E$27/'Static Parameters'!E$26</f>
        <v>31.93200223571009</v>
      </c>
      <c r="AF22" s="64">
        <f ca="1">AG21*'Model - Scarcity &amp; Growth Rates'!K21*(1-'Model - Supply'!AF21/'Static Parameters'!C$33)+'Model - Supply'!AF21</f>
        <v>94.061309753752042</v>
      </c>
      <c r="AG22" s="64">
        <f ca="1">AF22-AF22/'Static Parameters'!$C$34</f>
        <v>47.030654876876021</v>
      </c>
      <c r="AH22" s="64">
        <f t="shared" ca="1" si="15"/>
        <v>192.22268832334197</v>
      </c>
      <c r="AI22" s="64">
        <f t="shared" ca="1" si="16"/>
        <v>124.9262677899568</v>
      </c>
      <c r="AJ22" s="64">
        <f t="shared" ca="1" si="5"/>
        <v>66.377676145398411</v>
      </c>
      <c r="AK22" s="64">
        <f t="shared" ca="1" si="6"/>
        <v>81.219156305219357</v>
      </c>
      <c r="AL22" s="64">
        <f t="shared" ca="1" si="7"/>
        <v>24.628289760575822</v>
      </c>
      <c r="AM22" s="64">
        <f t="shared" ca="1" si="8"/>
        <v>31.330822554725462</v>
      </c>
      <c r="AN22" s="64">
        <f t="shared" ca="1" si="9"/>
        <v>66.562356470503687</v>
      </c>
      <c r="AO22" s="64">
        <f t="shared" ca="1" si="10"/>
        <v>47.030654876876021</v>
      </c>
    </row>
    <row r="23" spans="1:41" x14ac:dyDescent="0.35">
      <c r="A23" s="13">
        <v>2041</v>
      </c>
      <c r="B23" s="12">
        <f ca="1">MAX(0,MIN(1,B22*(1+'Model - Scarcity &amp; Growth Rates'!$D22-'Model - Scarcity &amp; Growth Rates'!$E22)))</f>
        <v>1</v>
      </c>
      <c r="C23" s="12">
        <f ca="1">MAX(0,MIN(1,C22*(1+'Model - Scarcity &amp; Growth Rates'!$D22-'Model - Scarcity &amp; Growth Rates'!$E22)))</f>
        <v>0.17072808929081504</v>
      </c>
      <c r="D23" s="12">
        <f ca="1">MAX(0,MIN(1,D22*(1+'Model - Scarcity &amp; Growth Rates'!$D22-'Model - Scarcity &amp; Growth Rates'!$E22)))</f>
        <v>1</v>
      </c>
      <c r="E23" s="12">
        <f ca="1">B23*('Model - Scarcity &amp; Growth Rates'!$D23*(1-'Model - Scarcity &amp; Growth Rates'!$I23)-'Model - Scarcity &amp; Growth Rates'!$I23)+(1-'Model - Supply'!B23)*('Model - Scarcity &amp; Growth Rates'!$E23*(1-'Model - Scarcity &amp; Growth Rates'!$I23)-'Model - Scarcity &amp; Growth Rates'!$I23)</f>
        <v>2.8074484302640867E-2</v>
      </c>
      <c r="F23" s="12">
        <f ca="1">C23*('Model - Scarcity &amp; Growth Rates'!$D23*(1-'Model - Scarcity &amp; Growth Rates'!$I23)-'Model - Scarcity &amp; Growth Rates'!$I23)+(1-'Model - Supply'!C23)*('Model - Scarcity &amp; Growth Rates'!$E23*(1-'Model - Scarcity &amp; Growth Rates'!$I23)-'Model - Scarcity &amp; Growth Rates'!$I23)</f>
        <v>-4.6155888505577045E-2</v>
      </c>
      <c r="G23" s="12">
        <f ca="1">D23*('Model - Scarcity &amp; Growth Rates'!$D23*(1-'Model - Scarcity &amp; Growth Rates'!$I23)-'Model - Scarcity &amp; Growth Rates'!$I23)+(1-'Model - Supply'!D23)*('Model - Scarcity &amp; Growth Rates'!$E23*(1-'Model - Scarcity &amp; Growth Rates'!$I23)-'Model - Scarcity &amp; Growth Rates'!$I23)</f>
        <v>2.8074484302640867E-2</v>
      </c>
      <c r="H23" s="12">
        <f ca="1">'Model - Scarcity &amp; Growth Rates'!J23</f>
        <v>0.13468638287842433</v>
      </c>
      <c r="I23" s="21">
        <f ca="1">(1+E22)*I22*(1-(SUM(I$5:I22)/'Static Parameters'!C$17)^2)</f>
        <v>289.17202577201476</v>
      </c>
      <c r="J23" s="21">
        <f ca="1">(1+F22)*J22*(1-(SUM(J$5:J22)/'Static Parameters'!D$17)^2)</f>
        <v>81.839525421997251</v>
      </c>
      <c r="K23" s="21">
        <f ca="1">(1+G22)*K22*(1-(SUM(K$5:K22)/'Static Parameters'!E$17)^2)</f>
        <v>91.312862347122234</v>
      </c>
      <c r="L23" s="21">
        <f ca="1">(1+H22)*L22*(1-(SUM(L$5:L22)/'Static Parameters'!F$17)^2)</f>
        <v>33.133690057075178</v>
      </c>
      <c r="M23" s="21">
        <f ca="1">I23*B23*'Static Parameters'!C$15</f>
        <v>66.509565927563401</v>
      </c>
      <c r="N23" s="21">
        <f ca="1">J23*C23*'Static Parameters'!D$15</f>
        <v>3.2136303348658752</v>
      </c>
      <c r="O23" s="21">
        <f ca="1">K23*D23*'Static Parameters'!E$15</f>
        <v>21.915086963309335</v>
      </c>
      <c r="P23" s="63">
        <f t="shared" ca="1" si="11"/>
        <v>33.133690057075178</v>
      </c>
      <c r="Q23" s="40">
        <f t="shared" ca="1" si="12"/>
        <v>0</v>
      </c>
      <c r="R23" s="40">
        <f t="shared" ca="1" si="13"/>
        <v>67.867219618232582</v>
      </c>
      <c r="S23" s="40">
        <f t="shared" ca="1" si="14"/>
        <v>0</v>
      </c>
      <c r="T23" s="64">
        <f ca="1">I23*'Static Parameters'!C$19/(44/12)/1000</f>
        <v>7.5947089314122787</v>
      </c>
      <c r="U23" s="64">
        <f ca="1">J23*'Static Parameters'!D$19/(44/12)/1000</f>
        <v>1.6360465127542905</v>
      </c>
      <c r="V23" s="64">
        <f ca="1">K23*'Static Parameters'!E$19/(44/12)/1000</f>
        <v>1.3970867939109703</v>
      </c>
      <c r="W23" s="64">
        <f ca="1">MAX(0,AC22*'Model - Scarcity &amp; Growth Rates'!$J22*(1-'Model - Supply'!Z22/'Static Parameters'!C$25)+'Model - Supply'!Z22/'Static Parameters'!C$27)</f>
        <v>2.0903984077562821</v>
      </c>
      <c r="X23" s="64">
        <f ca="1">MAX(0,AD22*'Model - Scarcity &amp; Growth Rates'!$J22*(1-'Model - Supply'!AA22/'Static Parameters'!D$25)+'Model - Supply'!AA22/'Static Parameters'!D$27)</f>
        <v>3.9156572755682579</v>
      </c>
      <c r="Y23" s="64">
        <f ca="1">MAX(0,AE22*'Model - Scarcity &amp; Growth Rates'!$J22*(1-'Model - Supply'!AB22/'Static Parameters'!E$25)+'Model - Supply'!AB22/'Static Parameters'!E$27)</f>
        <v>1.8067326443117444</v>
      </c>
      <c r="Z23" s="64">
        <f ca="1">Z22+W23-Z22/'Static Parameters'!C$27</f>
        <v>16.793508525392287</v>
      </c>
      <c r="AA23" s="64">
        <f ca="1">AA22+X23-AA22/'Static Parameters'!D$27</f>
        <v>29.685051170254191</v>
      </c>
      <c r="AB23" s="64">
        <f ca="1">AB22+Y23-AB22/'Static Parameters'!E$27</f>
        <v>35.224925916790731</v>
      </c>
      <c r="AC23" s="64">
        <f ca="1">Z23-W23*'Static Parameters'!C$27/'Static Parameters'!C$26</f>
        <v>13.309511179131817</v>
      </c>
      <c r="AD23" s="64">
        <f ca="1">AA23-X23*'Static Parameters'!D$27/'Static Parameters'!D$26</f>
        <v>24.790479575793867</v>
      </c>
      <c r="AE23" s="64">
        <f ca="1">AB23-Y23*'Static Parameters'!E$27/'Static Parameters'!E$26</f>
        <v>33.289140940742435</v>
      </c>
      <c r="AF23" s="64">
        <f ca="1">AG22*'Model - Scarcity &amp; Growth Rates'!K22*(1-'Model - Supply'!AF22/'Static Parameters'!C$33)+'Model - Supply'!AF22</f>
        <v>95.069958267235052</v>
      </c>
      <c r="AG23" s="64">
        <f ca="1">AF23-AF23/'Static Parameters'!$C$34</f>
        <v>47.534979133617526</v>
      </c>
      <c r="AH23" s="64">
        <f t="shared" ca="1" si="15"/>
        <v>196.16110497848192</v>
      </c>
      <c r="AI23" s="64">
        <f t="shared" ca="1" si="16"/>
        <v>115.40219875185011</v>
      </c>
      <c r="AJ23" s="64">
        <f t="shared" ca="1" si="5"/>
        <v>66.509565927563401</v>
      </c>
      <c r="AK23" s="64">
        <f t="shared" ca="1" si="6"/>
        <v>71.080849953098451</v>
      </c>
      <c r="AL23" s="64">
        <f t="shared" ca="1" si="7"/>
        <v>21.915086963309335</v>
      </c>
      <c r="AM23" s="64">
        <f t="shared" ca="1" si="8"/>
        <v>33.133690057075178</v>
      </c>
      <c r="AN23" s="64">
        <f t="shared" ca="1" si="9"/>
        <v>71.389131695668112</v>
      </c>
      <c r="AO23" s="64">
        <f t="shared" ca="1" si="10"/>
        <v>47.534979133617526</v>
      </c>
    </row>
    <row r="24" spans="1:41" x14ac:dyDescent="0.35">
      <c r="A24" s="13">
        <v>2042</v>
      </c>
      <c r="B24" s="12">
        <f ca="1">MAX(0,MIN(1,B23*(1+'Model - Scarcity &amp; Growth Rates'!$D23-'Model - Scarcity &amp; Growth Rates'!$E23)))</f>
        <v>1</v>
      </c>
      <c r="C24" s="12">
        <f ca="1">MAX(0,MIN(1,C23*(1+'Model - Scarcity &amp; Growth Rates'!$D23-'Model - Scarcity &amp; Growth Rates'!$E23)))</f>
        <v>0.1875952090696216</v>
      </c>
      <c r="D24" s="12">
        <f ca="1">MAX(0,MIN(1,D23*(1+'Model - Scarcity &amp; Growth Rates'!$D23-'Model - Scarcity &amp; Growth Rates'!$E23)))</f>
        <v>1</v>
      </c>
      <c r="E24" s="12">
        <f ca="1">B24*('Model - Scarcity &amp; Growth Rates'!$D24*(1-'Model - Scarcity &amp; Growth Rates'!$I24)-'Model - Scarcity &amp; Growth Rates'!$I24)+(1-'Model - Supply'!B24)*('Model - Scarcity &amp; Growth Rates'!$E24*(1-'Model - Scarcity &amp; Growth Rates'!$I24)-'Model - Scarcity &amp; Growth Rates'!$I24)</f>
        <v>2.5449092128453601E-2</v>
      </c>
      <c r="F24" s="12">
        <f ca="1">C24*('Model - Scarcity &amp; Growth Rates'!$D24*(1-'Model - Scarcity &amp; Growth Rates'!$I24)-'Model - Scarcity &amp; Growth Rates'!$I24)+(1-'Model - Supply'!C24)*('Model - Scarcity &amp; Growth Rates'!$E24*(1-'Model - Scarcity &amp; Growth Rates'!$I24)-'Model - Scarcity &amp; Growth Rates'!$I24)</f>
        <v>-5.5453885074951428E-2</v>
      </c>
      <c r="G24" s="12">
        <f ca="1">D24*('Model - Scarcity &amp; Growth Rates'!$D24*(1-'Model - Scarcity &amp; Growth Rates'!$I24)-'Model - Scarcity &amp; Growth Rates'!$I24)+(1-'Model - Supply'!D24)*('Model - Scarcity &amp; Growth Rates'!$E24*(1-'Model - Scarcity &amp; Growth Rates'!$I24)-'Model - Scarcity &amp; Growth Rates'!$I24)</f>
        <v>2.5449092128453601E-2</v>
      </c>
      <c r="H24" s="12">
        <f ca="1">'Model - Scarcity &amp; Growth Rates'!J24</f>
        <v>0.13790907504114197</v>
      </c>
      <c r="I24" s="21">
        <f ca="1">(1+E23)*I23*(1-(SUM(I$5:I23)/'Static Parameters'!C$17)^2)</f>
        <v>287.79798019781259</v>
      </c>
      <c r="J24" s="21">
        <f ca="1">(1+F23)*J23*(1-(SUM(J$5:J23)/'Static Parameters'!D$17)^2)</f>
        <v>71.61263041165256</v>
      </c>
      <c r="K24" s="21">
        <f ca="1">(1+G23)*K23*(1-(SUM(K$5:K23)/'Static Parameters'!E$17)^2)</f>
        <v>80.112430431437957</v>
      </c>
      <c r="L24" s="21">
        <f ca="1">(1+H23)*L23*(1-(SUM(L$5:L23)/'Static Parameters'!F$17)^2)</f>
        <v>34.605790835942059</v>
      </c>
      <c r="M24" s="21">
        <f ca="1">I24*B24*'Static Parameters'!C$15</f>
        <v>66.193535445496906</v>
      </c>
      <c r="N24" s="21">
        <f ca="1">J24*C24*'Static Parameters'!D$15</f>
        <v>3.089862866042886</v>
      </c>
      <c r="O24" s="21">
        <f ca="1">K24*D24*'Static Parameters'!E$15</f>
        <v>19.226983303545108</v>
      </c>
      <c r="P24" s="63">
        <f t="shared" ca="1" si="11"/>
        <v>34.605790835942059</v>
      </c>
      <c r="Q24" s="40">
        <f t="shared" ca="1" si="12"/>
        <v>0</v>
      </c>
      <c r="R24" s="40">
        <f t="shared" ca="1" si="13"/>
        <v>58.178444037553056</v>
      </c>
      <c r="S24" s="40">
        <f t="shared" ca="1" si="14"/>
        <v>0</v>
      </c>
      <c r="T24" s="64">
        <f ca="1">I24*'Static Parameters'!C$19/(44/12)/1000</f>
        <v>7.5586214981043698</v>
      </c>
      <c r="U24" s="64">
        <f ca="1">J24*'Static Parameters'!D$19/(44/12)/1000</f>
        <v>1.4316015843202181</v>
      </c>
      <c r="V24" s="64">
        <f ca="1">K24*'Static Parameters'!E$19/(44/12)/1000</f>
        <v>1.2257201856010007</v>
      </c>
      <c r="W24" s="64">
        <f ca="1">MAX(0,AC23*'Model - Scarcity &amp; Growth Rates'!$J23*(1-'Model - Supply'!Z23/'Static Parameters'!C$25)+'Model - Supply'!Z23/'Static Parameters'!C$27)</f>
        <v>2.3138292098595823</v>
      </c>
      <c r="X24" s="64">
        <f ca="1">MAX(0,AD23*'Model - Scarcity &amp; Growth Rates'!$J23*(1-'Model - Supply'!AA23/'Static Parameters'!D$25)+'Model - Supply'!AA23/'Static Parameters'!D$27)</f>
        <v>4.3847469200332423</v>
      </c>
      <c r="Y24" s="64">
        <f ca="1">MAX(0,AE23*'Model - Scarcity &amp; Growth Rates'!$J23*(1-'Model - Supply'!AB23/'Static Parameters'!E$25)+'Model - Supply'!AB23/'Static Parameters'!E$27)</f>
        <v>1.7945743438817943</v>
      </c>
      <c r="Z24" s="64">
        <f ca="1">Z23+W24-Z23/'Static Parameters'!C$27</f>
        <v>18.435597394236176</v>
      </c>
      <c r="AA24" s="64">
        <f ca="1">AA23+X24-AA23/'Static Parameters'!D$27</f>
        <v>32.882396043477264</v>
      </c>
      <c r="AB24" s="64">
        <f ca="1">AB23+Y24-AB23/'Static Parameters'!E$27</f>
        <v>36.54983458178198</v>
      </c>
      <c r="AC24" s="64">
        <f ca="1">Z24-W24*'Static Parameters'!C$27/'Static Parameters'!C$26</f>
        <v>14.579215377803539</v>
      </c>
      <c r="AD24" s="64">
        <f ca="1">AA24-X24*'Static Parameters'!D$27/'Static Parameters'!D$26</f>
        <v>27.401462393435711</v>
      </c>
      <c r="AE24" s="64">
        <f ca="1">AB24-Y24*'Static Parameters'!E$27/'Static Parameters'!E$26</f>
        <v>34.627076356194344</v>
      </c>
      <c r="AF24" s="64">
        <f ca="1">AG23*'Model - Scarcity &amp; Growth Rates'!K23*(1-'Model - Supply'!AF23/'Static Parameters'!C$33)+'Model - Supply'!AF23</f>
        <v>95.965056381391364</v>
      </c>
      <c r="AG24" s="64">
        <f ca="1">AF24-AF24/'Static Parameters'!$C$34</f>
        <v>47.982528190695682</v>
      </c>
      <c r="AH24" s="64">
        <f t="shared" ca="1" si="15"/>
        <v>199.72392657846058</v>
      </c>
      <c r="AI24" s="64">
        <f t="shared" ca="1" si="16"/>
        <v>106.16097222824874</v>
      </c>
      <c r="AJ24" s="64">
        <f t="shared" ca="1" si="5"/>
        <v>66.193535445496906</v>
      </c>
      <c r="AK24" s="64">
        <f t="shared" ca="1" si="6"/>
        <v>61.268306903595942</v>
      </c>
      <c r="AL24" s="64">
        <f t="shared" ca="1" si="7"/>
        <v>19.226983303545108</v>
      </c>
      <c r="AM24" s="64">
        <f t="shared" ca="1" si="8"/>
        <v>34.605790835942059</v>
      </c>
      <c r="AN24" s="64">
        <f t="shared" ca="1" si="9"/>
        <v>76.607754127433594</v>
      </c>
      <c r="AO24" s="64">
        <f t="shared" ca="1" si="10"/>
        <v>47.982528190695682</v>
      </c>
    </row>
    <row r="25" spans="1:41" x14ac:dyDescent="0.35">
      <c r="A25" s="13">
        <v>2043</v>
      </c>
      <c r="B25" s="12">
        <f ca="1">MAX(0,MIN(1,B24*(1+'Model - Scarcity &amp; Growth Rates'!$D24-'Model - Scarcity &amp; Growth Rates'!$E24)))</f>
        <v>1</v>
      </c>
      <c r="C25" s="12">
        <f ca="1">MAX(0,MIN(1,C24*(1+'Model - Scarcity &amp; Growth Rates'!$D24-'Model - Scarcity &amp; Growth Rates'!$E24)))</f>
        <v>0.2083255873451775</v>
      </c>
      <c r="D25" s="12">
        <f ca="1">MAX(0,MIN(1,D24*(1+'Model - Scarcity &amp; Growth Rates'!$D24-'Model - Scarcity &amp; Growth Rates'!$E24)))</f>
        <v>1</v>
      </c>
      <c r="E25" s="12">
        <f ca="1">B25*('Model - Scarcity &amp; Growth Rates'!$D25*(1-'Model - Scarcity &amp; Growth Rates'!$I25)-'Model - Scarcity &amp; Growth Rates'!$I25)+(1-'Model - Supply'!B25)*('Model - Scarcity &amp; Growth Rates'!$E25*(1-'Model - Scarcity &amp; Growth Rates'!$I25)-'Model - Scarcity &amp; Growth Rates'!$I25)</f>
        <v>2.2944496670011055E-2</v>
      </c>
      <c r="F25" s="12">
        <f ca="1">C25*('Model - Scarcity &amp; Growth Rates'!$D25*(1-'Model - Scarcity &amp; Growth Rates'!$I25)-'Model - Scarcity &amp; Growth Rates'!$I25)+(1-'Model - Supply'!C25)*('Model - Scarcity &amp; Growth Rates'!$E25*(1-'Model - Scarcity &amp; Growth Rates'!$I25)-'Model - Scarcity &amp; Growth Rates'!$I25)</f>
        <v>-6.7446268418351524E-2</v>
      </c>
      <c r="G25" s="12">
        <f ca="1">D25*('Model - Scarcity &amp; Growth Rates'!$D25*(1-'Model - Scarcity &amp; Growth Rates'!$I25)-'Model - Scarcity &amp; Growth Rates'!$I25)+(1-'Model - Supply'!D25)*('Model - Scarcity &amp; Growth Rates'!$E25*(1-'Model - Scarcity &amp; Growth Rates'!$I25)-'Model - Scarcity &amp; Growth Rates'!$I25)</f>
        <v>2.2944496670011055E-2</v>
      </c>
      <c r="H25" s="12">
        <f ca="1">'Model - Scarcity &amp; Growth Rates'!J25</f>
        <v>0.14123143206272962</v>
      </c>
      <c r="I25" s="21">
        <f ca="1">(1+E24)*I24*(1-(SUM(I$5:I24)/'Static Parameters'!C$17)^2)</f>
        <v>284.45639346122215</v>
      </c>
      <c r="J25" s="21">
        <f ca="1">(1+F24)*J24*(1-(SUM(J$5:J24)/'Static Parameters'!D$17)^2)</f>
        <v>61.750096422311742</v>
      </c>
      <c r="K25" s="21">
        <f ca="1">(1+G24)*K24*(1-(SUM(K$5:K24)/'Static Parameters'!E$17)^2)</f>
        <v>69.372817201662755</v>
      </c>
      <c r="L25" s="21">
        <f ca="1">(1+H24)*L24*(1-(SUM(L$5:L24)/'Static Parameters'!F$17)^2)</f>
        <v>35.606191475324223</v>
      </c>
      <c r="M25" s="21">
        <f ca="1">I25*B25*'Static Parameters'!C$15</f>
        <v>65.424970496081102</v>
      </c>
      <c r="N25" s="21">
        <f ca="1">J25*C25*'Static Parameters'!D$15</f>
        <v>2.9587487743338707</v>
      </c>
      <c r="O25" s="21">
        <f ca="1">K25*D25*'Static Parameters'!E$15</f>
        <v>16.649476128399062</v>
      </c>
      <c r="P25" s="63">
        <f t="shared" ca="1" si="11"/>
        <v>35.606191475324223</v>
      </c>
      <c r="Q25" s="40">
        <f t="shared" ca="1" si="12"/>
        <v>0</v>
      </c>
      <c r="R25" s="40">
        <f t="shared" ca="1" si="13"/>
        <v>48.885971316512304</v>
      </c>
      <c r="S25" s="40">
        <f t="shared" ca="1" si="14"/>
        <v>0</v>
      </c>
      <c r="T25" s="64">
        <f ca="1">I25*'Static Parameters'!C$19/(44/12)/1000</f>
        <v>7.4708592791770068</v>
      </c>
      <c r="U25" s="64">
        <f ca="1">J25*'Static Parameters'!D$19/(44/12)/1000</f>
        <v>1.2344405639333049</v>
      </c>
      <c r="V25" s="64">
        <f ca="1">K25*'Static Parameters'!E$19/(44/12)/1000</f>
        <v>1.0614041031854402</v>
      </c>
      <c r="W25" s="64">
        <f ca="1">MAX(0,AC24*'Model - Scarcity &amp; Growth Rates'!$J24*(1-'Model - Supply'!Z24/'Static Parameters'!C$25)+'Model - Supply'!Z24/'Static Parameters'!C$27)</f>
        <v>2.5626963797593802</v>
      </c>
      <c r="X25" s="64">
        <f ca="1">MAX(0,AD24*'Model - Scarcity &amp; Growth Rates'!$J24*(1-'Model - Supply'!AA24/'Static Parameters'!D$25)+'Model - Supply'!AA24/'Static Parameters'!D$27)</f>
        <v>4.9166924234818721</v>
      </c>
      <c r="Y25" s="64">
        <f ca="1">MAX(0,AE24*'Model - Scarcity &amp; Growth Rates'!$J24*(1-'Model - Supply'!AB24/'Static Parameters'!E$25)+'Model - Supply'!AB24/'Static Parameters'!E$27)</f>
        <v>1.7719263177578095</v>
      </c>
      <c r="Z25" s="64">
        <f ca="1">Z24+W25-Z24/'Static Parameters'!C$27</f>
        <v>20.26086987822611</v>
      </c>
      <c r="AA25" s="64">
        <f ca="1">AA24+X25-AA24/'Static Parameters'!D$27</f>
        <v>36.48379262522004</v>
      </c>
      <c r="AB25" s="64">
        <f ca="1">AB24+Y25-AB24/'Static Parameters'!E$27</f>
        <v>37.834429771782695</v>
      </c>
      <c r="AC25" s="64">
        <f ca="1">Z25-W25*'Static Parameters'!C$27/'Static Parameters'!C$26</f>
        <v>15.98970924529381</v>
      </c>
      <c r="AD25" s="64">
        <f ca="1">AA25-X25*'Static Parameters'!D$27/'Static Parameters'!D$26</f>
        <v>30.337927095867698</v>
      </c>
      <c r="AE25" s="64">
        <f ca="1">AB25-Y25*'Static Parameters'!E$27/'Static Parameters'!E$26</f>
        <v>35.935937288470754</v>
      </c>
      <c r="AF25" s="64">
        <f ca="1">AG24*'Model - Scarcity &amp; Growth Rates'!K24*(1-'Model - Supply'!AF24/'Static Parameters'!C$33)+'Model - Supply'!AF24</f>
        <v>96.649020280805615</v>
      </c>
      <c r="AG25" s="64">
        <f ca="1">AF25-AF25/'Static Parameters'!$C$34</f>
        <v>48.324510140402808</v>
      </c>
      <c r="AH25" s="64">
        <f t="shared" ca="1" si="15"/>
        <v>202.90296050377054</v>
      </c>
      <c r="AI25" s="64">
        <f t="shared" ca="1" si="16"/>
        <v>97.210481456915119</v>
      </c>
      <c r="AJ25" s="64">
        <f t="shared" ca="1" si="5"/>
        <v>65.424970496081102</v>
      </c>
      <c r="AK25" s="64">
        <f t="shared" ca="1" si="6"/>
        <v>51.844720090846174</v>
      </c>
      <c r="AL25" s="64">
        <f t="shared" ca="1" si="7"/>
        <v>16.649476128399062</v>
      </c>
      <c r="AM25" s="64">
        <f t="shared" ca="1" si="8"/>
        <v>35.606191475324223</v>
      </c>
      <c r="AN25" s="64">
        <f t="shared" ca="1" si="9"/>
        <v>82.263573629632262</v>
      </c>
      <c r="AO25" s="64">
        <f t="shared" ca="1" si="10"/>
        <v>48.324510140402808</v>
      </c>
    </row>
    <row r="26" spans="1:41" x14ac:dyDescent="0.35">
      <c r="A26" s="13">
        <v>2044</v>
      </c>
      <c r="B26" s="12">
        <f ca="1">MAX(0,MIN(1,B25*(1+'Model - Scarcity &amp; Growth Rates'!$D25-'Model - Scarcity &amp; Growth Rates'!$E25)))</f>
        <v>1</v>
      </c>
      <c r="C26" s="12">
        <f ca="1">MAX(0,MIN(1,C25*(1+'Model - Scarcity &amp; Growth Rates'!$D25-'Model - Scarcity &amp; Growth Rates'!$E25)))</f>
        <v>0.2348619701253607</v>
      </c>
      <c r="D26" s="12">
        <f ca="1">MAX(0,MIN(1,D25*(1+'Model - Scarcity &amp; Growth Rates'!$D25-'Model - Scarcity &amp; Growth Rates'!$E25)))</f>
        <v>1</v>
      </c>
      <c r="E26" s="12">
        <f ca="1">B26*('Model - Scarcity &amp; Growth Rates'!$D26*(1-'Model - Scarcity &amp; Growth Rates'!$I26)-'Model - Scarcity &amp; Growth Rates'!$I26)+(1-'Model - Supply'!B26)*('Model - Scarcity &amp; Growth Rates'!$E26*(1-'Model - Scarcity &amp; Growth Rates'!$I26)-'Model - Scarcity &amp; Growth Rates'!$I26)</f>
        <v>2.0565378697452882E-2</v>
      </c>
      <c r="F26" s="12">
        <f ca="1">C26*('Model - Scarcity &amp; Growth Rates'!$D26*(1-'Model - Scarcity &amp; Growth Rates'!$I26)-'Model - Scarcity &amp; Growth Rates'!$I26)+(1-'Model - Supply'!C26)*('Model - Scarcity &amp; Growth Rates'!$E26*(1-'Model - Scarcity &amp; Growth Rates'!$I26)-'Model - Scarcity &amp; Growth Rates'!$I26)</f>
        <v>-8.2458121869210102E-2</v>
      </c>
      <c r="G26" s="12">
        <f ca="1">D26*('Model - Scarcity &amp; Growth Rates'!$D26*(1-'Model - Scarcity &amp; Growth Rates'!$I26)-'Model - Scarcity &amp; Growth Rates'!$I26)+(1-'Model - Supply'!D26)*('Model - Scarcity &amp; Growth Rates'!$E26*(1-'Model - Scarcity &amp; Growth Rates'!$I26)-'Model - Scarcity &amp; Growth Rates'!$I26)</f>
        <v>2.0565378697452882E-2</v>
      </c>
      <c r="H26" s="12">
        <f ca="1">'Model - Scarcity &amp; Growth Rates'!J26</f>
        <v>0.14466271666608693</v>
      </c>
      <c r="I26" s="21">
        <f ca="1">(1+E25)*I25*(1-(SUM(I$5:I25)/'Static Parameters'!C$17)^2)</f>
        <v>279.18140416238464</v>
      </c>
      <c r="J26" s="21">
        <f ca="1">(1+F25)*J25*(1-(SUM(J$5:J25)/'Static Parameters'!D$17)^2)</f>
        <v>52.342077879709976</v>
      </c>
      <c r="K26" s="21">
        <f ca="1">(1+G25)*K25*(1-(SUM(K$5:K25)/'Static Parameters'!E$17)^2)</f>
        <v>59.362361607831133</v>
      </c>
      <c r="L26" s="21">
        <f ca="1">(1+H25)*L25*(1-(SUM(L$5:L25)/'Static Parameters'!F$17)^2)</f>
        <v>35.999231560371193</v>
      </c>
      <c r="M26" s="21">
        <f ca="1">I26*B26*'Static Parameters'!C$15</f>
        <v>64.211722957348471</v>
      </c>
      <c r="N26" s="21">
        <f ca="1">J26*C26*'Static Parameters'!D$15</f>
        <v>2.8274276121952622</v>
      </c>
      <c r="O26" s="21">
        <f ca="1">K26*D26*'Static Parameters'!E$15</f>
        <v>14.246966785879472</v>
      </c>
      <c r="P26" s="63">
        <f t="shared" ca="1" si="11"/>
        <v>35.999231560371193</v>
      </c>
      <c r="Q26" s="40">
        <f t="shared" ca="1" si="12"/>
        <v>0</v>
      </c>
      <c r="R26" s="40">
        <f t="shared" ca="1" si="13"/>
        <v>40.04891434842623</v>
      </c>
      <c r="S26" s="40">
        <f t="shared" ca="1" si="14"/>
        <v>0</v>
      </c>
      <c r="T26" s="64">
        <f ca="1">I26*'Static Parameters'!C$19/(44/12)/1000</f>
        <v>7.3323188784102662</v>
      </c>
      <c r="U26" s="64">
        <f ca="1">J26*'Static Parameters'!D$19/(44/12)/1000</f>
        <v>1.0463657205225658</v>
      </c>
      <c r="V26" s="64">
        <f ca="1">K26*'Static Parameters'!E$19/(44/12)/1000</f>
        <v>0.9082441325998164</v>
      </c>
      <c r="W26" s="64">
        <f ca="1">MAX(0,AC25*'Model - Scarcity &amp; Growth Rates'!$J25*(1-'Model - Supply'!Z25/'Static Parameters'!C$25)+'Model - Supply'!Z25/'Static Parameters'!C$27)</f>
        <v>2.8399138302046341</v>
      </c>
      <c r="X26" s="64">
        <f ca="1">MAX(0,AD25*'Model - Scarcity &amp; Growth Rates'!$J25*(1-'Model - Supply'!AA25/'Static Parameters'!D$25)+'Model - Supply'!AA25/'Static Parameters'!D$27)</f>
        <v>5.5207049213806156</v>
      </c>
      <c r="Y26" s="64">
        <f ca="1">MAX(0,AE25*'Model - Scarcity &amp; Growth Rates'!$J25*(1-'Model - Supply'!AB25/'Static Parameters'!E$25)+'Model - Supply'!AB25/'Static Parameters'!E$27)</f>
        <v>1.7393335144325714</v>
      </c>
      <c r="Z26" s="64">
        <f ca="1">Z25+W26-Z25/'Static Parameters'!C$27</f>
        <v>22.290348913301699</v>
      </c>
      <c r="AA26" s="64">
        <f ca="1">AA25+X26-AA25/'Static Parameters'!D$27</f>
        <v>40.545145841591854</v>
      </c>
      <c r="AB26" s="64">
        <f ca="1">AB25+Y26-AB25/'Static Parameters'!E$27</f>
        <v>39.069304222591498</v>
      </c>
      <c r="AC26" s="64">
        <f ca="1">Z26-W26*'Static Parameters'!C$27/'Static Parameters'!C$26</f>
        <v>17.557159196293977</v>
      </c>
      <c r="AD26" s="64">
        <f ca="1">AA26-X26*'Static Parameters'!D$27/'Static Parameters'!D$26</f>
        <v>33.644264689866084</v>
      </c>
      <c r="AE26" s="64">
        <f ca="1">AB26-Y26*'Static Parameters'!E$27/'Static Parameters'!E$26</f>
        <v>37.205732599985168</v>
      </c>
      <c r="AF26" s="64">
        <f ca="1">AG25*'Model - Scarcity &amp; Growth Rates'!K25*(1-'Model - Supply'!AF25/'Static Parameters'!C$33)+'Model - Supply'!AF25</f>
        <v>96.994932883087401</v>
      </c>
      <c r="AG26" s="64">
        <f ca="1">AF26-AF26/'Static Parameters'!$C$34</f>
        <v>48.4974664415437</v>
      </c>
      <c r="AH26" s="64">
        <f t="shared" ca="1" si="15"/>
        <v>205.69250540193963</v>
      </c>
      <c r="AI26" s="64">
        <f t="shared" ca="1" si="16"/>
        <v>88.54638078996993</v>
      </c>
      <c r="AJ26" s="64">
        <f t="shared" ca="1" si="5"/>
        <v>64.211722957348471</v>
      </c>
      <c r="AK26" s="64">
        <f t="shared" ca="1" si="6"/>
        <v>42.876341960621495</v>
      </c>
      <c r="AL26" s="64">
        <f t="shared" ca="1" si="7"/>
        <v>14.246966785879472</v>
      </c>
      <c r="AM26" s="64">
        <f t="shared" ca="1" si="8"/>
        <v>35.999231560371193</v>
      </c>
      <c r="AN26" s="64">
        <f t="shared" ca="1" si="9"/>
        <v>88.407156486145226</v>
      </c>
      <c r="AO26" s="64">
        <f t="shared" ca="1" si="10"/>
        <v>48.4974664415437</v>
      </c>
    </row>
    <row r="27" spans="1:41" x14ac:dyDescent="0.35">
      <c r="A27" s="13">
        <v>2045</v>
      </c>
      <c r="B27" s="12">
        <f ca="1">MAX(0,MIN(1,B26*(1+'Model - Scarcity &amp; Growth Rates'!$D26-'Model - Scarcity &amp; Growth Rates'!$E26)))</f>
        <v>1</v>
      </c>
      <c r="C27" s="12">
        <f ca="1">MAX(0,MIN(1,C26*(1+'Model - Scarcity &amp; Growth Rates'!$D26-'Model - Scarcity &amp; Growth Rates'!$E26)))</f>
        <v>0.27033072310557171</v>
      </c>
      <c r="D27" s="12">
        <f ca="1">MAX(0,MIN(1,D26*(1+'Model - Scarcity &amp; Growth Rates'!$D26-'Model - Scarcity &amp; Growth Rates'!$E26)))</f>
        <v>1</v>
      </c>
      <c r="E27" s="12">
        <f ca="1">B27*('Model - Scarcity &amp; Growth Rates'!$D27*(1-'Model - Scarcity &amp; Growth Rates'!$I27)-'Model - Scarcity &amp; Growth Rates'!$I27)+(1-'Model - Supply'!B27)*('Model - Scarcity &amp; Growth Rates'!$E27*(1-'Model - Scarcity &amp; Growth Rates'!$I27)-'Model - Scarcity &amp; Growth Rates'!$I27)</f>
        <v>1.8209518058373106E-2</v>
      </c>
      <c r="F27" s="12">
        <f ca="1">C27*('Model - Scarcity &amp; Growth Rates'!$D27*(1-'Model - Scarcity &amp; Growth Rates'!$I27)-'Model - Scarcity &amp; Growth Rates'!$I27)+(1-'Model - Supply'!C27)*('Model - Scarcity &amp; Growth Rates'!$E27*(1-'Model - Scarcity &amp; Growth Rates'!$I27)-'Model - Scarcity &amp; Growth Rates'!$I27)</f>
        <v>-0.10060541373376862</v>
      </c>
      <c r="G27" s="12">
        <f ca="1">D27*('Model - Scarcity &amp; Growth Rates'!$D27*(1-'Model - Scarcity &amp; Growth Rates'!$I27)-'Model - Scarcity &amp; Growth Rates'!$I27)+(1-'Model - Supply'!D27)*('Model - Scarcity &amp; Growth Rates'!$E27*(1-'Model - Scarcity &amp; Growth Rates'!$I27)-'Model - Scarcity &amp; Growth Rates'!$I27)</f>
        <v>1.8209518058373106E-2</v>
      </c>
      <c r="H27" s="12">
        <f ca="1">'Model - Scarcity &amp; Growth Rates'!J27</f>
        <v>0.14809292419083367</v>
      </c>
      <c r="I27" s="21">
        <f ca="1">(1+E26)*I26*(1-(SUM(I$5:I26)/'Static Parameters'!C$17)^2)</f>
        <v>272.06102527979715</v>
      </c>
      <c r="J27" s="21">
        <f ca="1">(1+F26)*J26*(1-(SUM(J$5:J26)/'Static Parameters'!D$17)^2)</f>
        <v>43.488933960992107</v>
      </c>
      <c r="K27" s="21">
        <f ca="1">(1+G26)*K26*(1-(SUM(K$5:K26)/'Static Parameters'!E$17)^2)</f>
        <v>50.256855964435175</v>
      </c>
      <c r="L27" s="21">
        <f ca="1">(1+H26)*L26*(1-(SUM(L$5:L26)/'Static Parameters'!F$17)^2)</f>
        <v>35.677106586372069</v>
      </c>
      <c r="M27" s="21">
        <f ca="1">I27*B27*'Static Parameters'!C$15</f>
        <v>62.574035814353344</v>
      </c>
      <c r="N27" s="21">
        <f ca="1">J27*C27*'Static Parameters'!D$15</f>
        <v>2.7039708418960542</v>
      </c>
      <c r="O27" s="21">
        <f ca="1">K27*D27*'Static Parameters'!E$15</f>
        <v>12.061645431464441</v>
      </c>
      <c r="P27" s="63">
        <f t="shared" ca="1" si="11"/>
        <v>35.677106586372069</v>
      </c>
      <c r="Q27" s="40">
        <f t="shared" ca="1" si="12"/>
        <v>0</v>
      </c>
      <c r="R27" s="40">
        <f t="shared" ca="1" si="13"/>
        <v>31.732538996226655</v>
      </c>
      <c r="S27" s="40">
        <f t="shared" ca="1" si="14"/>
        <v>0</v>
      </c>
      <c r="T27" s="64">
        <f ca="1">I27*'Static Parameters'!C$19/(44/12)/1000</f>
        <v>7.1453118366666732</v>
      </c>
      <c r="U27" s="64">
        <f ca="1">J27*'Static Parameters'!D$19/(44/12)/1000</f>
        <v>0.86938332527474227</v>
      </c>
      <c r="V27" s="64">
        <f ca="1">K27*'Static Parameters'!E$19/(44/12)/1000</f>
        <v>0.76892989625585828</v>
      </c>
      <c r="W27" s="64">
        <f ca="1">MAX(0,AC26*'Model - Scarcity &amp; Growth Rates'!$J26*(1-'Model - Supply'!Z26/'Static Parameters'!C$25)+'Model - Supply'!Z26/'Static Parameters'!C$27)</f>
        <v>3.1484077675488296</v>
      </c>
      <c r="X27" s="64">
        <f ca="1">MAX(0,AD26*'Model - Scarcity &amp; Growth Rates'!$J26*(1-'Model - Supply'!AA26/'Static Parameters'!D$25)+'Model - Supply'!AA26/'Static Parameters'!D$27)</f>
        <v>6.2069678602467526</v>
      </c>
      <c r="Y27" s="64">
        <f ca="1">MAX(0,AE26*'Model - Scarcity &amp; Growth Rates'!$J26*(1-'Model - Supply'!AB26/'Static Parameters'!E$25)+'Model - Supply'!AB26/'Static Parameters'!E$27)</f>
        <v>1.6975658761782086</v>
      </c>
      <c r="Z27" s="64">
        <f ca="1">Z26+W27-Z26/'Static Parameters'!C$27</f>
        <v>24.547142724318459</v>
      </c>
      <c r="AA27" s="64">
        <f ca="1">AA26+X27-AA26/'Static Parameters'!D$27</f>
        <v>45.130307868174938</v>
      </c>
      <c r="AB27" s="64">
        <f ca="1">AB26+Y27-AB26/'Static Parameters'!E$27</f>
        <v>40.245946042468489</v>
      </c>
      <c r="AC27" s="64">
        <f ca="1">Z27-W27*'Static Parameters'!C$27/'Static Parameters'!C$26</f>
        <v>19.29979644507041</v>
      </c>
      <c r="AD27" s="64">
        <f ca="1">AA27-X27*'Static Parameters'!D$27/'Static Parameters'!D$26</f>
        <v>37.371598042866495</v>
      </c>
      <c r="AE27" s="64">
        <f ca="1">AB27-Y27*'Static Parameters'!E$27/'Static Parameters'!E$26</f>
        <v>38.427125460848977</v>
      </c>
      <c r="AF27" s="64">
        <f ca="1">AG26*'Model - Scarcity &amp; Growth Rates'!K26*(1-'Model - Supply'!AF26/'Static Parameters'!C$33)+'Model - Supply'!AF26</f>
        <v>96.836155143068282</v>
      </c>
      <c r="AG27" s="64">
        <f ca="1">AF27-AF27/'Static Parameters'!$C$34</f>
        <v>48.418077571534141</v>
      </c>
      <c r="AH27" s="64">
        <f t="shared" ca="1" si="15"/>
        <v>208.11527862287176</v>
      </c>
      <c r="AI27" s="64">
        <f t="shared" ca="1" si="16"/>
        <v>80.150616567760792</v>
      </c>
      <c r="AJ27" s="64">
        <f t="shared" ca="1" si="5"/>
        <v>62.574035814353344</v>
      </c>
      <c r="AK27" s="64">
        <f t="shared" ca="1" si="6"/>
        <v>34.43650983812271</v>
      </c>
      <c r="AL27" s="64">
        <f t="shared" ca="1" si="7"/>
        <v>12.061645431464441</v>
      </c>
      <c r="AM27" s="64">
        <f t="shared" ca="1" si="8"/>
        <v>35.677106586372069</v>
      </c>
      <c r="AN27" s="64">
        <f t="shared" ca="1" si="9"/>
        <v>95.098519948785878</v>
      </c>
      <c r="AO27" s="64">
        <f t="shared" ca="1" si="10"/>
        <v>48.418077571534141</v>
      </c>
    </row>
    <row r="28" spans="1:41" x14ac:dyDescent="0.35">
      <c r="A28" s="13">
        <v>2046</v>
      </c>
      <c r="B28" s="12">
        <f ca="1">MAX(0,MIN(1,B27*(1+'Model - Scarcity &amp; Growth Rates'!$D27-'Model - Scarcity &amp; Growth Rates'!$E27)))</f>
        <v>1</v>
      </c>
      <c r="C28" s="12">
        <f ca="1">MAX(0,MIN(1,C27*(1+'Model - Scarcity &amp; Growth Rates'!$D27-'Model - Scarcity &amp; Growth Rates'!$E27)))</f>
        <v>0.31996483513440799</v>
      </c>
      <c r="D28" s="12">
        <f ca="1">MAX(0,MIN(1,D27*(1+'Model - Scarcity &amp; Growth Rates'!$D27-'Model - Scarcity &amp; Growth Rates'!$E27)))</f>
        <v>1</v>
      </c>
      <c r="E28" s="12">
        <f ca="1">B28*('Model - Scarcity &amp; Growth Rates'!$D28*(1-'Model - Scarcity &amp; Growth Rates'!$I28)-'Model - Scarcity &amp; Growth Rates'!$I28)+(1-'Model - Supply'!B28)*('Model - Scarcity &amp; Growth Rates'!$E28*(1-'Model - Scarcity &amp; Growth Rates'!$I28)-'Model - Scarcity &amp; Growth Rates'!$I28)</f>
        <v>1.5616749226185722E-2</v>
      </c>
      <c r="F28" s="12">
        <f ca="1">C28*('Model - Scarcity &amp; Growth Rates'!$D28*(1-'Model - Scarcity &amp; Growth Rates'!$I28)-'Model - Scarcity &amp; Growth Rates'!$I28)+(1-'Model - Supply'!C28)*('Model - Scarcity &amp; Growth Rates'!$E28*(1-'Model - Scarcity &amp; Growth Rates'!$I28)-'Model - Scarcity &amp; Growth Rates'!$I28)</f>
        <v>-0.12130252870070699</v>
      </c>
      <c r="G28" s="12">
        <f ca="1">D28*('Model - Scarcity &amp; Growth Rates'!$D28*(1-'Model - Scarcity &amp; Growth Rates'!$I28)-'Model - Scarcity &amp; Growth Rates'!$I28)+(1-'Model - Supply'!D28)*('Model - Scarcity &amp; Growth Rates'!$E28*(1-'Model - Scarcity &amp; Growth Rates'!$I28)-'Model - Scarcity &amp; Growth Rates'!$I28)</f>
        <v>1.5616749226185722E-2</v>
      </c>
      <c r="H28" s="12">
        <f ca="1">'Model - Scarcity &amp; Growth Rates'!J28</f>
        <v>0.15123193906139415</v>
      </c>
      <c r="I28" s="21">
        <f ca="1">(1+E27)*I27*(1-(SUM(I$5:I27)/'Static Parameters'!C$17)^2)</f>
        <v>263.20754968514279</v>
      </c>
      <c r="J28" s="21">
        <f ca="1">(1+F27)*J27*(1-(SUM(J$5:J27)/'Static Parameters'!D$17)^2)</f>
        <v>35.30551652666275</v>
      </c>
      <c r="K28" s="21">
        <f ca="1">(1+G27)*K27*(1-(SUM(K$5:K27)/'Static Parameters'!E$17)^2)</f>
        <v>42.14266607786459</v>
      </c>
      <c r="L28" s="21">
        <f ca="1">(1+H27)*L27*(1-(SUM(L$5:L27)/'Static Parameters'!F$17)^2)</f>
        <v>34.581237143494747</v>
      </c>
      <c r="M28" s="21">
        <f ca="1">I28*B28*'Static Parameters'!C$15</f>
        <v>60.537736427582843</v>
      </c>
      <c r="N28" s="21">
        <f ca="1">J28*C28*'Static Parameters'!D$15</f>
        <v>2.5982004682014157</v>
      </c>
      <c r="O28" s="21">
        <f ca="1">K28*D28*'Static Parameters'!E$15</f>
        <v>10.114239858687501</v>
      </c>
      <c r="P28" s="63">
        <f t="shared" ca="1" si="11"/>
        <v>34.581237143494747</v>
      </c>
      <c r="Q28" s="40">
        <f t="shared" ca="1" si="12"/>
        <v>0</v>
      </c>
      <c r="R28" s="40">
        <f t="shared" ca="1" si="13"/>
        <v>24.008992751873986</v>
      </c>
      <c r="S28" s="40">
        <f t="shared" ca="1" si="14"/>
        <v>0</v>
      </c>
      <c r="T28" s="64">
        <f ca="1">I28*'Static Parameters'!C$19/(44/12)/1000</f>
        <v>6.912787373094341</v>
      </c>
      <c r="U28" s="64">
        <f ca="1">J28*'Static Parameters'!D$19/(44/12)/1000</f>
        <v>0.70578937129210362</v>
      </c>
      <c r="V28" s="64">
        <f ca="1">K28*'Static Parameters'!E$19/(44/12)/1000</f>
        <v>0.64478279099132829</v>
      </c>
      <c r="W28" s="64">
        <f ca="1">MAX(0,AC27*'Model - Scarcity &amp; Growth Rates'!$J27*(1-'Model - Supply'!Z27/'Static Parameters'!C$25)+'Model - Supply'!Z27/'Static Parameters'!C$27)</f>
        <v>3.4892502895402546</v>
      </c>
      <c r="X28" s="64">
        <f ca="1">MAX(0,AD27*'Model - Scarcity &amp; Growth Rates'!$J27*(1-'Model - Supply'!AA27/'Static Parameters'!D$25)+'Model - Supply'!AA27/'Static Parameters'!D$27)</f>
        <v>6.9828639784352928</v>
      </c>
      <c r="Y28" s="64">
        <f ca="1">MAX(0,AE27*'Model - Scarcity &amp; Growth Rates'!$J27*(1-'Model - Supply'!AB27/'Static Parameters'!E$25)+'Model - Supply'!AB27/'Static Parameters'!E$27)</f>
        <v>1.6467771666047328</v>
      </c>
      <c r="Z28" s="64">
        <f ca="1">Z27+W28-Z27/'Static Parameters'!C$27</f>
        <v>27.054507304885977</v>
      </c>
      <c r="AA28" s="64">
        <f ca="1">AA27+X28-AA27/'Static Parameters'!D$27</f>
        <v>50.307959531883228</v>
      </c>
      <c r="AB28" s="64">
        <f ca="1">AB27+Y28-AB27/'Static Parameters'!E$27</f>
        <v>41.356110595173647</v>
      </c>
      <c r="AC28" s="64">
        <f ca="1">Z28-W28*'Static Parameters'!C$27/'Static Parameters'!C$26</f>
        <v>21.239090155652221</v>
      </c>
      <c r="AD28" s="64">
        <f ca="1">AA28-X28*'Static Parameters'!D$27/'Static Parameters'!D$26</f>
        <v>41.579379558839108</v>
      </c>
      <c r="AE28" s="64">
        <f ca="1">AB28-Y28*'Static Parameters'!E$27/'Static Parameters'!E$26</f>
        <v>39.591706488097145</v>
      </c>
      <c r="AF28" s="64">
        <f ca="1">AG27*'Model - Scarcity &amp; Growth Rates'!K27*(1-'Model - Supply'!AF27/'Static Parameters'!C$33)+'Model - Supply'!AF27</f>
        <v>95.949238270206337</v>
      </c>
      <c r="AG28" s="64">
        <f ca="1">AF28-AF28/'Static Parameters'!$C$34</f>
        <v>47.974619135103168</v>
      </c>
      <c r="AH28" s="64">
        <f t="shared" ca="1" si="15"/>
        <v>210.24159010055496</v>
      </c>
      <c r="AI28" s="64">
        <f t="shared" ca="1" si="16"/>
        <v>71.983611886977158</v>
      </c>
      <c r="AJ28" s="64">
        <f t="shared" ca="1" si="5"/>
        <v>60.537736427582843</v>
      </c>
      <c r="AK28" s="64">
        <f t="shared" ca="1" si="6"/>
        <v>26.607193220075402</v>
      </c>
      <c r="AL28" s="64">
        <f t="shared" ca="1" si="7"/>
        <v>10.114239858687501</v>
      </c>
      <c r="AM28" s="64">
        <f t="shared" ca="1" si="8"/>
        <v>34.581237143494747</v>
      </c>
      <c r="AN28" s="64">
        <f t="shared" ca="1" si="9"/>
        <v>102.41017620258847</v>
      </c>
      <c r="AO28" s="64">
        <f t="shared" ca="1" si="10"/>
        <v>47.974619135103168</v>
      </c>
    </row>
    <row r="29" spans="1:41" x14ac:dyDescent="0.35">
      <c r="A29" s="13">
        <v>2047</v>
      </c>
      <c r="B29" s="12">
        <f ca="1">MAX(0,MIN(1,B28*(1+'Model - Scarcity &amp; Growth Rates'!$D28-'Model - Scarcity &amp; Growth Rates'!$E28)))</f>
        <v>1</v>
      </c>
      <c r="C29" s="12">
        <f ca="1">MAX(0,MIN(1,C28*(1+'Model - Scarcity &amp; Growth Rates'!$D28-'Model - Scarcity &amp; Growth Rates'!$E28)))</f>
        <v>0.39298931220836764</v>
      </c>
      <c r="D29" s="12">
        <f ca="1">MAX(0,MIN(1,D28*(1+'Model - Scarcity &amp; Growth Rates'!$D28-'Model - Scarcity &amp; Growth Rates'!$E28)))</f>
        <v>1</v>
      </c>
      <c r="E29" s="12">
        <f ca="1">B29*('Model - Scarcity &amp; Growth Rates'!$D29*(1-'Model - Scarcity &amp; Growth Rates'!$I29)-'Model - Scarcity &amp; Growth Rates'!$I29)+(1-'Model - Supply'!B29)*('Model - Scarcity &amp; Growth Rates'!$E29*(1-'Model - Scarcity &amp; Growth Rates'!$I29)-'Model - Scarcity &amp; Growth Rates'!$I29)</f>
        <v>1.2353115037028406E-2</v>
      </c>
      <c r="F29" s="12">
        <f ca="1">C29*('Model - Scarcity &amp; Growth Rates'!$D29*(1-'Model - Scarcity &amp; Growth Rates'!$I29)-'Model - Scarcity &amp; Growth Rates'!$I29)+(1-'Model - Supply'!C29)*('Model - Scarcity &amp; Growth Rates'!$E29*(1-'Model - Scarcity &amp; Growth Rates'!$I29)-'Model - Scarcity &amp; Growth Rates'!$I29)</f>
        <v>-0.14187744250096448</v>
      </c>
      <c r="G29" s="12">
        <f ca="1">D29*('Model - Scarcity &amp; Growth Rates'!$D29*(1-'Model - Scarcity &amp; Growth Rates'!$I29)-'Model - Scarcity &amp; Growth Rates'!$I29)+(1-'Model - Supply'!D29)*('Model - Scarcity &amp; Growth Rates'!$E29*(1-'Model - Scarcity &amp; Growth Rates'!$I29)-'Model - Scarcity &amp; Growth Rates'!$I29)</f>
        <v>1.2353115037028406E-2</v>
      </c>
      <c r="H29" s="12">
        <f ca="1">'Model - Scarcity &amp; Growth Rates'!J29</f>
        <v>0.15358687789472764</v>
      </c>
      <c r="I29" s="21">
        <f ca="1">(1+E28)*I28*(1-(SUM(I$5:I28)/'Static Parameters'!C$17)^2)</f>
        <v>252.71831396492675</v>
      </c>
      <c r="J29" s="21">
        <f ca="1">(1+F28)*J28*(1-(SUM(J$5:J28)/'Static Parameters'!D$17)^2)</f>
        <v>27.92863086403478</v>
      </c>
      <c r="K29" s="21">
        <f ca="1">(1+G28)*K28*(1-(SUM(K$5:K28)/'Static Parameters'!E$17)^2)</f>
        <v>35.029711753425396</v>
      </c>
      <c r="L29" s="21">
        <f ca="1">(1+H28)*L28*(1-(SUM(L$5:L28)/'Static Parameters'!F$17)^2)</f>
        <v>32.718283769026065</v>
      </c>
      <c r="M29" s="21">
        <f ca="1">I29*B29*'Static Parameters'!C$15</f>
        <v>58.125212211933153</v>
      </c>
      <c r="N29" s="21">
        <f ca="1">J29*C29*'Static Parameters'!D$15</f>
        <v>2.524400289861036</v>
      </c>
      <c r="O29" s="21">
        <f ca="1">K29*D29*'Static Parameters'!E$15</f>
        <v>8.4071308208220952</v>
      </c>
      <c r="P29" s="63">
        <f t="shared" ca="1" si="11"/>
        <v>32.718283769026065</v>
      </c>
      <c r="Q29" s="40">
        <f t="shared" ca="1" si="12"/>
        <v>0</v>
      </c>
      <c r="R29" s="40">
        <f t="shared" ca="1" si="13"/>
        <v>16.952977429856364</v>
      </c>
      <c r="S29" s="40">
        <f t="shared" ca="1" si="14"/>
        <v>0</v>
      </c>
      <c r="T29" s="64">
        <f ca="1">I29*'Static Parameters'!C$19/(44/12)/1000</f>
        <v>6.637301900406122</v>
      </c>
      <c r="U29" s="64">
        <f ca="1">J29*'Static Parameters'!D$19/(44/12)/1000</f>
        <v>0.55831872063647714</v>
      </c>
      <c r="V29" s="64">
        <f ca="1">K29*'Static Parameters'!E$19/(44/12)/1000</f>
        <v>0.53595458982740862</v>
      </c>
      <c r="W29" s="64">
        <f ca="1">MAX(0,AC28*'Model - Scarcity &amp; Growth Rates'!$J28*(1-'Model - Supply'!Z28/'Static Parameters'!C$25)+'Model - Supply'!Z28/'Static Parameters'!C$27)</f>
        <v>3.8597097987734323</v>
      </c>
      <c r="X29" s="64">
        <f ca="1">MAX(0,AD28*'Model - Scarcity &amp; Growth Rates'!$J28*(1-'Model - Supply'!AA28/'Static Parameters'!D$25)+'Model - Supply'!AA28/'Static Parameters'!D$27)</f>
        <v>7.8485300063366621</v>
      </c>
      <c r="Y29" s="64">
        <f ca="1">MAX(0,AE28*'Model - Scarcity &amp; Growth Rates'!$J28*(1-'Model - Supply'!AB28/'Static Parameters'!E$25)+'Model - Supply'!AB28/'Static Parameters'!E$27)</f>
        <v>1.5865258443602936</v>
      </c>
      <c r="Z29" s="64">
        <f ca="1">Z28+W29-Z28/'Static Parameters'!C$27</f>
        <v>29.832036811463972</v>
      </c>
      <c r="AA29" s="64">
        <f ca="1">AA28+X29-AA28/'Static Parameters'!D$27</f>
        <v>56.144171156944559</v>
      </c>
      <c r="AB29" s="64">
        <f ca="1">AB28+Y29-AB28/'Static Parameters'!E$27</f>
        <v>42.391221631598292</v>
      </c>
      <c r="AC29" s="64">
        <f ca="1">Z29-W29*'Static Parameters'!C$27/'Static Parameters'!C$26</f>
        <v>23.399187146841584</v>
      </c>
      <c r="AD29" s="64">
        <f ca="1">AA29-X29*'Static Parameters'!D$27/'Static Parameters'!D$26</f>
        <v>46.333508649023727</v>
      </c>
      <c r="AE29" s="64">
        <f ca="1">AB29-Y29*'Static Parameters'!E$27/'Static Parameters'!E$26</f>
        <v>40.691372512640832</v>
      </c>
      <c r="AF29" s="64">
        <f ca="1">AG28*'Model - Scarcity &amp; Growth Rates'!K28*(1-'Model - Supply'!AF28/'Static Parameters'!C$33)+'Model - Supply'!AF28</f>
        <v>94.027530927592707</v>
      </c>
      <c r="AG29" s="64">
        <f ca="1">AF29-AF29/'Static Parameters'!$C$34</f>
        <v>47.013765463796354</v>
      </c>
      <c r="AH29" s="64">
        <f t="shared" ca="1" si="15"/>
        <v>212.19909540014851</v>
      </c>
      <c r="AI29" s="64">
        <f t="shared" ca="1" si="16"/>
        <v>63.966742893652722</v>
      </c>
      <c r="AJ29" s="64">
        <f t="shared" ca="1" si="5"/>
        <v>58.125212211933153</v>
      </c>
      <c r="AK29" s="64">
        <f t="shared" ca="1" si="6"/>
        <v>19.477377719717399</v>
      </c>
      <c r="AL29" s="64">
        <f t="shared" ca="1" si="7"/>
        <v>8.4071308208220952</v>
      </c>
      <c r="AM29" s="64">
        <f t="shared" ca="1" si="8"/>
        <v>32.718283769026065</v>
      </c>
      <c r="AN29" s="64">
        <f t="shared" ca="1" si="9"/>
        <v>110.42406830850615</v>
      </c>
      <c r="AO29" s="64">
        <f t="shared" ca="1" si="10"/>
        <v>47.013765463796354</v>
      </c>
    </row>
    <row r="30" spans="1:41" x14ac:dyDescent="0.35">
      <c r="A30" s="13">
        <v>2048</v>
      </c>
      <c r="B30" s="12">
        <f ca="1">MAX(0,MIN(1,B29*(1+'Model - Scarcity &amp; Growth Rates'!$D29-'Model - Scarcity &amp; Growth Rates'!$E29)))</f>
        <v>1</v>
      </c>
      <c r="C30" s="12">
        <f ca="1">MAX(0,MIN(1,C29*(1+'Model - Scarcity &amp; Growth Rates'!$D29-'Model - Scarcity &amp; Growth Rates'!$E29)))</f>
        <v>0.50677119444957697</v>
      </c>
      <c r="D30" s="12">
        <f ca="1">MAX(0,MIN(1,D29*(1+'Model - Scarcity &amp; Growth Rates'!$D29-'Model - Scarcity &amp; Growth Rates'!$E29)))</f>
        <v>1</v>
      </c>
      <c r="E30" s="12">
        <f ca="1">B30*('Model - Scarcity &amp; Growth Rates'!$D30*(1-'Model - Scarcity &amp; Growth Rates'!$I30)-'Model - Scarcity &amp; Growth Rates'!$I30)+(1-'Model - Supply'!B30)*('Model - Scarcity &amp; Growth Rates'!$E30*(1-'Model - Scarcity &amp; Growth Rates'!$I30)-'Model - Scarcity &amp; Growth Rates'!$I30)</f>
        <v>7.7976321940797233E-3</v>
      </c>
      <c r="F30" s="12">
        <f ca="1">C30*('Model - Scarcity &amp; Growth Rates'!$D30*(1-'Model - Scarcity &amp; Growth Rates'!$I30)-'Model - Scarcity &amp; Growth Rates'!$I30)+(1-'Model - Supply'!C30)*('Model - Scarcity &amp; Growth Rates'!$E30*(1-'Model - Scarcity &amp; Growth Rates'!$I30)-'Model - Scarcity &amp; Growth Rates'!$I30)</f>
        <v>-0.15355223086450934</v>
      </c>
      <c r="G30" s="12">
        <f ca="1">D30*('Model - Scarcity &amp; Growth Rates'!$D30*(1-'Model - Scarcity &amp; Growth Rates'!$I30)-'Model - Scarcity &amp; Growth Rates'!$I30)+(1-'Model - Supply'!D30)*('Model - Scarcity &amp; Growth Rates'!$E30*(1-'Model - Scarcity &amp; Growth Rates'!$I30)-'Model - Scarcity &amp; Growth Rates'!$I30)</f>
        <v>7.7976321940797233E-3</v>
      </c>
      <c r="H30" s="12">
        <f ca="1">'Model - Scarcity &amp; Growth Rates'!J30</f>
        <v>0.15444170117310357</v>
      </c>
      <c r="I30" s="21">
        <f ca="1">(1+E29)*I29*(1-(SUM(I$5:I29)/'Static Parameters'!C$17)^2)</f>
        <v>240.64282077012595</v>
      </c>
      <c r="J30" s="21">
        <f ca="1">(1+F29)*J29*(1-(SUM(J$5:J29)/'Static Parameters'!D$17)^2)</f>
        <v>21.53021002171463</v>
      </c>
      <c r="K30" s="21">
        <f ca="1">(1+G29)*K29*(1-(SUM(K$5:K29)/'Static Parameters'!E$17)^2)</f>
        <v>28.871040860771494</v>
      </c>
      <c r="L30" s="21">
        <f ca="1">(1+H29)*L29*(1-(SUM(L$5:L29)/'Static Parameters'!F$17)^2)</f>
        <v>30.166200723441676</v>
      </c>
      <c r="M30" s="21">
        <f ca="1">I30*B30*'Static Parameters'!C$15</f>
        <v>55.347848777128974</v>
      </c>
      <c r="N30" s="21">
        <f ca="1">J30*C30*'Static Parameters'!D$15</f>
        <v>2.5095047573745526</v>
      </c>
      <c r="O30" s="21">
        <f ca="1">K30*D30*'Static Parameters'!E$15</f>
        <v>6.9290498065851587</v>
      </c>
      <c r="P30" s="63">
        <f t="shared" ca="1" si="11"/>
        <v>30.166200723441676</v>
      </c>
      <c r="Q30" s="40">
        <f t="shared" ca="1" si="12"/>
        <v>0</v>
      </c>
      <c r="R30" s="40">
        <f t="shared" ca="1" si="13"/>
        <v>10.619319772260054</v>
      </c>
      <c r="S30" s="40">
        <f t="shared" ca="1" si="14"/>
        <v>0</v>
      </c>
      <c r="T30" s="64">
        <f ca="1">I30*'Static Parameters'!C$19/(44/12)/1000</f>
        <v>6.3201555382263077</v>
      </c>
      <c r="U30" s="64">
        <f ca="1">J30*'Static Parameters'!D$19/(44/12)/1000</f>
        <v>0.43040847125227705</v>
      </c>
      <c r="V30" s="64">
        <f ca="1">K30*'Static Parameters'!E$19/(44/12)/1000</f>
        <v>0.44172692516980383</v>
      </c>
      <c r="W30" s="64">
        <f ca="1">MAX(0,AC29*'Model - Scarcity &amp; Growth Rates'!$J29*(1-'Model - Supply'!Z29/'Static Parameters'!C$25)+'Model - Supply'!Z29/'Static Parameters'!C$27)</f>
        <v>4.2510364940793277</v>
      </c>
      <c r="X30" s="64">
        <f ca="1">MAX(0,AD29*'Model - Scarcity &amp; Growth Rates'!$J29*(1-'Model - Supply'!AA29/'Static Parameters'!D$25)+'Model - Supply'!AA29/'Static Parameters'!D$27)</f>
        <v>8.7912226188833511</v>
      </c>
      <c r="Y30" s="64">
        <f ca="1">MAX(0,AE29*'Model - Scarcity &amp; Growth Rates'!$J29*(1-'Model - Supply'!AB29/'Static Parameters'!E$25)+'Model - Supply'!AB29/'Static Parameters'!E$27)</f>
        <v>1.516261975872977</v>
      </c>
      <c r="Z30" s="64">
        <f ca="1">Z29+W30-Z29/'Static Parameters'!C$27</f>
        <v>32.889791833084743</v>
      </c>
      <c r="AA30" s="64">
        <f ca="1">AA29+X30-AA29/'Static Parameters'!D$27</f>
        <v>62.689626929550123</v>
      </c>
      <c r="AB30" s="64">
        <f ca="1">AB29+Y30-AB29/'Static Parameters'!E$27</f>
        <v>43.342267319049959</v>
      </c>
      <c r="AC30" s="64">
        <f ca="1">Z30-W30*'Static Parameters'!C$27/'Static Parameters'!C$26</f>
        <v>25.804731009619196</v>
      </c>
      <c r="AD30" s="64">
        <f ca="1">AA30-X30*'Static Parameters'!D$27/'Static Parameters'!D$26</f>
        <v>51.700598655945939</v>
      </c>
      <c r="AE30" s="64">
        <f ca="1">AB30-Y30*'Static Parameters'!E$27/'Static Parameters'!E$26</f>
        <v>41.717700916328916</v>
      </c>
      <c r="AF30" s="64">
        <f ca="1">AG29*'Model - Scarcity &amp; Growth Rates'!K29*(1-'Model - Supply'!AF29/'Static Parameters'!C$33)+'Model - Supply'!AF29</f>
        <v>90.641095595238014</v>
      </c>
      <c r="AG30" s="64">
        <f ca="1">AF30-AF30/'Static Parameters'!$C$34</f>
        <v>45.320547797619007</v>
      </c>
      <c r="AH30" s="64">
        <f t="shared" ca="1" si="15"/>
        <v>214.17563464642438</v>
      </c>
      <c r="AI30" s="64">
        <f t="shared" ca="1" si="16"/>
        <v>55.939867569879063</v>
      </c>
      <c r="AJ30" s="64">
        <f t="shared" ca="1" si="5"/>
        <v>55.347848777128974</v>
      </c>
      <c r="AK30" s="64">
        <f t="shared" ca="1" si="6"/>
        <v>13.128824529634606</v>
      </c>
      <c r="AL30" s="64">
        <f t="shared" ca="1" si="7"/>
        <v>6.9290498065851587</v>
      </c>
      <c r="AM30" s="64">
        <f t="shared" ca="1" si="8"/>
        <v>30.166200723441676</v>
      </c>
      <c r="AN30" s="64">
        <f t="shared" ca="1" si="9"/>
        <v>119.22303058189405</v>
      </c>
      <c r="AO30" s="64">
        <f t="shared" ca="1" si="10"/>
        <v>45.320547797619007</v>
      </c>
    </row>
    <row r="31" spans="1:41" x14ac:dyDescent="0.35">
      <c r="A31" s="13">
        <v>2049</v>
      </c>
      <c r="B31" s="12">
        <f ca="1">MAX(0,MIN(1,B30*(1+'Model - Scarcity &amp; Growth Rates'!$D30-'Model - Scarcity &amp; Growth Rates'!$E30)))</f>
        <v>1</v>
      </c>
      <c r="C31" s="12">
        <f ca="1">MAX(0,MIN(1,C30*(1+'Model - Scarcity &amp; Growth Rates'!$D30-'Model - Scarcity &amp; Growth Rates'!$E30)))</f>
        <v>0.69667372951893947</v>
      </c>
      <c r="D31" s="12">
        <f ca="1">MAX(0,MIN(1,D30*(1+'Model - Scarcity &amp; Growth Rates'!$D30-'Model - Scarcity &amp; Growth Rates'!$E30)))</f>
        <v>1</v>
      </c>
      <c r="E31" s="12">
        <f ca="1">B31*('Model - Scarcity &amp; Growth Rates'!$D31*(1-'Model - Scarcity &amp; Growth Rates'!$I31)-'Model - Scarcity &amp; Growth Rates'!$I31)+(1-'Model - Supply'!B31)*('Model - Scarcity &amp; Growth Rates'!$E31*(1-'Model - Scarcity &amp; Growth Rates'!$I31)-'Model - Scarcity &amp; Growth Rates'!$I31)</f>
        <v>1.1849837979836519E-3</v>
      </c>
      <c r="F31" s="12">
        <f ca="1">C31*('Model - Scarcity &amp; Growth Rates'!$D31*(1-'Model - Scarcity &amp; Growth Rates'!$I31)-'Model - Scarcity &amp; Growth Rates'!$I31)+(1-'Model - Supply'!C31)*('Model - Scarcity &amp; Growth Rates'!$E31*(1-'Model - Scarcity &amp; Growth Rates'!$I31)-'Model - Scarcity &amp; Growth Rates'!$I31)</f>
        <v>-0.12903534747932099</v>
      </c>
      <c r="G31" s="12">
        <f ca="1">D31*('Model - Scarcity &amp; Growth Rates'!$D31*(1-'Model - Scarcity &amp; Growth Rates'!$I31)-'Model - Scarcity &amp; Growth Rates'!$I31)+(1-'Model - Supply'!D31)*('Model - Scarcity &amp; Growth Rates'!$E31*(1-'Model - Scarcity &amp; Growth Rates'!$I31)-'Model - Scarcity &amp; Growth Rates'!$I31)</f>
        <v>1.1849837979836519E-3</v>
      </c>
      <c r="H31" s="12">
        <f ca="1">'Model - Scarcity &amp; Growth Rates'!J31</f>
        <v>0.15285762810064921</v>
      </c>
      <c r="I31" s="21">
        <f ca="1">(1+E30)*I30*(1-(SUM(I$5:I30)/'Static Parameters'!C$17)^2)</f>
        <v>226.96257447661782</v>
      </c>
      <c r="J31" s="21">
        <f ca="1">(1+F30)*J30*(1-(SUM(J$5:J30)/'Static Parameters'!D$17)^2)</f>
        <v>16.344907790308145</v>
      </c>
      <c r="K31" s="21">
        <f ca="1">(1+G30)*K30*(1-(SUM(K$5:K30)/'Static Parameters'!E$17)^2)</f>
        <v>23.583708128270196</v>
      </c>
      <c r="L31" s="21">
        <f ca="1">(1+H30)*L30*(1-(SUM(L$5:L30)/'Static Parameters'!F$17)^2)</f>
        <v>27.066685910095178</v>
      </c>
      <c r="M31" s="21">
        <f ca="1">I31*B31*'Static Parameters'!C$15</f>
        <v>52.2013921296221</v>
      </c>
      <c r="N31" s="21">
        <f ca="1">J31*C31*'Static Parameters'!D$15</f>
        <v>2.6190256098509428</v>
      </c>
      <c r="O31" s="21">
        <f ca="1">K31*D31*'Static Parameters'!E$15</f>
        <v>5.6600899507848466</v>
      </c>
      <c r="P31" s="63">
        <f t="shared" ca="1" si="11"/>
        <v>27.066685910095178</v>
      </c>
      <c r="Q31" s="40">
        <f t="shared" ca="1" si="12"/>
        <v>0</v>
      </c>
      <c r="R31" s="40">
        <f t="shared" ca="1" si="13"/>
        <v>4.9578399213910016</v>
      </c>
      <c r="S31" s="40">
        <f t="shared" ca="1" si="14"/>
        <v>0</v>
      </c>
      <c r="T31" s="64">
        <f ca="1">I31*'Static Parameters'!C$19/(44/12)/1000</f>
        <v>5.9608625242086264</v>
      </c>
      <c r="U31" s="64">
        <f ca="1">J31*'Static Parameters'!D$19/(44/12)/1000</f>
        <v>0.32674956573534186</v>
      </c>
      <c r="V31" s="64">
        <f ca="1">K31*'Static Parameters'!E$19/(44/12)/1000</f>
        <v>0.36083073436253404</v>
      </c>
      <c r="W31" s="64">
        <f ca="1">MAX(0,AC30*'Model - Scarcity &amp; Growth Rates'!$J30*(1-'Model - Supply'!Z30/'Static Parameters'!C$25)+'Model - Supply'!Z30/'Static Parameters'!C$27)</f>
        <v>4.6455354247868978</v>
      </c>
      <c r="X31" s="64">
        <f ca="1">MAX(0,AD30*'Model - Scarcity &amp; Growth Rates'!$J30*(1-'Model - Supply'!AA30/'Static Parameters'!D$25)+'Model - Supply'!AA30/'Static Parameters'!D$27)</f>
        <v>9.7772282780783417</v>
      </c>
      <c r="Y31" s="64">
        <f ca="1">MAX(0,AE30*'Model - Scarcity &amp; Growth Rates'!$J30*(1-'Model - Supply'!AB30/'Static Parameters'!E$25)+'Model - Supply'!AB30/'Static Parameters'!E$27)</f>
        <v>1.4358060324461754</v>
      </c>
      <c r="Z31" s="64">
        <f ca="1">Z30+W31-Z30/'Static Parameters'!C$27</f>
        <v>36.219735584548253</v>
      </c>
      <c r="AA31" s="64">
        <f ca="1">AA30+X31-AA30/'Static Parameters'!D$27</f>
        <v>69.95927013044647</v>
      </c>
      <c r="AB31" s="64">
        <f ca="1">AB30+Y31-AB30/'Static Parameters'!E$27</f>
        <v>44.200176453908803</v>
      </c>
      <c r="AC31" s="64">
        <f ca="1">Z31-W31*'Static Parameters'!C$27/'Static Parameters'!C$26</f>
        <v>28.477176543236759</v>
      </c>
      <c r="AD31" s="64">
        <f ca="1">AA31-X31*'Static Parameters'!D$27/'Static Parameters'!D$26</f>
        <v>57.737734782848541</v>
      </c>
      <c r="AE31" s="64">
        <f ca="1">AB31-Y31*'Static Parameters'!E$27/'Static Parameters'!E$26</f>
        <v>42.661812847716469</v>
      </c>
      <c r="AF31" s="64">
        <f ca="1">AG30*'Model - Scarcity &amp; Growth Rates'!K30*(1-'Model - Supply'!AF30/'Static Parameters'!C$33)+'Model - Supply'!AF30</f>
        <v>85.182117167832587</v>
      </c>
      <c r="AG31" s="64">
        <f ca="1">AF31-AF31/'Static Parameters'!$C$34</f>
        <v>42.591058583916293</v>
      </c>
      <c r="AH31" s="64">
        <f t="shared" ca="1" si="15"/>
        <v>216.42391777415486</v>
      </c>
      <c r="AI31" s="64">
        <f t="shared" ca="1" si="16"/>
        <v>47.548898505307292</v>
      </c>
      <c r="AJ31" s="64">
        <f t="shared" ca="1" si="5"/>
        <v>52.2013921296221</v>
      </c>
      <c r="AK31" s="64">
        <f t="shared" ca="1" si="6"/>
        <v>7.5768655312419444</v>
      </c>
      <c r="AL31" s="64">
        <f t="shared" ca="1" si="7"/>
        <v>5.6600899507848466</v>
      </c>
      <c r="AM31" s="64">
        <f t="shared" ca="1" si="8"/>
        <v>27.066685910095178</v>
      </c>
      <c r="AN31" s="64">
        <f t="shared" ca="1" si="9"/>
        <v>128.87672417380176</v>
      </c>
      <c r="AO31" s="64">
        <f t="shared" ca="1" si="10"/>
        <v>42.591058583916293</v>
      </c>
    </row>
    <row r="32" spans="1:41" x14ac:dyDescent="0.35">
      <c r="A32" s="13">
        <v>2050</v>
      </c>
      <c r="B32" s="12">
        <f ca="1">MAX(0,MIN(1,B31*(1+'Model - Scarcity &amp; Growth Rates'!$D31-'Model - Scarcity &amp; Growth Rates'!$E31)))</f>
        <v>1</v>
      </c>
      <c r="C32" s="12">
        <f ca="1">MAX(0,MIN(1,C31*(1+'Model - Scarcity &amp; Growth Rates'!$D31-'Model - Scarcity &amp; Growth Rates'!$E31)))</f>
        <v>1</v>
      </c>
      <c r="D32" s="12">
        <f ca="1">MAX(0,MIN(1,D31*(1+'Model - Scarcity &amp; Growth Rates'!$D31-'Model - Scarcity &amp; Growth Rates'!$E31)))</f>
        <v>1</v>
      </c>
      <c r="E32" s="12">
        <f ca="1">B32*('Model - Scarcity &amp; Growth Rates'!$D32*(1-'Model - Scarcity &amp; Growth Rates'!$I32)-'Model - Scarcity &amp; Growth Rates'!$I32)+(1-'Model - Supply'!B32)*('Model - Scarcity &amp; Growth Rates'!$E32*(1-'Model - Scarcity &amp; Growth Rates'!$I32)-'Model - Scarcity &amp; Growth Rates'!$I32)</f>
        <v>-1.7580189126965656E-2</v>
      </c>
      <c r="F32" s="12">
        <f ca="1">C32*('Model - Scarcity &amp; Growth Rates'!$D32*(1-'Model - Scarcity &amp; Growth Rates'!$I32)-'Model - Scarcity &amp; Growth Rates'!$I32)+(1-'Model - Supply'!C32)*('Model - Scarcity &amp; Growth Rates'!$E32*(1-'Model - Scarcity &amp; Growth Rates'!$I32)-'Model - Scarcity &amp; Growth Rates'!$I32)</f>
        <v>-1.7580189126965656E-2</v>
      </c>
      <c r="G32" s="12">
        <f ca="1">D32*('Model - Scarcity &amp; Growth Rates'!$D32*(1-'Model - Scarcity &amp; Growth Rates'!$I32)-'Model - Scarcity &amp; Growth Rates'!$I32)+(1-'Model - Supply'!D32)*('Model - Scarcity &amp; Growth Rates'!$E32*(1-'Model - Scarcity &amp; Growth Rates'!$I32)-'Model - Scarcity &amp; Growth Rates'!$I32)</f>
        <v>-1.7580189126965656E-2</v>
      </c>
      <c r="H32" s="12">
        <f ca="1">'Model - Scarcity &amp; Growth Rates'!J32</f>
        <v>0.13708440825091772</v>
      </c>
      <c r="I32" s="21">
        <f ca="1">(1+E31)*I31*(1-(SUM(I$5:I31)/'Static Parameters'!C$17)^2)</f>
        <v>211.60072682693482</v>
      </c>
      <c r="J32" s="21">
        <f ca="1">(1+F31)*J31*(1-(SUM(J$5:J31)/'Static Parameters'!D$17)^2)</f>
        <v>12.75175056725555</v>
      </c>
      <c r="K32" s="21">
        <f ca="1">(1+G31)*K31*(1-(SUM(K$5:K31)/'Static Parameters'!E$17)^2)</f>
        <v>19.068493482146092</v>
      </c>
      <c r="L32" s="21">
        <f ca="1">(1+H31)*L31*(1-(SUM(L$5:L31)/'Static Parameters'!F$17)^2)</f>
        <v>23.605146720664052</v>
      </c>
      <c r="M32" s="21">
        <f ca="1">I32*B32*'Static Parameters'!C$15</f>
        <v>48.668167170195012</v>
      </c>
      <c r="N32" s="21">
        <f ca="1">J32*C32*'Static Parameters'!D$15</f>
        <v>2.9329026304687766</v>
      </c>
      <c r="O32" s="21">
        <f ca="1">K32*D32*'Static Parameters'!E$15</f>
        <v>4.5764384357150618</v>
      </c>
      <c r="P32" s="63">
        <f t="shared" ca="1" si="11"/>
        <v>23.605146720664052</v>
      </c>
      <c r="Q32" s="40">
        <f t="shared" ca="1" si="12"/>
        <v>0</v>
      </c>
      <c r="R32" s="40">
        <f t="shared" ca="1" si="13"/>
        <v>0</v>
      </c>
      <c r="S32" s="40">
        <f t="shared" ca="1" si="14"/>
        <v>0</v>
      </c>
      <c r="T32" s="64">
        <f ca="1">I32*'Static Parameters'!C$19/(44/12)/1000</f>
        <v>5.55740454366377</v>
      </c>
      <c r="U32" s="64">
        <f ca="1">J32*'Static Parameters'!D$19/(44/12)/1000</f>
        <v>0.25491908633995414</v>
      </c>
      <c r="V32" s="64">
        <f ca="1">K32*'Static Parameters'!E$19/(44/12)/1000</f>
        <v>0.2917479502768352</v>
      </c>
      <c r="W32" s="64">
        <f ca="1">MAX(0,AC31*'Model - Scarcity &amp; Growth Rates'!$J31*(1-'Model - Supply'!Z31/'Static Parameters'!C$25)+'Model - Supply'!Z31/'Static Parameters'!C$27)</f>
        <v>5.013428931645576</v>
      </c>
      <c r="X32" s="64">
        <f ca="1">MAX(0,AD31*'Model - Scarcity &amp; Growth Rates'!$J31*(1-'Model - Supply'!AA31/'Static Parameters'!D$25)+'Model - Supply'!AA31/'Static Parameters'!D$27)</f>
        <v>10.741972202237648</v>
      </c>
      <c r="Y32" s="64">
        <f ca="1">MAX(0,AE31*'Model - Scarcity &amp; Growth Rates'!$J31*(1-'Model - Supply'!AB31/'Static Parameters'!E$25)+'Model - Supply'!AB31/'Static Parameters'!E$27)</f>
        <v>1.3457699608812528</v>
      </c>
      <c r="Z32" s="64">
        <f ca="1">Z31+W32-Z31/'Static Parameters'!C$27</f>
        <v>39.784375092811899</v>
      </c>
      <c r="AA32" s="64">
        <f ca="1">AA31+X32-AA31/'Static Parameters'!D$27</f>
        <v>77.90287152746626</v>
      </c>
      <c r="AB32" s="64">
        <f ca="1">AB31+Y32-AB31/'Static Parameters'!E$27</f>
        <v>44.956610728737942</v>
      </c>
      <c r="AC32" s="64">
        <f ca="1">Z32-W32*'Static Parameters'!C$27/'Static Parameters'!C$26</f>
        <v>31.428660206735941</v>
      </c>
      <c r="AD32" s="64">
        <f ca="1">AA32-X32*'Static Parameters'!D$27/'Static Parameters'!D$26</f>
        <v>64.475406274669197</v>
      </c>
      <c r="AE32" s="64">
        <f ca="1">AB32-Y32*'Static Parameters'!E$27/'Static Parameters'!E$26</f>
        <v>43.514714342079458</v>
      </c>
      <c r="AF32" s="64">
        <f ca="1">AG31*'Model - Scarcity &amp; Growth Rates'!K31*(1-'Model - Supply'!AF31/'Static Parameters'!C$33)+'Model - Supply'!AF31</f>
        <v>76.832384227221382</v>
      </c>
      <c r="AG32" s="64">
        <f ca="1">AF32-AF32/'Static Parameters'!$C$34</f>
        <v>38.416192113610691</v>
      </c>
      <c r="AH32" s="64">
        <f t="shared" ca="1" si="15"/>
        <v>219.2014357805275</v>
      </c>
      <c r="AI32" s="64">
        <f t="shared" ca="1" si="16"/>
        <v>38.416192113610691</v>
      </c>
      <c r="AJ32" s="64">
        <f t="shared" ca="1" si="5"/>
        <v>48.668167170195012</v>
      </c>
      <c r="AK32" s="64">
        <f t="shared" ca="1" si="6"/>
        <v>2.9329026304687766</v>
      </c>
      <c r="AL32" s="64">
        <f t="shared" ca="1" si="7"/>
        <v>4.5764384357150618</v>
      </c>
      <c r="AM32" s="64">
        <f t="shared" ca="1" si="8"/>
        <v>23.605146720664052</v>
      </c>
      <c r="AN32" s="64">
        <f t="shared" ca="1" si="9"/>
        <v>139.41878082348461</v>
      </c>
      <c r="AO32" s="64">
        <f t="shared" ca="1" si="10"/>
        <v>38.416192113610691</v>
      </c>
    </row>
    <row r="33" spans="1:41" x14ac:dyDescent="0.35">
      <c r="A33" s="13">
        <v>2051</v>
      </c>
      <c r="B33" s="12">
        <f ca="1">MAX(0,MIN(1,B32*(1+'Model - Scarcity &amp; Growth Rates'!$D32-'Model - Scarcity &amp; Growth Rates'!$E32)))</f>
        <v>1</v>
      </c>
      <c r="C33" s="12">
        <f ca="1">MAX(0,MIN(1,C32*(1+'Model - Scarcity &amp; Growth Rates'!$D32-'Model - Scarcity &amp; Growth Rates'!$E32)))</f>
        <v>1</v>
      </c>
      <c r="D33" s="12">
        <f ca="1">MAX(0,MIN(1,D32*(1+'Model - Scarcity &amp; Growth Rates'!$D32-'Model - Scarcity &amp; Growth Rates'!$E32)))</f>
        <v>1</v>
      </c>
      <c r="E33" s="12">
        <f ca="1">B33*('Model - Scarcity &amp; Growth Rates'!$D33*(1-'Model - Scarcity &amp; Growth Rates'!$I33)-'Model - Scarcity &amp; Growth Rates'!$I33)+(1-'Model - Supply'!B33)*('Model - Scarcity &amp; Growth Rates'!$E33*(1-'Model - Scarcity &amp; Growth Rates'!$I33)-'Model - Scarcity &amp; Growth Rates'!$I33)</f>
        <v>-3.4863250660146311E-2</v>
      </c>
      <c r="F33" s="12">
        <f ca="1">C33*('Model - Scarcity &amp; Growth Rates'!$D33*(1-'Model - Scarcity &amp; Growth Rates'!$I33)-'Model - Scarcity &amp; Growth Rates'!$I33)+(1-'Model - Supply'!C33)*('Model - Scarcity &amp; Growth Rates'!$E33*(1-'Model - Scarcity &amp; Growth Rates'!$I33)-'Model - Scarcity &amp; Growth Rates'!$I33)</f>
        <v>-3.4863250660146311E-2</v>
      </c>
      <c r="G33" s="12">
        <f ca="1">D33*('Model - Scarcity &amp; Growth Rates'!$D33*(1-'Model - Scarcity &amp; Growth Rates'!$I33)-'Model - Scarcity &amp; Growth Rates'!$I33)+(1-'Model - Supply'!D33)*('Model - Scarcity &amp; Growth Rates'!$E33*(1-'Model - Scarcity &amp; Growth Rates'!$I33)-'Model - Scarcity &amp; Growth Rates'!$I33)</f>
        <v>-3.4863250660146311E-2</v>
      </c>
      <c r="H33" s="12">
        <f ca="1">'Model - Scarcity &amp; Growth Rates'!J33</f>
        <v>0.12274524350080027</v>
      </c>
      <c r="I33" s="21">
        <f ca="1">(1+E32)*I32*(1-(SUM(I$5:I32)/'Static Parameters'!C$17)^2)</f>
        <v>192.65107083626344</v>
      </c>
      <c r="J33" s="21">
        <f ca="1">(1+F32)*J32*(1-(SUM(J$5:J32)/'Static Parameters'!D$17)^2)</f>
        <v>11.210480682433337</v>
      </c>
      <c r="K33" s="21">
        <f ca="1">(1+G32)*K32*(1-(SUM(K$5:K32)/'Static Parameters'!E$17)^2)</f>
        <v>15.083688369951412</v>
      </c>
      <c r="L33" s="21">
        <f ca="1">(1+H32)*L32*(1-(SUM(L$5:L32)/'Static Parameters'!F$17)^2)</f>
        <v>19.798932615457783</v>
      </c>
      <c r="M33" s="21">
        <f ca="1">I33*B33*'Static Parameters'!C$15</f>
        <v>44.309746292340591</v>
      </c>
      <c r="N33" s="21">
        <f ca="1">J33*C33*'Static Parameters'!D$15</f>
        <v>2.5784105569596676</v>
      </c>
      <c r="O33" s="21">
        <f ca="1">K33*D33*'Static Parameters'!E$15</f>
        <v>3.6200852087883386</v>
      </c>
      <c r="P33" s="63">
        <f t="shared" ca="1" si="11"/>
        <v>19.798932615457783</v>
      </c>
      <c r="Q33" s="40">
        <f t="shared" ca="1" si="12"/>
        <v>0</v>
      </c>
      <c r="R33" s="40">
        <f t="shared" ca="1" si="13"/>
        <v>0</v>
      </c>
      <c r="S33" s="40">
        <f t="shared" ca="1" si="14"/>
        <v>0</v>
      </c>
      <c r="T33" s="64">
        <f ca="1">I33*'Static Parameters'!C$19/(44/12)/1000</f>
        <v>5.0597176695087738</v>
      </c>
      <c r="U33" s="64">
        <f ca="1">J33*'Static Parameters'!D$19/(44/12)/1000</f>
        <v>0.22410770018791734</v>
      </c>
      <c r="V33" s="64">
        <f ca="1">K33*'Static Parameters'!E$19/(44/12)/1000</f>
        <v>0.23078043206025664</v>
      </c>
      <c r="W33" s="64">
        <f ca="1">MAX(0,AC32*'Model - Scarcity &amp; Growth Rates'!$J32*(1-'Model - Supply'!Z32/'Static Parameters'!C$25)+'Model - Supply'!Z32/'Static Parameters'!C$27)</f>
        <v>5.042723402379103</v>
      </c>
      <c r="X33" s="64">
        <f ca="1">MAX(0,AD32*'Model - Scarcity &amp; Growth Rates'!$J32*(1-'Model - Supply'!AA32/'Static Parameters'!D$25)+'Model - Supply'!AA32/'Static Parameters'!D$27)</f>
        <v>10.971044619351268</v>
      </c>
      <c r="Y33" s="64">
        <f ca="1">MAX(0,AE32*'Model - Scarcity &amp; Growth Rates'!$J32*(1-'Model - Supply'!AB32/'Static Parameters'!E$25)+'Model - Supply'!AB32/'Static Parameters'!E$27)</f>
        <v>1.2011168669188856</v>
      </c>
      <c r="Z33" s="64">
        <f ca="1">Z32+W33-Z32/'Static Parameters'!C$27</f>
        <v>43.235723491478524</v>
      </c>
      <c r="AA33" s="64">
        <f ca="1">AA32+X33-AA32/'Static Parameters'!D$27</f>
        <v>85.75780128571887</v>
      </c>
      <c r="AB33" s="64">
        <f ca="1">AB32+Y33-AB32/'Static Parameters'!E$27</f>
        <v>45.558306119273659</v>
      </c>
      <c r="AC33" s="64">
        <f ca="1">Z33-W33*'Static Parameters'!C$27/'Static Parameters'!C$26</f>
        <v>34.831184487513354</v>
      </c>
      <c r="AD33" s="64">
        <f ca="1">AA33-X33*'Static Parameters'!D$27/'Static Parameters'!D$26</f>
        <v>72.043995511529786</v>
      </c>
      <c r="AE33" s="64">
        <f ca="1">AB33-Y33*'Static Parameters'!E$27/'Static Parameters'!E$26</f>
        <v>44.271395190431996</v>
      </c>
      <c r="AF33" s="64">
        <f ca="1">AG32*'Model - Scarcity &amp; Growth Rates'!K32*(1-'Model - Supply'!AF32/'Static Parameters'!C$33)+'Model - Supply'!AF32</f>
        <v>74.702692740215554</v>
      </c>
      <c r="AG33" s="64">
        <f ca="1">AF33-AF33/'Static Parameters'!$C$34</f>
        <v>37.351346370107777</v>
      </c>
      <c r="AH33" s="64">
        <f t="shared" ca="1" si="15"/>
        <v>221.45374986302153</v>
      </c>
      <c r="AI33" s="64">
        <f t="shared" ca="1" si="16"/>
        <v>37.351346370107777</v>
      </c>
      <c r="AJ33" s="64">
        <f t="shared" ca="1" si="5"/>
        <v>44.309746292340591</v>
      </c>
      <c r="AK33" s="64">
        <f t="shared" ca="1" si="6"/>
        <v>2.5784105569596676</v>
      </c>
      <c r="AL33" s="64">
        <f t="shared" ca="1" si="7"/>
        <v>3.6200852087883386</v>
      </c>
      <c r="AM33" s="64">
        <f t="shared" ca="1" si="8"/>
        <v>19.798932615457783</v>
      </c>
      <c r="AN33" s="64">
        <f t="shared" ca="1" si="9"/>
        <v>151.14657518947513</v>
      </c>
      <c r="AO33" s="64">
        <f t="shared" ca="1" si="10"/>
        <v>37.351346370107777</v>
      </c>
    </row>
    <row r="34" spans="1:41" x14ac:dyDescent="0.35">
      <c r="A34" s="13">
        <v>2052</v>
      </c>
      <c r="B34" s="12">
        <f ca="1">MAX(0,MIN(1,B33*(1+'Model - Scarcity &amp; Growth Rates'!$D33-'Model - Scarcity &amp; Growth Rates'!$E33)))</f>
        <v>1</v>
      </c>
      <c r="C34" s="12">
        <f ca="1">MAX(0,MIN(1,C33*(1+'Model - Scarcity &amp; Growth Rates'!$D33-'Model - Scarcity &amp; Growth Rates'!$E33)))</f>
        <v>1</v>
      </c>
      <c r="D34" s="12">
        <f ca="1">MAX(0,MIN(1,D33*(1+'Model - Scarcity &amp; Growth Rates'!$D33-'Model - Scarcity &amp; Growth Rates'!$E33)))</f>
        <v>1</v>
      </c>
      <c r="E34" s="12">
        <f ca="1">B34*('Model - Scarcity &amp; Growth Rates'!$D34*(1-'Model - Scarcity &amp; Growth Rates'!$I34)-'Model - Scarcity &amp; Growth Rates'!$I34)+(1-'Model - Supply'!B34)*('Model - Scarcity &amp; Growth Rates'!$E34*(1-'Model - Scarcity &amp; Growth Rates'!$I34)-'Model - Scarcity &amp; Growth Rates'!$I34)</f>
        <v>-5.0167502159025698E-2</v>
      </c>
      <c r="F34" s="12">
        <f ca="1">C34*('Model - Scarcity &amp; Growth Rates'!$D34*(1-'Model - Scarcity &amp; Growth Rates'!$I34)-'Model - Scarcity &amp; Growth Rates'!$I34)+(1-'Model - Supply'!C34)*('Model - Scarcity &amp; Growth Rates'!$E34*(1-'Model - Scarcity &amp; Growth Rates'!$I34)-'Model - Scarcity &amp; Growth Rates'!$I34)</f>
        <v>-5.0167502159025698E-2</v>
      </c>
      <c r="G34" s="12">
        <f ca="1">D34*('Model - Scarcity &amp; Growth Rates'!$D34*(1-'Model - Scarcity &amp; Growth Rates'!$I34)-'Model - Scarcity &amp; Growth Rates'!$I34)+(1-'Model - Supply'!D34)*('Model - Scarcity &amp; Growth Rates'!$E34*(1-'Model - Scarcity &amp; Growth Rates'!$I34)-'Model - Scarcity &amp; Growth Rates'!$I34)</f>
        <v>-5.0167502159025698E-2</v>
      </c>
      <c r="H34" s="12">
        <f ca="1">'Model - Scarcity &amp; Growth Rates'!J34</f>
        <v>0.11042670168844745</v>
      </c>
      <c r="I34" s="21">
        <f ca="1">(1+E33)*I33*(1-(SUM(I$5:I33)/'Static Parameters'!C$17)^2)</f>
        <v>171.53266140282579</v>
      </c>
      <c r="J34" s="21">
        <f ca="1">(1+F33)*J33*(1-(SUM(J$5:J33)/'Static Parameters'!D$17)^2)</f>
        <v>9.6736633326001389</v>
      </c>
      <c r="K34" s="21">
        <f ca="1">(1+G33)*K33*(1-(SUM(K$5:K33)/'Static Parameters'!E$17)^2)</f>
        <v>11.693833094018981</v>
      </c>
      <c r="L34" s="21">
        <f ca="1">(1+H33)*L33*(1-(SUM(L$5:L33)/'Static Parameters'!F$17)^2)</f>
        <v>16.033718743144476</v>
      </c>
      <c r="M34" s="21">
        <f ca="1">I34*B34*'Static Parameters'!C$15</f>
        <v>39.452512122649935</v>
      </c>
      <c r="N34" s="21">
        <f ca="1">J34*C34*'Static Parameters'!D$15</f>
        <v>2.224942566498032</v>
      </c>
      <c r="O34" s="21">
        <f ca="1">K34*D34*'Static Parameters'!E$15</f>
        <v>2.8065199425645551</v>
      </c>
      <c r="P34" s="63">
        <f t="shared" ca="1" si="11"/>
        <v>16.033718743144476</v>
      </c>
      <c r="Q34" s="40">
        <f t="shared" ca="1" si="12"/>
        <v>0</v>
      </c>
      <c r="R34" s="40">
        <f t="shared" ca="1" si="13"/>
        <v>0</v>
      </c>
      <c r="S34" s="40">
        <f t="shared" ca="1" si="14"/>
        <v>0</v>
      </c>
      <c r="T34" s="64">
        <f ca="1">I34*'Static Parameters'!C$19/(44/12)/1000</f>
        <v>4.5050714435705794</v>
      </c>
      <c r="U34" s="64">
        <f ca="1">J34*'Static Parameters'!D$19/(44/12)/1000</f>
        <v>0.19338532425807006</v>
      </c>
      <c r="V34" s="64">
        <f ca="1">K34*'Static Parameters'!E$19/(44/12)/1000</f>
        <v>0.17891564633849044</v>
      </c>
      <c r="W34" s="64">
        <f ca="1">MAX(0,AC33*'Model - Scarcity &amp; Growth Rates'!$J33*(1-'Model - Supply'!Z33/'Static Parameters'!C$25)+'Model - Supply'!Z33/'Static Parameters'!C$27)</f>
        <v>5.0805492668611736</v>
      </c>
      <c r="X34" s="64">
        <f ca="1">MAX(0,AD33*'Model - Scarcity &amp; Growth Rates'!$J33*(1-'Model - Supply'!AA33/'Static Parameters'!D$25)+'Model - Supply'!AA33/'Static Parameters'!D$27)</f>
        <v>11.189996693040596</v>
      </c>
      <c r="Y34" s="64">
        <f ca="1">MAX(0,AE33*'Model - Scarcity &amp; Growth Rates'!$J33*(1-'Model - Supply'!AB33/'Static Parameters'!E$25)+'Model - Supply'!AB33/'Static Parameters'!E$27)</f>
        <v>1.0901765386731923</v>
      </c>
      <c r="Z34" s="64">
        <f ca="1">Z33+W34-Z33/'Static Parameters'!C$27</f>
        <v>46.586843818680556</v>
      </c>
      <c r="AA34" s="64">
        <f ca="1">AA33+X34-AA33/'Static Parameters'!D$27</f>
        <v>93.517485927330711</v>
      </c>
      <c r="AB34" s="64">
        <f ca="1">AB33+Y34-AB33/'Static Parameters'!E$27</f>
        <v>46.041038576356534</v>
      </c>
      <c r="AC34" s="64">
        <f ca="1">Z34-W34*'Static Parameters'!C$27/'Static Parameters'!C$26</f>
        <v>38.119261707245265</v>
      </c>
      <c r="AD34" s="64">
        <f ca="1">AA34-X34*'Static Parameters'!D$27/'Static Parameters'!D$26</f>
        <v>79.529990061029963</v>
      </c>
      <c r="AE34" s="64">
        <f ca="1">AB34-Y34*'Static Parameters'!E$27/'Static Parameters'!E$26</f>
        <v>44.872992284920969</v>
      </c>
      <c r="AF34" s="64">
        <f ca="1">AG33*'Model - Scarcity &amp; Growth Rates'!K33*(1-'Model - Supply'!AF33/'Static Parameters'!C$33)+'Model - Supply'!AF33</f>
        <v>73.147558293011556</v>
      </c>
      <c r="AG34" s="64">
        <f ca="1">AF34-AF34/'Static Parameters'!$C$34</f>
        <v>36.573779146505778</v>
      </c>
      <c r="AH34" s="64">
        <f t="shared" ca="1" si="15"/>
        <v>223.03993742805321</v>
      </c>
      <c r="AI34" s="64">
        <f t="shared" ca="1" si="16"/>
        <v>36.573779146505778</v>
      </c>
      <c r="AJ34" s="64">
        <f t="shared" ca="1" si="5"/>
        <v>39.452512122649935</v>
      </c>
      <c r="AK34" s="64">
        <f t="shared" ca="1" si="6"/>
        <v>2.224942566498032</v>
      </c>
      <c r="AL34" s="64">
        <f t="shared" ca="1" si="7"/>
        <v>2.8065199425645551</v>
      </c>
      <c r="AM34" s="64">
        <f t="shared" ca="1" si="8"/>
        <v>16.033718743144476</v>
      </c>
      <c r="AN34" s="64">
        <f t="shared" ca="1" si="9"/>
        <v>162.5222440531962</v>
      </c>
      <c r="AO34" s="64">
        <f t="shared" ca="1" si="10"/>
        <v>36.573779146505778</v>
      </c>
    </row>
    <row r="35" spans="1:41" x14ac:dyDescent="0.35">
      <c r="A35" s="13">
        <v>2053</v>
      </c>
      <c r="B35" s="12">
        <f ca="1">MAX(0,MIN(1,B34*(1+'Model - Scarcity &amp; Growth Rates'!$D34-'Model - Scarcity &amp; Growth Rates'!$E34)))</f>
        <v>1</v>
      </c>
      <c r="C35" s="12">
        <f ca="1">MAX(0,MIN(1,C34*(1+'Model - Scarcity &amp; Growth Rates'!$D34-'Model - Scarcity &amp; Growth Rates'!$E34)))</f>
        <v>1</v>
      </c>
      <c r="D35" s="12">
        <f ca="1">MAX(0,MIN(1,D34*(1+'Model - Scarcity &amp; Growth Rates'!$D34-'Model - Scarcity &amp; Growth Rates'!$E34)))</f>
        <v>1</v>
      </c>
      <c r="E35" s="12">
        <f ca="1">B35*('Model - Scarcity &amp; Growth Rates'!$D35*(1-'Model - Scarcity &amp; Growth Rates'!$I35)-'Model - Scarcity &amp; Growth Rates'!$I35)+(1-'Model - Supply'!B35)*('Model - Scarcity &amp; Growth Rates'!$E35*(1-'Model - Scarcity &amp; Growth Rates'!$I35)-'Model - Scarcity &amp; Growth Rates'!$I35)</f>
        <v>-6.5913912135918157E-2</v>
      </c>
      <c r="F35" s="12">
        <f ca="1">C35*('Model - Scarcity &amp; Growth Rates'!$D35*(1-'Model - Scarcity &amp; Growth Rates'!$I35)-'Model - Scarcity &amp; Growth Rates'!$I35)+(1-'Model - Supply'!C35)*('Model - Scarcity &amp; Growth Rates'!$E35*(1-'Model - Scarcity &amp; Growth Rates'!$I35)-'Model - Scarcity &amp; Growth Rates'!$I35)</f>
        <v>-6.5913912135918157E-2</v>
      </c>
      <c r="G35" s="12">
        <f ca="1">D35*('Model - Scarcity &amp; Growth Rates'!$D35*(1-'Model - Scarcity &amp; Growth Rates'!$I35)-'Model - Scarcity &amp; Growth Rates'!$I35)+(1-'Model - Supply'!D35)*('Model - Scarcity &amp; Growth Rates'!$E35*(1-'Model - Scarcity &amp; Growth Rates'!$I35)-'Model - Scarcity &amp; Growth Rates'!$I35)</f>
        <v>-6.5913912135918157E-2</v>
      </c>
      <c r="H35" s="12">
        <f ca="1">'Model - Scarcity &amp; Growth Rates'!J35</f>
        <v>9.7299724013727662E-2</v>
      </c>
      <c r="I35" s="21">
        <f ca="1">(1+E34)*I34*(1-(SUM(I$5:I34)/'Static Parameters'!C$17)^2)</f>
        <v>149.68275699321799</v>
      </c>
      <c r="J35" s="21">
        <f ca="1">(1+F34)*J34*(1-(SUM(J$5:J34)/'Static Parameters'!D$17)^2)</f>
        <v>8.2089396121949907</v>
      </c>
      <c r="K35" s="21">
        <f ca="1">(1+G34)*K34*(1-(SUM(K$5:K34)/'Static Parameters'!E$17)^2)</f>
        <v>8.9054922513290613</v>
      </c>
      <c r="L35" s="21">
        <f ca="1">(1+H34)*L34*(1-(SUM(L$5:L34)/'Static Parameters'!F$17)^2)</f>
        <v>12.599981122064012</v>
      </c>
      <c r="M35" s="21">
        <f ca="1">I35*B35*'Static Parameters'!C$15</f>
        <v>34.427034108440139</v>
      </c>
      <c r="N35" s="21">
        <f ca="1">J35*C35*'Static Parameters'!D$15</f>
        <v>1.8880561108048479</v>
      </c>
      <c r="O35" s="21">
        <f ca="1">K35*D35*'Static Parameters'!E$15</f>
        <v>2.1373181403189747</v>
      </c>
      <c r="P35" s="63">
        <f t="shared" ca="1" si="11"/>
        <v>12.599981122064012</v>
      </c>
      <c r="Q35" s="40">
        <f t="shared" ca="1" si="12"/>
        <v>0</v>
      </c>
      <c r="R35" s="40">
        <f t="shared" ca="1" si="13"/>
        <v>0</v>
      </c>
      <c r="S35" s="40">
        <f t="shared" ca="1" si="14"/>
        <v>0</v>
      </c>
      <c r="T35" s="64">
        <f ca="1">I35*'Static Parameters'!C$19/(44/12)/1000</f>
        <v>3.9312134995764256</v>
      </c>
      <c r="U35" s="64">
        <f ca="1">J35*'Static Parameters'!D$19/(44/12)/1000</f>
        <v>0.16410416552015258</v>
      </c>
      <c r="V35" s="64">
        <f ca="1">K35*'Static Parameters'!E$19/(44/12)/1000</f>
        <v>0.13625403144533466</v>
      </c>
      <c r="W35" s="64">
        <f ca="1">MAX(0,AC34*'Model - Scarcity &amp; Growth Rates'!$J34*(1-'Model - Supply'!Z34/'Static Parameters'!C$25)+'Model - Supply'!Z34/'Static Parameters'!C$27)</f>
        <v>5.0923484395119782</v>
      </c>
      <c r="X35" s="64">
        <f ca="1">MAX(0,AD34*'Model - Scarcity &amp; Growth Rates'!$J34*(1-'Model - Supply'!AA34/'Static Parameters'!D$25)+'Model - Supply'!AA34/'Static Parameters'!D$27)</f>
        <v>11.349658938963341</v>
      </c>
      <c r="Y35" s="64">
        <f ca="1">MAX(0,AE34*'Model - Scarcity &amp; Growth Rates'!$J34*(1-'Model - Supply'!AB34/'Static Parameters'!E$25)+'Model - Supply'!AB34/'Static Parameters'!E$27)</f>
        <v>1.0062275691744953</v>
      </c>
      <c r="Z35" s="64">
        <f ca="1">Z34+W35-Z34/'Static Parameters'!C$27</f>
        <v>49.815718505445311</v>
      </c>
      <c r="AA35" s="64">
        <f ca="1">AA34+X35-AA34/'Static Parameters'!D$27</f>
        <v>101.12644542920083</v>
      </c>
      <c r="AB35" s="64">
        <f ca="1">AB34+Y35-AB34/'Static Parameters'!E$27</f>
        <v>46.433385631179611</v>
      </c>
      <c r="AC35" s="64">
        <f ca="1">Z35-W35*'Static Parameters'!C$27/'Static Parameters'!C$26</f>
        <v>41.328471106258682</v>
      </c>
      <c r="AD35" s="64">
        <f ca="1">AA35-X35*'Static Parameters'!D$27/'Static Parameters'!D$26</f>
        <v>86.939371755496651</v>
      </c>
      <c r="AE35" s="64">
        <f ca="1">AB35-Y35*'Static Parameters'!E$27/'Static Parameters'!E$26</f>
        <v>45.355284664206934</v>
      </c>
      <c r="AF35" s="64">
        <f ca="1">AG34*'Model - Scarcity &amp; Growth Rates'!K34*(1-'Model - Supply'!AF34/'Static Parameters'!C$33)+'Model - Supply'!AF34</f>
        <v>71.95544180020741</v>
      </c>
      <c r="AG35" s="64">
        <f ca="1">AF35-AF35/'Static Parameters'!$C$34</f>
        <v>35.977720900103705</v>
      </c>
      <c r="AH35" s="64">
        <f t="shared" ca="1" si="15"/>
        <v>224.6755170075902</v>
      </c>
      <c r="AI35" s="64">
        <f t="shared" ca="1" si="16"/>
        <v>35.977720900103705</v>
      </c>
      <c r="AJ35" s="64">
        <f t="shared" ca="1" si="5"/>
        <v>34.427034108440139</v>
      </c>
      <c r="AK35" s="64">
        <f t="shared" ca="1" si="6"/>
        <v>1.8880561108048479</v>
      </c>
      <c r="AL35" s="64">
        <f t="shared" ca="1" si="7"/>
        <v>2.1373181403189747</v>
      </c>
      <c r="AM35" s="64">
        <f t="shared" ca="1" si="8"/>
        <v>12.599981122064012</v>
      </c>
      <c r="AN35" s="64">
        <f t="shared" ca="1" si="9"/>
        <v>173.62312752596227</v>
      </c>
      <c r="AO35" s="64">
        <f t="shared" ca="1" si="10"/>
        <v>35.977720900103705</v>
      </c>
    </row>
    <row r="36" spans="1:41" x14ac:dyDescent="0.35">
      <c r="A36" s="13">
        <v>2054</v>
      </c>
      <c r="B36" s="12">
        <f ca="1">MAX(0,MIN(1,B35*(1+'Model - Scarcity &amp; Growth Rates'!$D35-'Model - Scarcity &amp; Growth Rates'!$E35)))</f>
        <v>1</v>
      </c>
      <c r="C36" s="12">
        <f ca="1">MAX(0,MIN(1,C35*(1+'Model - Scarcity &amp; Growth Rates'!$D35-'Model - Scarcity &amp; Growth Rates'!$E35)))</f>
        <v>1</v>
      </c>
      <c r="D36" s="12">
        <f ca="1">MAX(0,MIN(1,D35*(1+'Model - Scarcity &amp; Growth Rates'!$D35-'Model - Scarcity &amp; Growth Rates'!$E35)))</f>
        <v>1</v>
      </c>
      <c r="E36" s="12">
        <f ca="1">B36*('Model - Scarcity &amp; Growth Rates'!$D36*(1-'Model - Scarcity &amp; Growth Rates'!$I36)-'Model - Scarcity &amp; Growth Rates'!$I36)+(1-'Model - Supply'!B36)*('Model - Scarcity &amp; Growth Rates'!$E36*(1-'Model - Scarcity &amp; Growth Rates'!$I36)-'Model - Scarcity &amp; Growth Rates'!$I36)</f>
        <v>-8.3358963152395216E-2</v>
      </c>
      <c r="F36" s="12">
        <f ca="1">C36*('Model - Scarcity &amp; Growth Rates'!$D36*(1-'Model - Scarcity &amp; Growth Rates'!$I36)-'Model - Scarcity &amp; Growth Rates'!$I36)+(1-'Model - Supply'!C36)*('Model - Scarcity &amp; Growth Rates'!$E36*(1-'Model - Scarcity &amp; Growth Rates'!$I36)-'Model - Scarcity &amp; Growth Rates'!$I36)</f>
        <v>-8.3358963152395216E-2</v>
      </c>
      <c r="G36" s="12">
        <f ca="1">D36*('Model - Scarcity &amp; Growth Rates'!$D36*(1-'Model - Scarcity &amp; Growth Rates'!$I36)-'Model - Scarcity &amp; Growth Rates'!$I36)+(1-'Model - Supply'!D36)*('Model - Scarcity &amp; Growth Rates'!$E36*(1-'Model - Scarcity &amp; Growth Rates'!$I36)-'Model - Scarcity &amp; Growth Rates'!$I36)</f>
        <v>-8.3358963152395216E-2</v>
      </c>
      <c r="H36" s="12">
        <f ca="1">'Model - Scarcity &amp; Growth Rates'!J36</f>
        <v>8.1858294783666977E-2</v>
      </c>
      <c r="I36" s="21">
        <f ca="1">(1+E35)*I35*(1-(SUM(I$5:I35)/'Static Parameters'!C$17)^2)</f>
        <v>127.97239070054358</v>
      </c>
      <c r="J36" s="21">
        <f ca="1">(1+F35)*J35*(1-(SUM(J$5:J35)/'Static Parameters'!D$17)^2)</f>
        <v>6.8460960422654908</v>
      </c>
      <c r="K36" s="21">
        <f ca="1">(1+G35)*K35*(1-(SUM(K$5:K35)/'Static Parameters'!E$17)^2)</f>
        <v>6.6601133984029204</v>
      </c>
      <c r="L36" s="21">
        <f ca="1">(1+H35)*L35*(1-(SUM(L$5:L35)/'Static Parameters'!F$17)^2)</f>
        <v>9.633667751595798</v>
      </c>
      <c r="M36" s="21">
        <f ca="1">I36*B36*'Static Parameters'!C$15</f>
        <v>29.433649861125026</v>
      </c>
      <c r="N36" s="21">
        <f ca="1">J36*C36*'Static Parameters'!D$15</f>
        <v>1.5746020897210629</v>
      </c>
      <c r="O36" s="21">
        <f ca="1">K36*D36*'Static Parameters'!E$15</f>
        <v>1.5984272156167008</v>
      </c>
      <c r="P36" s="63">
        <f t="shared" ca="1" si="11"/>
        <v>9.633667751595798</v>
      </c>
      <c r="Q36" s="40">
        <f t="shared" ca="1" si="12"/>
        <v>0</v>
      </c>
      <c r="R36" s="40">
        <f t="shared" ca="1" si="13"/>
        <v>0</v>
      </c>
      <c r="S36" s="40">
        <f t="shared" ca="1" si="14"/>
        <v>0</v>
      </c>
      <c r="T36" s="64">
        <f ca="1">I36*'Static Parameters'!C$19/(44/12)/1000</f>
        <v>3.3610203339442766</v>
      </c>
      <c r="U36" s="64">
        <f ca="1">J36*'Static Parameters'!D$19/(44/12)/1000</f>
        <v>0.13685968360856193</v>
      </c>
      <c r="V36" s="64">
        <f ca="1">K36*'Static Parameters'!E$19/(44/12)/1000</f>
        <v>0.10189973499556469</v>
      </c>
      <c r="W36" s="64">
        <f ca="1">MAX(0,AC35*'Model - Scarcity &amp; Growth Rates'!$J35*(1-'Model - Supply'!Z35/'Static Parameters'!C$25)+'Model - Supply'!Z35/'Static Parameters'!C$27)</f>
        <v>5.01227057335322</v>
      </c>
      <c r="X36" s="64">
        <f ca="1">MAX(0,AD35*'Model - Scarcity &amp; Growth Rates'!$J35*(1-'Model - Supply'!AA35/'Static Parameters'!D$25)+'Model - Supply'!AA35/'Static Parameters'!D$27)</f>
        <v>11.282168282187016</v>
      </c>
      <c r="Y36" s="64">
        <f ca="1">MAX(0,AE35*'Model - Scarcity &amp; Growth Rates'!$J35*(1-'Model - Supply'!AB35/'Static Parameters'!E$25)+'Model - Supply'!AB35/'Static Parameters'!E$27)</f>
        <v>0.93390523574978257</v>
      </c>
      <c r="Z36" s="64">
        <f ca="1">Z35+W36-Z35/'Static Parameters'!C$27</f>
        <v>52.83536033858072</v>
      </c>
      <c r="AA36" s="64">
        <f ca="1">AA35+X36-AA35/'Static Parameters'!D$27</f>
        <v>108.36355589421981</v>
      </c>
      <c r="AB36" s="64">
        <f ca="1">AB35+Y36-AB35/'Static Parameters'!E$27</f>
        <v>46.748179058513664</v>
      </c>
      <c r="AC36" s="64">
        <f ca="1">Z36-W36*'Static Parameters'!C$27/'Static Parameters'!C$26</f>
        <v>44.481576049658685</v>
      </c>
      <c r="AD36" s="64">
        <f ca="1">AA36-X36*'Static Parameters'!D$27/'Static Parameters'!D$26</f>
        <v>94.260845541486049</v>
      </c>
      <c r="AE36" s="64">
        <f ca="1">AB36-Y36*'Static Parameters'!E$27/'Static Parameters'!E$26</f>
        <v>45.747566305924607</v>
      </c>
      <c r="AF36" s="64">
        <f ca="1">AG35*'Model - Scarcity &amp; Growth Rates'!K35*(1-'Model - Supply'!AF35/'Static Parameters'!C$33)+'Model - Supply'!AF35</f>
        <v>70.990857617006768</v>
      </c>
      <c r="AG36" s="64">
        <f ca="1">AF36-AF36/'Static Parameters'!$C$34</f>
        <v>35.495428808503384</v>
      </c>
      <c r="AH36" s="64">
        <f t="shared" ca="1" si="15"/>
        <v>226.73033481512792</v>
      </c>
      <c r="AI36" s="64">
        <f t="shared" ca="1" si="16"/>
        <v>35.495428808503384</v>
      </c>
      <c r="AJ36" s="64">
        <f t="shared" ca="1" si="5"/>
        <v>29.433649861125026</v>
      </c>
      <c r="AK36" s="64">
        <f t="shared" ca="1" si="6"/>
        <v>1.5746020897210629</v>
      </c>
      <c r="AL36" s="64">
        <f t="shared" ca="1" si="7"/>
        <v>1.5984272156167008</v>
      </c>
      <c r="AM36" s="64">
        <f t="shared" ca="1" si="8"/>
        <v>9.633667751595798</v>
      </c>
      <c r="AN36" s="64">
        <f t="shared" ca="1" si="9"/>
        <v>184.48998789706934</v>
      </c>
      <c r="AO36" s="64">
        <f t="shared" ca="1" si="10"/>
        <v>35.495428808503384</v>
      </c>
    </row>
    <row r="37" spans="1:41" x14ac:dyDescent="0.35">
      <c r="A37" s="13">
        <v>2055</v>
      </c>
      <c r="B37" s="12">
        <f ca="1">MAX(0,MIN(1,B36*(1+'Model - Scarcity &amp; Growth Rates'!$D36-'Model - Scarcity &amp; Growth Rates'!$E36)))</f>
        <v>1</v>
      </c>
      <c r="C37" s="12">
        <f ca="1">MAX(0,MIN(1,C36*(1+'Model - Scarcity &amp; Growth Rates'!$D36-'Model - Scarcity &amp; Growth Rates'!$E36)))</f>
        <v>1</v>
      </c>
      <c r="D37" s="12">
        <f ca="1">MAX(0,MIN(1,D36*(1+'Model - Scarcity &amp; Growth Rates'!$D36-'Model - Scarcity &amp; Growth Rates'!$E36)))</f>
        <v>1</v>
      </c>
      <c r="E37" s="12">
        <f ca="1">B37*('Model - Scarcity &amp; Growth Rates'!$D37*(1-'Model - Scarcity &amp; Growth Rates'!$I37)-'Model - Scarcity &amp; Growth Rates'!$I37)+(1-'Model - Supply'!B37)*('Model - Scarcity &amp; Growth Rates'!$E37*(1-'Model - Scarcity &amp; Growth Rates'!$I37)-'Model - Scarcity &amp; Growth Rates'!$I37)</f>
        <v>-0.10233355302411418</v>
      </c>
      <c r="F37" s="12">
        <f ca="1">C37*('Model - Scarcity &amp; Growth Rates'!$D37*(1-'Model - Scarcity &amp; Growth Rates'!$I37)-'Model - Scarcity &amp; Growth Rates'!$I37)+(1-'Model - Supply'!C37)*('Model - Scarcity &amp; Growth Rates'!$E37*(1-'Model - Scarcity &amp; Growth Rates'!$I37)-'Model - Scarcity &amp; Growth Rates'!$I37)</f>
        <v>-0.10233355302411418</v>
      </c>
      <c r="G37" s="12">
        <f ca="1">D37*('Model - Scarcity &amp; Growth Rates'!$D37*(1-'Model - Scarcity &amp; Growth Rates'!$I37)-'Model - Scarcity &amp; Growth Rates'!$I37)+(1-'Model - Supply'!D37)*('Model - Scarcity &amp; Growth Rates'!$E37*(1-'Model - Scarcity &amp; Growth Rates'!$I37)-'Model - Scarcity &amp; Growth Rates'!$I37)</f>
        <v>-0.10233355302411418</v>
      </c>
      <c r="H37" s="12">
        <f ca="1">'Model - Scarcity &amp; Growth Rates'!J37</f>
        <v>6.4264375510753743E-2</v>
      </c>
      <c r="I37" s="21">
        <f ca="1">(1+E36)*I36*(1-(SUM(I$5:I36)/'Static Parameters'!C$17)^2)</f>
        <v>107.01790736911441</v>
      </c>
      <c r="J37" s="21">
        <f ca="1">(1+F36)*J36*(1-(SUM(J$5:J36)/'Static Parameters'!D$17)^2)</f>
        <v>5.5998583159758075</v>
      </c>
      <c r="K37" s="21">
        <f ca="1">(1+G36)*K36*(1-(SUM(K$5:K36)/'Static Parameters'!E$17)^2)</f>
        <v>4.8826363153729933</v>
      </c>
      <c r="L37" s="21">
        <f ca="1">(1+H36)*L36*(1-(SUM(L$5:L36)/'Static Parameters'!F$17)^2)</f>
        <v>7.1736702811948776</v>
      </c>
      <c r="M37" s="21">
        <f ca="1">I37*B37*'Static Parameters'!C$15</f>
        <v>24.614118694896316</v>
      </c>
      <c r="N37" s="21">
        <f ca="1">J37*C37*'Static Parameters'!D$15</f>
        <v>1.2879674126744358</v>
      </c>
      <c r="O37" s="21">
        <f ca="1">K37*D37*'Static Parameters'!E$15</f>
        <v>1.1718327156895183</v>
      </c>
      <c r="P37" s="63">
        <f t="shared" ca="1" si="11"/>
        <v>7.1736702811948776</v>
      </c>
      <c r="Q37" s="40">
        <f t="shared" ca="1" si="12"/>
        <v>0</v>
      </c>
      <c r="R37" s="40">
        <f t="shared" ca="1" si="13"/>
        <v>0</v>
      </c>
      <c r="S37" s="40">
        <f t="shared" ca="1" si="14"/>
        <v>0</v>
      </c>
      <c r="T37" s="64">
        <f ca="1">I37*'Static Parameters'!C$19/(44/12)/1000</f>
        <v>2.8106794035397415</v>
      </c>
      <c r="U37" s="64">
        <f ca="1">J37*'Static Parameters'!D$19/(44/12)/1000</f>
        <v>0.11194625851664364</v>
      </c>
      <c r="V37" s="64">
        <f ca="1">K37*'Static Parameters'!E$19/(44/12)/1000</f>
        <v>7.47043356252068E-2</v>
      </c>
      <c r="W37" s="64">
        <f ca="1">MAX(0,AC36*'Model - Scarcity &amp; Growth Rates'!$J36*(1-'Model - Supply'!Z36/'Static Parameters'!C$25)+'Model - Supply'!Z36/'Static Parameters'!C$27)</f>
        <v>4.7926835157307757</v>
      </c>
      <c r="X37" s="64">
        <f ca="1">MAX(0,AD36*'Model - Scarcity &amp; Growth Rates'!$J36*(1-'Model - Supply'!AA36/'Static Parameters'!D$25)+'Model - Supply'!AA36/'Static Parameters'!D$27)</f>
        <v>10.856093354262308</v>
      </c>
      <c r="Y37" s="64">
        <f ca="1">MAX(0,AE36*'Model - Scarcity &amp; Growth Rates'!$J36*(1-'Model - Supply'!AB36/'Static Parameters'!E$25)+'Model - Supply'!AB36/'Static Parameters'!E$27)</f>
        <v>0.8668585909340496</v>
      </c>
      <c r="Z37" s="64">
        <f ca="1">Z36+W37-Z36/'Static Parameters'!C$27</f>
        <v>55.514629440768275</v>
      </c>
      <c r="AA37" s="64">
        <f ca="1">AA36+X37-AA36/'Static Parameters'!D$27</f>
        <v>114.88510701271333</v>
      </c>
      <c r="AB37" s="64">
        <f ca="1">AB36+Y37-AB36/'Static Parameters'!E$27</f>
        <v>46.991728595334202</v>
      </c>
      <c r="AC37" s="64">
        <f ca="1">Z37-W37*'Static Parameters'!C$27/'Static Parameters'!C$26</f>
        <v>47.526823581216981</v>
      </c>
      <c r="AD37" s="64">
        <f ca="1">AA37-X37*'Static Parameters'!D$27/'Static Parameters'!D$26</f>
        <v>101.31499031988545</v>
      </c>
      <c r="AE37" s="64">
        <f ca="1">AB37-Y37*'Static Parameters'!E$27/'Static Parameters'!E$26</f>
        <v>46.062951533619149</v>
      </c>
      <c r="AF37" s="64">
        <f ca="1">AG36*'Model - Scarcity &amp; Growth Rates'!K36*(1-'Model - Supply'!AF36/'Static Parameters'!C$33)+'Model - Supply'!AF36</f>
        <v>70.16617335754502</v>
      </c>
      <c r="AG37" s="64">
        <f ca="1">AF37-AF37/'Static Parameters'!$C$34</f>
        <v>35.08308667877251</v>
      </c>
      <c r="AH37" s="64">
        <f t="shared" ca="1" si="15"/>
        <v>229.15235453917674</v>
      </c>
      <c r="AI37" s="64">
        <f t="shared" ca="1" si="16"/>
        <v>35.08308667877251</v>
      </c>
      <c r="AJ37" s="64">
        <f t="shared" ca="1" si="5"/>
        <v>24.614118694896316</v>
      </c>
      <c r="AK37" s="64">
        <f t="shared" ca="1" si="6"/>
        <v>1.2879674126744358</v>
      </c>
      <c r="AL37" s="64">
        <f t="shared" ca="1" si="7"/>
        <v>1.1718327156895183</v>
      </c>
      <c r="AM37" s="64">
        <f t="shared" ca="1" si="8"/>
        <v>7.1736702811948776</v>
      </c>
      <c r="AN37" s="64">
        <f t="shared" ca="1" si="9"/>
        <v>194.90476543472158</v>
      </c>
      <c r="AO37" s="64">
        <f t="shared" ca="1" si="10"/>
        <v>35.08308667877251</v>
      </c>
    </row>
    <row r="38" spans="1:41" x14ac:dyDescent="0.35">
      <c r="A38" s="13">
        <v>2056</v>
      </c>
      <c r="B38" s="12">
        <f ca="1">MAX(0,MIN(1,B37*(1+'Model - Scarcity &amp; Growth Rates'!$D37-'Model - Scarcity &amp; Growth Rates'!$E37)))</f>
        <v>1</v>
      </c>
      <c r="C38" s="12">
        <f ca="1">MAX(0,MIN(1,C37*(1+'Model - Scarcity &amp; Growth Rates'!$D37-'Model - Scarcity &amp; Growth Rates'!$E37)))</f>
        <v>1</v>
      </c>
      <c r="D38" s="12">
        <f ca="1">MAX(0,MIN(1,D37*(1+'Model - Scarcity &amp; Growth Rates'!$D37-'Model - Scarcity &amp; Growth Rates'!$E37)))</f>
        <v>1</v>
      </c>
      <c r="E38" s="12">
        <f ca="1">B38*('Model - Scarcity &amp; Growth Rates'!$D38*(1-'Model - Scarcity &amp; Growth Rates'!$I38)-'Model - Scarcity &amp; Growth Rates'!$I38)+(1-'Model - Supply'!B38)*('Model - Scarcity &amp; Growth Rates'!$E38*(1-'Model - Scarcity &amp; Growth Rates'!$I38)-'Model - Scarcity &amp; Growth Rates'!$I38)</f>
        <v>-0.1216949468677157</v>
      </c>
      <c r="F38" s="12">
        <f ca="1">C38*('Model - Scarcity &amp; Growth Rates'!$D38*(1-'Model - Scarcity &amp; Growth Rates'!$I38)-'Model - Scarcity &amp; Growth Rates'!$I38)+(1-'Model - Supply'!C38)*('Model - Scarcity &amp; Growth Rates'!$E38*(1-'Model - Scarcity &amp; Growth Rates'!$I38)-'Model - Scarcity &amp; Growth Rates'!$I38)</f>
        <v>-0.1216949468677157</v>
      </c>
      <c r="G38" s="12">
        <f ca="1">D38*('Model - Scarcity &amp; Growth Rates'!$D38*(1-'Model - Scarcity &amp; Growth Rates'!$I38)-'Model - Scarcity &amp; Growth Rates'!$I38)+(1-'Model - Supply'!D38)*('Model - Scarcity &amp; Growth Rates'!$E38*(1-'Model - Scarcity &amp; Growth Rates'!$I38)-'Model - Scarcity &amp; Growth Rates'!$I38)</f>
        <v>-0.1216949468677157</v>
      </c>
      <c r="H38" s="12">
        <f ca="1">'Model - Scarcity &amp; Growth Rates'!J38</f>
        <v>4.5849028992501609E-2</v>
      </c>
      <c r="I38" s="21">
        <f ca="1">(1+E37)*I37*(1-(SUM(I$5:I37)/'Static Parameters'!C$17)^2)</f>
        <v>87.398729552555977</v>
      </c>
      <c r="J38" s="21">
        <f ca="1">(1+F37)*J37*(1-(SUM(J$5:J37)/'Static Parameters'!D$17)^2)</f>
        <v>4.4836807242549463</v>
      </c>
      <c r="K38" s="21">
        <f ca="1">(1+G37)*K37*(1-(SUM(K$5:K37)/'Static Parameters'!E$17)^2)</f>
        <v>3.5026940578980366</v>
      </c>
      <c r="L38" s="21">
        <f ca="1">(1+H37)*L37*(1-(SUM(L$5:L37)/'Static Parameters'!F$17)^2)</f>
        <v>5.2061879168586209</v>
      </c>
      <c r="M38" s="21">
        <f ca="1">I38*B38*'Static Parameters'!C$15</f>
        <v>20.101707797087876</v>
      </c>
      <c r="N38" s="21">
        <f ca="1">J38*C38*'Static Parameters'!D$15</f>
        <v>1.0312465665786377</v>
      </c>
      <c r="O38" s="21">
        <f ca="1">K38*D38*'Static Parameters'!E$15</f>
        <v>0.84064657389552877</v>
      </c>
      <c r="P38" s="63">
        <f t="shared" ca="1" si="11"/>
        <v>5.2061879168586209</v>
      </c>
      <c r="Q38" s="40">
        <f t="shared" ca="1" si="12"/>
        <v>0</v>
      </c>
      <c r="R38" s="40">
        <f t="shared" ca="1" si="13"/>
        <v>0</v>
      </c>
      <c r="S38" s="40">
        <f t="shared" ca="1" si="14"/>
        <v>0</v>
      </c>
      <c r="T38" s="64">
        <f ca="1">I38*'Static Parameters'!C$19/(44/12)/1000</f>
        <v>2.2954084516121291</v>
      </c>
      <c r="U38" s="64">
        <f ca="1">J38*'Static Parameters'!D$19/(44/12)/1000</f>
        <v>8.9632853751242067E-2</v>
      </c>
      <c r="V38" s="64">
        <f ca="1">K38*'Static Parameters'!E$19/(44/12)/1000</f>
        <v>5.359121908583997E-2</v>
      </c>
      <c r="W38" s="64">
        <f ca="1">MAX(0,AC37*'Model - Scarcity &amp; Growth Rates'!$J37*(1-'Model - Supply'!Z37/'Static Parameters'!C$25)+'Model - Supply'!Z37/'Static Parameters'!C$27)</f>
        <v>4.427080248531654</v>
      </c>
      <c r="X38" s="64">
        <f ca="1">MAX(0,AD37*'Model - Scarcity &amp; Growth Rates'!$J37*(1-'Model - Supply'!AA37/'Static Parameters'!D$25)+'Model - Supply'!AA37/'Static Parameters'!D$27)</f>
        <v>10.037762341655235</v>
      </c>
      <c r="Y38" s="64">
        <f ca="1">MAX(0,AE37*'Model - Scarcity &amp; Growth Rates'!$J37*(1-'Model - Supply'!AB37/'Static Parameters'!E$25)+'Model - Supply'!AB37/'Static Parameters'!E$27)</f>
        <v>0.80465849150967372</v>
      </c>
      <c r="Z38" s="64">
        <f ca="1">Z37+W38-Z37/'Static Parameters'!C$27</f>
        <v>57.721124511669196</v>
      </c>
      <c r="AA38" s="64">
        <f ca="1">AA37+X38-AA37/'Static Parameters'!D$27</f>
        <v>120.32746507386004</v>
      </c>
      <c r="AB38" s="64">
        <f ca="1">AB37+Y38-AB37/'Static Parameters'!E$27</f>
        <v>47.169830705572757</v>
      </c>
      <c r="AC38" s="64">
        <f ca="1">Z38-W38*'Static Parameters'!C$27/'Static Parameters'!C$26</f>
        <v>50.342657430783106</v>
      </c>
      <c r="AD38" s="64">
        <f ca="1">AA38-X38*'Static Parameters'!D$27/'Static Parameters'!D$26</f>
        <v>107.780262146791</v>
      </c>
      <c r="AE38" s="64">
        <f ca="1">AB38-Y38*'Static Parameters'!E$27/'Static Parameters'!E$26</f>
        <v>46.30769660752668</v>
      </c>
      <c r="AF38" s="64">
        <f ca="1">AG37*'Model - Scarcity &amp; Growth Rates'!K37*(1-'Model - Supply'!AF37/'Static Parameters'!C$33)+'Model - Supply'!AF37</f>
        <v>69.424282441906712</v>
      </c>
      <c r="AG38" s="64">
        <f ca="1">AF38-AF38/'Static Parameters'!$C$34</f>
        <v>34.712141220953356</v>
      </c>
      <c r="AH38" s="64">
        <f t="shared" ca="1" si="15"/>
        <v>231.61040503952145</v>
      </c>
      <c r="AI38" s="64">
        <f t="shared" ca="1" si="16"/>
        <v>34.712141220953356</v>
      </c>
      <c r="AJ38" s="64">
        <f t="shared" ca="1" si="5"/>
        <v>20.101707797087876</v>
      </c>
      <c r="AK38" s="64">
        <f t="shared" ca="1" si="6"/>
        <v>1.0312465665786377</v>
      </c>
      <c r="AL38" s="64">
        <f t="shared" ca="1" si="7"/>
        <v>0.84064657389552877</v>
      </c>
      <c r="AM38" s="64">
        <f t="shared" ca="1" si="8"/>
        <v>5.2061879168586209</v>
      </c>
      <c r="AN38" s="64">
        <f t="shared" ca="1" si="9"/>
        <v>204.4306161851008</v>
      </c>
      <c r="AO38" s="64">
        <f t="shared" ca="1" si="10"/>
        <v>34.712141220953356</v>
      </c>
    </row>
    <row r="39" spans="1:41" x14ac:dyDescent="0.35">
      <c r="A39" s="13">
        <v>2057</v>
      </c>
      <c r="B39" s="12">
        <f ca="1">MAX(0,MIN(1,B38*(1+'Model - Scarcity &amp; Growth Rates'!$D38-'Model - Scarcity &amp; Growth Rates'!$E38)))</f>
        <v>1</v>
      </c>
      <c r="C39" s="12">
        <f ca="1">MAX(0,MIN(1,C38*(1+'Model - Scarcity &amp; Growth Rates'!$D38-'Model - Scarcity &amp; Growth Rates'!$E38)))</f>
        <v>1</v>
      </c>
      <c r="D39" s="12">
        <f ca="1">MAX(0,MIN(1,D38*(1+'Model - Scarcity &amp; Growth Rates'!$D38-'Model - Scarcity &amp; Growth Rates'!$E38)))</f>
        <v>1</v>
      </c>
      <c r="E39" s="12">
        <f ca="1">B39*('Model - Scarcity &amp; Growth Rates'!$D39*(1-'Model - Scarcity &amp; Growth Rates'!$I39)-'Model - Scarcity &amp; Growth Rates'!$I39)+(1-'Model - Supply'!B39)*('Model - Scarcity &amp; Growth Rates'!$E39*(1-'Model - Scarcity &amp; Growth Rates'!$I39)-'Model - Scarcity &amp; Growth Rates'!$I39)</f>
        <v>-0.13990983523524436</v>
      </c>
      <c r="F39" s="12">
        <f ca="1">C39*('Model - Scarcity &amp; Growth Rates'!$D39*(1-'Model - Scarcity &amp; Growth Rates'!$I39)-'Model - Scarcity &amp; Growth Rates'!$I39)+(1-'Model - Supply'!C39)*('Model - Scarcity &amp; Growth Rates'!$E39*(1-'Model - Scarcity &amp; Growth Rates'!$I39)-'Model - Scarcity &amp; Growth Rates'!$I39)</f>
        <v>-0.13990983523524436</v>
      </c>
      <c r="G39" s="12">
        <f ca="1">D39*('Model - Scarcity &amp; Growth Rates'!$D39*(1-'Model - Scarcity &amp; Growth Rates'!$I39)-'Model - Scarcity &amp; Growth Rates'!$I39)+(1-'Model - Supply'!D39)*('Model - Scarcity &amp; Growth Rates'!$E39*(1-'Model - Scarcity &amp; Growth Rates'!$I39)-'Model - Scarcity &amp; Growth Rates'!$I39)</f>
        <v>-0.13990983523524436</v>
      </c>
      <c r="H39" s="12">
        <f ca="1">'Model - Scarcity &amp; Growth Rates'!J39</f>
        <v>2.8439343424334552E-2</v>
      </c>
      <c r="I39" s="21">
        <f ca="1">(1+E38)*I38*(1-(SUM(I$5:I38)/'Static Parameters'!C$17)^2)</f>
        <v>69.675965235184819</v>
      </c>
      <c r="J39" s="21">
        <f ca="1">(1+F38)*J38*(1-(SUM(J$5:J38)/'Static Parameters'!D$17)^2)</f>
        <v>3.5113051924893552</v>
      </c>
      <c r="K39" s="21">
        <f ca="1">(1+G38)*K38*(1-(SUM(K$5:K38)/'Static Parameters'!E$17)^2)</f>
        <v>2.4571721058680831</v>
      </c>
      <c r="L39" s="21">
        <f ca="1">(1+H38)*L38*(1-(SUM(L$5:L38)/'Static Parameters'!F$17)^2)</f>
        <v>3.6874683605636212</v>
      </c>
      <c r="M39" s="21">
        <f ca="1">I39*B39*'Static Parameters'!C$15</f>
        <v>16.02547200409251</v>
      </c>
      <c r="N39" s="21">
        <f ca="1">J39*C39*'Static Parameters'!D$15</f>
        <v>0.8076001942725517</v>
      </c>
      <c r="O39" s="21">
        <f ca="1">K39*D39*'Static Parameters'!E$15</f>
        <v>0.58972130540833989</v>
      </c>
      <c r="P39" s="63">
        <f t="shared" ca="1" si="11"/>
        <v>3.6874683605636212</v>
      </c>
      <c r="Q39" s="40">
        <f t="shared" ca="1" si="12"/>
        <v>0</v>
      </c>
      <c r="R39" s="40">
        <f t="shared" ca="1" si="13"/>
        <v>0</v>
      </c>
      <c r="S39" s="40">
        <f t="shared" ca="1" si="14"/>
        <v>0</v>
      </c>
      <c r="T39" s="64">
        <f ca="1">I39*'Static Parameters'!C$19/(44/12)/1000</f>
        <v>1.8299442142222631</v>
      </c>
      <c r="U39" s="64">
        <f ca="1">J39*'Static Parameters'!D$19/(44/12)/1000</f>
        <v>7.0194182893491747E-2</v>
      </c>
      <c r="V39" s="64">
        <f ca="1">K39*'Static Parameters'!E$19/(44/12)/1000</f>
        <v>3.759473321978167E-2</v>
      </c>
      <c r="W39" s="64">
        <f ca="1">MAX(0,AC38*'Model - Scarcity &amp; Growth Rates'!$J38*(1-'Model - Supply'!Z38/'Static Parameters'!C$25)+'Model - Supply'!Z38/'Static Parameters'!C$27)</f>
        <v>3.9508584211091415</v>
      </c>
      <c r="X39" s="64">
        <f ca="1">MAX(0,AD38*'Model - Scarcity &amp; Growth Rates'!$J38*(1-'Model - Supply'!AA38/'Static Parameters'!D$25)+'Model - Supply'!AA38/'Static Parameters'!D$27)</f>
        <v>8.9052723215763336</v>
      </c>
      <c r="Y39" s="64">
        <f ca="1">MAX(0,AE38*'Model - Scarcity &amp; Growth Rates'!$J38*(1-'Model - Supply'!AB38/'Static Parameters'!E$25)+'Model - Supply'!AB38/'Static Parameters'!E$27)</f>
        <v>0.74910928638465812</v>
      </c>
      <c r="Z39" s="64">
        <f ca="1">Z38+W39-Z38/'Static Parameters'!C$27</f>
        <v>59.363137952311568</v>
      </c>
      <c r="AA39" s="64">
        <f ca="1">AA38+X39-AA38/'Static Parameters'!D$27</f>
        <v>124.41963879248198</v>
      </c>
      <c r="AB39" s="64">
        <f ca="1">AB38+Y39-AB38/'Static Parameters'!E$27</f>
        <v>47.290008915883114</v>
      </c>
      <c r="AC39" s="64">
        <f ca="1">Z39-W39*'Static Parameters'!C$27/'Static Parameters'!C$26</f>
        <v>52.778373917129663</v>
      </c>
      <c r="AD39" s="64">
        <f ca="1">AA39-X39*'Static Parameters'!D$27/'Static Parameters'!D$26</f>
        <v>113.28804839051156</v>
      </c>
      <c r="AE39" s="64">
        <f ca="1">AB39-Y39*'Static Parameters'!E$27/'Static Parameters'!E$26</f>
        <v>46.487391823328124</v>
      </c>
      <c r="AF39" s="64">
        <f ca="1">AG38*'Model - Scarcity &amp; Growth Rates'!K38*(1-'Model - Supply'!AF38/'Static Parameters'!C$33)+'Model - Supply'!AF38</f>
        <v>68.728365862597869</v>
      </c>
      <c r="AG39" s="64">
        <f ca="1">AF39-AF39/'Static Parameters'!$C$34</f>
        <v>34.364182931298934</v>
      </c>
      <c r="AH39" s="64">
        <f t="shared" ca="1" si="15"/>
        <v>233.66407599530638</v>
      </c>
      <c r="AI39" s="64">
        <f t="shared" ca="1" si="16"/>
        <v>34.364182931298934</v>
      </c>
      <c r="AJ39" s="64">
        <f t="shared" ca="1" si="5"/>
        <v>16.02547200409251</v>
      </c>
      <c r="AK39" s="64">
        <f t="shared" ca="1" si="6"/>
        <v>0.8076001942725517</v>
      </c>
      <c r="AL39" s="64">
        <f t="shared" ca="1" si="7"/>
        <v>0.58972130540833989</v>
      </c>
      <c r="AM39" s="64">
        <f t="shared" ca="1" si="8"/>
        <v>3.6874683605636212</v>
      </c>
      <c r="AN39" s="64">
        <f t="shared" ca="1" si="9"/>
        <v>212.55381413096936</v>
      </c>
      <c r="AO39" s="64">
        <f t="shared" ca="1" si="10"/>
        <v>34.364182931298934</v>
      </c>
    </row>
    <row r="40" spans="1:41" x14ac:dyDescent="0.35">
      <c r="A40" s="13">
        <v>2058</v>
      </c>
      <c r="B40" s="12">
        <f ca="1">MAX(0,MIN(1,B39*(1+'Model - Scarcity &amp; Growth Rates'!$D39-'Model - Scarcity &amp; Growth Rates'!$E39)))</f>
        <v>1</v>
      </c>
      <c r="C40" s="12">
        <f ca="1">MAX(0,MIN(1,C39*(1+'Model - Scarcity &amp; Growth Rates'!$D39-'Model - Scarcity &amp; Growth Rates'!$E39)))</f>
        <v>1</v>
      </c>
      <c r="D40" s="12">
        <f ca="1">MAX(0,MIN(1,D39*(1+'Model - Scarcity &amp; Growth Rates'!$D39-'Model - Scarcity &amp; Growth Rates'!$E39)))</f>
        <v>1</v>
      </c>
      <c r="E40" s="12">
        <f ca="1">B40*('Model - Scarcity &amp; Growth Rates'!$D40*(1-'Model - Scarcity &amp; Growth Rates'!$I40)-'Model - Scarcity &amp; Growth Rates'!$I40)+(1-'Model - Supply'!B40)*('Model - Scarcity &amp; Growth Rates'!$E40*(1-'Model - Scarcity &amp; Growth Rates'!$I40)-'Model - Scarcity &amp; Growth Rates'!$I40)</f>
        <v>-0.15556201120558008</v>
      </c>
      <c r="F40" s="12">
        <f ca="1">C40*('Model - Scarcity &amp; Growth Rates'!$D40*(1-'Model - Scarcity &amp; Growth Rates'!$I40)-'Model - Scarcity &amp; Growth Rates'!$I40)+(1-'Model - Supply'!C40)*('Model - Scarcity &amp; Growth Rates'!$E40*(1-'Model - Scarcity &amp; Growth Rates'!$I40)-'Model - Scarcity &amp; Growth Rates'!$I40)</f>
        <v>-0.15556201120558008</v>
      </c>
      <c r="G40" s="12">
        <f ca="1">D40*('Model - Scarcity &amp; Growth Rates'!$D40*(1-'Model - Scarcity &amp; Growth Rates'!$I40)-'Model - Scarcity &amp; Growth Rates'!$I40)+(1-'Model - Supply'!D40)*('Model - Scarcity &amp; Growth Rates'!$E40*(1-'Model - Scarcity &amp; Growth Rates'!$I40)-'Model - Scarcity &amp; Growth Rates'!$I40)</f>
        <v>-0.15556201120558008</v>
      </c>
      <c r="H40" s="12">
        <f ca="1">'Model - Scarcity &amp; Growth Rates'!J40</f>
        <v>1.3756011123932937E-2</v>
      </c>
      <c r="I40" s="21">
        <f ca="1">(1+E39)*I39*(1-(SUM(I$5:I39)/'Static Parameters'!C$17)^2)</f>
        <v>54.293944561033442</v>
      </c>
      <c r="J40" s="21">
        <f ca="1">(1+F39)*J39*(1-(SUM(J$5:J39)/'Static Parameters'!D$17)^2)</f>
        <v>2.6920317520849317</v>
      </c>
      <c r="K40" s="21">
        <f ca="1">(1+G39)*K39*(1-(SUM(K$5:K39)/'Static Parameters'!E$17)^2)</f>
        <v>1.687312558985492</v>
      </c>
      <c r="L40" s="21">
        <f ca="1">(1+H39)*L39*(1-(SUM(L$5:L39)/'Static Parameters'!F$17)^2)</f>
        <v>2.5556609886172885</v>
      </c>
      <c r="M40" s="21">
        <f ca="1">I40*B40*'Static Parameters'!C$15</f>
        <v>12.487607249037692</v>
      </c>
      <c r="N40" s="21">
        <f ca="1">J40*C40*'Static Parameters'!D$15</f>
        <v>0.61916730297953437</v>
      </c>
      <c r="O40" s="21">
        <f ca="1">K40*D40*'Static Parameters'!E$15</f>
        <v>0.40495501415651808</v>
      </c>
      <c r="P40" s="63">
        <f t="shared" ca="1" si="11"/>
        <v>2.5556609886172885</v>
      </c>
      <c r="Q40" s="40">
        <f t="shared" ca="1" si="12"/>
        <v>0</v>
      </c>
      <c r="R40" s="40">
        <f t="shared" ca="1" si="13"/>
        <v>0</v>
      </c>
      <c r="S40" s="40">
        <f t="shared" ca="1" si="14"/>
        <v>0</v>
      </c>
      <c r="T40" s="64">
        <f ca="1">I40*'Static Parameters'!C$19/(44/12)/1000</f>
        <v>1.4259564166984147</v>
      </c>
      <c r="U40" s="64">
        <f ca="1">J40*'Static Parameters'!D$19/(44/12)/1000</f>
        <v>5.3816162025770588E-2</v>
      </c>
      <c r="V40" s="64">
        <f ca="1">K40*'Static Parameters'!E$19/(44/12)/1000</f>
        <v>2.5815882152478032E-2</v>
      </c>
      <c r="W40" s="64">
        <f ca="1">MAX(0,AC39*'Model - Scarcity &amp; Growth Rates'!$J39*(1-'Model - Supply'!Z39/'Static Parameters'!C$25)+'Model - Supply'!Z39/'Static Parameters'!C$27)</f>
        <v>3.4299927222469515</v>
      </c>
      <c r="X40" s="64">
        <f ca="1">MAX(0,AD39*'Model - Scarcity &amp; Growth Rates'!$J39*(1-'Model - Supply'!AA39/'Static Parameters'!D$25)+'Model - Supply'!AA39/'Static Parameters'!D$27)</f>
        <v>7.6259662877066035</v>
      </c>
      <c r="Y40" s="64">
        <f ca="1">MAX(0,AE39*'Model - Scarcity &amp; Growth Rates'!$J39*(1-'Model - Supply'!AB39/'Static Parameters'!E$25)+'Model - Supply'!AB39/'Static Parameters'!E$27)</f>
        <v>0.70218945929549792</v>
      </c>
      <c r="Z40" s="64">
        <f ca="1">Z39+W40-Z39/'Static Parameters'!C$27</f>
        <v>60.418605156466057</v>
      </c>
      <c r="AA40" s="64">
        <f ca="1">AA39+X40-AA39/'Static Parameters'!D$27</f>
        <v>127.0688195284893</v>
      </c>
      <c r="AB40" s="64">
        <f ca="1">AB39+Y40-AB39/'Static Parameters'!E$27</f>
        <v>47.361664922966838</v>
      </c>
      <c r="AC40" s="64">
        <f ca="1">Z40-W40*'Static Parameters'!C$27/'Static Parameters'!C$26</f>
        <v>54.701950619387802</v>
      </c>
      <c r="AD40" s="64">
        <f ca="1">AA40-X40*'Static Parameters'!D$27/'Static Parameters'!D$26</f>
        <v>117.53636166885605</v>
      </c>
      <c r="AE40" s="64">
        <f ca="1">AB40-Y40*'Static Parameters'!E$27/'Static Parameters'!E$26</f>
        <v>46.609319073721664</v>
      </c>
      <c r="AF40" s="64">
        <f ca="1">AG39*'Model - Scarcity &amp; Growth Rates'!K39*(1-'Model - Supply'!AF39/'Static Parameters'!C$33)+'Model - Supply'!AF39</f>
        <v>68.054825926663554</v>
      </c>
      <c r="AG40" s="64">
        <f ca="1">AF40-AF40/'Static Parameters'!$C$34</f>
        <v>34.027412963331777</v>
      </c>
      <c r="AH40" s="64">
        <f t="shared" ca="1" si="15"/>
        <v>234.91502191675653</v>
      </c>
      <c r="AI40" s="64">
        <f t="shared" ca="1" si="16"/>
        <v>34.027412963331777</v>
      </c>
      <c r="AJ40" s="64">
        <f t="shared" ca="1" si="5"/>
        <v>12.487607249037692</v>
      </c>
      <c r="AK40" s="64">
        <f t="shared" ca="1" si="6"/>
        <v>0.61916730297953437</v>
      </c>
      <c r="AL40" s="64">
        <f t="shared" ca="1" si="7"/>
        <v>0.40495501415651808</v>
      </c>
      <c r="AM40" s="64">
        <f t="shared" ca="1" si="8"/>
        <v>2.5556609886172885</v>
      </c>
      <c r="AN40" s="64">
        <f t="shared" ca="1" si="9"/>
        <v>218.84763136196551</v>
      </c>
      <c r="AO40" s="64">
        <f t="shared" ca="1" si="10"/>
        <v>34.027412963331777</v>
      </c>
    </row>
    <row r="41" spans="1:41" x14ac:dyDescent="0.35">
      <c r="A41" s="13">
        <v>2059</v>
      </c>
      <c r="B41" s="12">
        <f ca="1">MAX(0,MIN(1,B40*(1+'Model - Scarcity &amp; Growth Rates'!$D40-'Model - Scarcity &amp; Growth Rates'!$E40)))</f>
        <v>1</v>
      </c>
      <c r="C41" s="12">
        <f ca="1">MAX(0,MIN(1,C40*(1+'Model - Scarcity &amp; Growth Rates'!$D40-'Model - Scarcity &amp; Growth Rates'!$E40)))</f>
        <v>1</v>
      </c>
      <c r="D41" s="12">
        <f ca="1">MAX(0,MIN(1,D40*(1+'Model - Scarcity &amp; Growth Rates'!$D40-'Model - Scarcity &amp; Growth Rates'!$E40)))</f>
        <v>1</v>
      </c>
      <c r="E41" s="12">
        <f ca="1">B41*('Model - Scarcity &amp; Growth Rates'!$D41*(1-'Model - Scarcity &amp; Growth Rates'!$I41)-'Model - Scarcity &amp; Growth Rates'!$I41)+(1-'Model - Supply'!B41)*('Model - Scarcity &amp; Growth Rates'!$E41*(1-'Model - Scarcity &amp; Growth Rates'!$I41)-'Model - Scarcity &amp; Growth Rates'!$I41)</f>
        <v>-0.16776241482844162</v>
      </c>
      <c r="F41" s="12">
        <f ca="1">C41*('Model - Scarcity &amp; Growth Rates'!$D41*(1-'Model - Scarcity &amp; Growth Rates'!$I41)-'Model - Scarcity &amp; Growth Rates'!$I41)+(1-'Model - Supply'!C41)*('Model - Scarcity &amp; Growth Rates'!$E41*(1-'Model - Scarcity &amp; Growth Rates'!$I41)-'Model - Scarcity &amp; Growth Rates'!$I41)</f>
        <v>-0.16776241482844162</v>
      </c>
      <c r="G41" s="12">
        <f ca="1">D41*('Model - Scarcity &amp; Growth Rates'!$D41*(1-'Model - Scarcity &amp; Growth Rates'!$I41)-'Model - Scarcity &amp; Growth Rates'!$I41)+(1-'Model - Supply'!D41)*('Model - Scarcity &amp; Growth Rates'!$E41*(1-'Model - Scarcity &amp; Growth Rates'!$I41)-'Model - Scarcity &amp; Growth Rates'!$I41)</f>
        <v>-0.16776241482844162</v>
      </c>
      <c r="H41" s="12">
        <f ca="1">'Model - Scarcity &amp; Growth Rates'!J41</f>
        <v>2.9130592954629275E-3</v>
      </c>
      <c r="I41" s="21">
        <f ca="1">(1+E40)*I40*(1-(SUM(I$5:I40)/'Static Parameters'!C$17)^2)</f>
        <v>41.47704141020786</v>
      </c>
      <c r="J41" s="21">
        <f ca="1">(1+F40)*J40*(1-(SUM(J$5:J40)/'Static Parameters'!D$17)^2)</f>
        <v>2.025922142031142</v>
      </c>
      <c r="K41" s="21">
        <f ca="1">(1+G40)*K40*(1-(SUM(K$5:K40)/'Static Parameters'!E$17)^2)</f>
        <v>1.1372633638246343</v>
      </c>
      <c r="L41" s="21">
        <f ca="1">(1+H40)*L40*(1-(SUM(L$5:L40)/'Static Parameters'!F$17)^2)</f>
        <v>1.7399422380883689</v>
      </c>
      <c r="M41" s="21">
        <f ca="1">I41*B41*'Static Parameters'!C$15</f>
        <v>9.5397195243478077</v>
      </c>
      <c r="N41" s="21">
        <f ca="1">J41*C41*'Static Parameters'!D$15</f>
        <v>0.46596209266716265</v>
      </c>
      <c r="O41" s="21">
        <f ca="1">K41*D41*'Static Parameters'!E$15</f>
        <v>0.27294320731791222</v>
      </c>
      <c r="P41" s="63">
        <f t="shared" ca="1" si="11"/>
        <v>1.7399422380883689</v>
      </c>
      <c r="Q41" s="40">
        <f t="shared" ca="1" si="12"/>
        <v>0</v>
      </c>
      <c r="R41" s="40">
        <f t="shared" ca="1" si="13"/>
        <v>0</v>
      </c>
      <c r="S41" s="40">
        <f t="shared" ca="1" si="14"/>
        <v>0</v>
      </c>
      <c r="T41" s="64">
        <f ca="1">I41*'Static Parameters'!C$19/(44/12)/1000</f>
        <v>1.0893379330371866</v>
      </c>
      <c r="U41" s="64">
        <f ca="1">J41*'Static Parameters'!D$19/(44/12)/1000</f>
        <v>4.0500025366604374E-2</v>
      </c>
      <c r="V41" s="64">
        <f ca="1">K41*'Static Parameters'!E$19/(44/12)/1000</f>
        <v>1.7400129466516905E-2</v>
      </c>
      <c r="W41" s="64">
        <f ca="1">MAX(0,AC40*'Model - Scarcity &amp; Growth Rates'!$J40*(1-'Model - Supply'!Z40/'Static Parameters'!C$25)+'Model - Supply'!Z40/'Static Parameters'!C$27)</f>
        <v>2.9419056937306522</v>
      </c>
      <c r="X41" s="64">
        <f ca="1">MAX(0,AD40*'Model - Scarcity &amp; Growth Rates'!$J40*(1-'Model - Supply'!AA40/'Static Parameters'!D$25)+'Model - Supply'!AA40/'Static Parameters'!D$27)</f>
        <v>6.4060858941494327</v>
      </c>
      <c r="Y41" s="64">
        <f ca="1">MAX(0,AE40*'Model - Scarcity &amp; Growth Rates'!$J40*(1-'Model - Supply'!AB40/'Static Parameters'!E$25)+'Model - Supply'!AB40/'Static Parameters'!E$27)</f>
        <v>0.66532067491108116</v>
      </c>
      <c r="Z41" s="64">
        <f ca="1">Z40+W41-Z40/'Static Parameters'!C$27</f>
        <v>60.943766643938069</v>
      </c>
      <c r="AA41" s="64">
        <f ca="1">AA40+X41-AA40/'Static Parameters'!D$27</f>
        <v>128.39215264149917</v>
      </c>
      <c r="AB41" s="64">
        <f ca="1">AB40+Y41-AB40/'Static Parameters'!E$27</f>
        <v>47.395496732238357</v>
      </c>
      <c r="AC41" s="64">
        <f ca="1">Z41-W41*'Static Parameters'!C$27/'Static Parameters'!C$26</f>
        <v>56.040590487720316</v>
      </c>
      <c r="AD41" s="64">
        <f ca="1">AA41-X41*'Static Parameters'!D$27/'Static Parameters'!D$26</f>
        <v>120.38454527381238</v>
      </c>
      <c r="AE41" s="64">
        <f ca="1">AB41-Y41*'Static Parameters'!E$27/'Static Parameters'!E$26</f>
        <v>46.682653151976481</v>
      </c>
      <c r="AF41" s="64">
        <f ca="1">AG40*'Model - Scarcity &amp; Growth Rates'!K40*(1-'Model - Supply'!AF40/'Static Parameters'!C$33)+'Model - Supply'!AF40</f>
        <v>67.3888018914936</v>
      </c>
      <c r="AG41" s="64">
        <f ca="1">AF41-AF41/'Static Parameters'!$C$34</f>
        <v>33.6944009457468</v>
      </c>
      <c r="AH41" s="64">
        <f t="shared" ca="1" si="15"/>
        <v>235.12635597593044</v>
      </c>
      <c r="AI41" s="64">
        <f t="shared" ca="1" si="16"/>
        <v>33.6944009457468</v>
      </c>
      <c r="AJ41" s="64">
        <f t="shared" ca="1" si="5"/>
        <v>9.5397195243478077</v>
      </c>
      <c r="AK41" s="64">
        <f t="shared" ca="1" si="6"/>
        <v>0.46596209266716265</v>
      </c>
      <c r="AL41" s="64">
        <f t="shared" ca="1" si="7"/>
        <v>0.27294320731791222</v>
      </c>
      <c r="AM41" s="64">
        <f t="shared" ca="1" si="8"/>
        <v>1.7399422380883689</v>
      </c>
      <c r="AN41" s="64">
        <f t="shared" ca="1" si="9"/>
        <v>223.10778891350918</v>
      </c>
      <c r="AO41" s="64">
        <f t="shared" ca="1" si="10"/>
        <v>33.6944009457468</v>
      </c>
    </row>
    <row r="42" spans="1:41" x14ac:dyDescent="0.35">
      <c r="A42" s="13">
        <v>2060</v>
      </c>
      <c r="B42" s="12">
        <f ca="1">MAX(0,MIN(1,B41*(1+'Model - Scarcity &amp; Growth Rates'!$D41-'Model - Scarcity &amp; Growth Rates'!$E41)))</f>
        <v>1</v>
      </c>
      <c r="C42" s="12">
        <f ca="1">MAX(0,MIN(1,C41*(1+'Model - Scarcity &amp; Growth Rates'!$D41-'Model - Scarcity &amp; Growth Rates'!$E41)))</f>
        <v>1</v>
      </c>
      <c r="D42" s="12">
        <f ca="1">MAX(0,MIN(1,D41*(1+'Model - Scarcity &amp; Growth Rates'!$D41-'Model - Scarcity &amp; Growth Rates'!$E41)))</f>
        <v>1</v>
      </c>
      <c r="E42" s="12">
        <f ca="1">B42*('Model - Scarcity &amp; Growth Rates'!$D42*(1-'Model - Scarcity &amp; Growth Rates'!$I42)-'Model - Scarcity &amp; Growth Rates'!$I42)+(1-'Model - Supply'!B42)*('Model - Scarcity &amp; Growth Rates'!$E42*(1-'Model - Scarcity &amp; Growth Rates'!$I42)-'Model - Scarcity &amp; Growth Rates'!$I42)</f>
        <v>-0.17641591510530641</v>
      </c>
      <c r="F42" s="12">
        <f ca="1">C42*('Model - Scarcity &amp; Growth Rates'!$D42*(1-'Model - Scarcity &amp; Growth Rates'!$I42)-'Model - Scarcity &amp; Growth Rates'!$I42)+(1-'Model - Supply'!C42)*('Model - Scarcity &amp; Growth Rates'!$E42*(1-'Model - Scarcity &amp; Growth Rates'!$I42)-'Model - Scarcity &amp; Growth Rates'!$I42)</f>
        <v>-0.17641591510530641</v>
      </c>
      <c r="G42" s="12">
        <f ca="1">D42*('Model - Scarcity &amp; Growth Rates'!$D42*(1-'Model - Scarcity &amp; Growth Rates'!$I42)-'Model - Scarcity &amp; Growth Rates'!$I42)+(1-'Model - Supply'!D42)*('Model - Scarcity &amp; Growth Rates'!$E42*(1-'Model - Scarcity &amp; Growth Rates'!$I42)-'Model - Scarcity &amp; Growth Rates'!$I42)</f>
        <v>-0.17641591510530641</v>
      </c>
      <c r="H42" s="12">
        <f ca="1">'Model - Scarcity &amp; Growth Rates'!J42</f>
        <v>-3.9198216527735526E-3</v>
      </c>
      <c r="I42" s="21">
        <f ca="1">(1+E41)*I41*(1-(SUM(I$5:I41)/'Static Parameters'!C$17)^2)</f>
        <v>31.192799966376441</v>
      </c>
      <c r="J42" s="21">
        <f ca="1">(1+F41)*J41*(1-(SUM(J$5:J41)/'Static Parameters'!D$17)^2)</f>
        <v>1.5023633361827149</v>
      </c>
      <c r="K42" s="21">
        <f ca="1">(1+G41)*K41*(1-(SUM(K$5:K41)/'Static Parameters'!E$17)^2)</f>
        <v>0.75531198583558845</v>
      </c>
      <c r="L42" s="21">
        <f ca="1">(1+H41)*L41*(1-(SUM(L$5:L41)/'Static Parameters'!F$17)^2)</f>
        <v>1.169150182669066</v>
      </c>
      <c r="M42" s="21">
        <f ca="1">I42*B42*'Static Parameters'!C$15</f>
        <v>7.1743439922665821</v>
      </c>
      <c r="N42" s="21">
        <f ca="1">J42*C42*'Static Parameters'!D$15</f>
        <v>0.34554356732202446</v>
      </c>
      <c r="O42" s="21">
        <f ca="1">K42*D42*'Static Parameters'!E$15</f>
        <v>0.18127487660054123</v>
      </c>
      <c r="P42" s="63">
        <f t="shared" ca="1" si="11"/>
        <v>1.169150182669066</v>
      </c>
      <c r="Q42" s="40">
        <f t="shared" ca="1" si="12"/>
        <v>0</v>
      </c>
      <c r="R42" s="40">
        <f t="shared" ca="1" si="13"/>
        <v>0</v>
      </c>
      <c r="S42" s="40">
        <f t="shared" ca="1" si="14"/>
        <v>0</v>
      </c>
      <c r="T42" s="64">
        <f ca="1">I42*'Static Parameters'!C$19/(44/12)/1000</f>
        <v>0.81923635548055951</v>
      </c>
      <c r="U42" s="64">
        <f ca="1">J42*'Static Parameters'!D$19/(44/12)/1000</f>
        <v>3.0033608875143548E-2</v>
      </c>
      <c r="V42" s="64">
        <f ca="1">K42*'Static Parameters'!E$19/(44/12)/1000</f>
        <v>1.1556273383284504E-2</v>
      </c>
      <c r="W42" s="64">
        <f ca="1">MAX(0,AC41*'Model - Scarcity &amp; Growth Rates'!$J41*(1-'Model - Supply'!Z41/'Static Parameters'!C$25)+'Model - Supply'!Z41/'Static Parameters'!C$27)</f>
        <v>2.5512550124267728</v>
      </c>
      <c r="X42" s="64">
        <f ca="1">MAX(0,AD41*'Model - Scarcity &amp; Growth Rates'!$J41*(1-'Model - Supply'!AA41/'Static Parameters'!D$25)+'Model - Supply'!AA41/'Static Parameters'!D$27)</f>
        <v>5.4220512818081241</v>
      </c>
      <c r="Y42" s="64">
        <f ca="1">MAX(0,AE41*'Model - Scarcity &amp; Growth Rates'!$J41*(1-'Model - Supply'!AB41/'Static Parameters'!E$25)+'Model - Supply'!AB41/'Static Parameters'!E$27)</f>
        <v>0.63902364986622695</v>
      </c>
      <c r="Z42" s="64">
        <f ca="1">Z41+W42-Z41/'Static Parameters'!C$27</f>
        <v>61.057270990607321</v>
      </c>
      <c r="AA42" s="64">
        <f ca="1">AA41+X42-AA41/'Static Parameters'!D$27</f>
        <v>128.67851781764733</v>
      </c>
      <c r="AB42" s="64">
        <f ca="1">AB41+Y42-AB41/'Static Parameters'!E$27</f>
        <v>47.402580425674735</v>
      </c>
      <c r="AC42" s="64">
        <f ca="1">Z42-W42*'Static Parameters'!C$27/'Static Parameters'!C$26</f>
        <v>56.805179303229366</v>
      </c>
      <c r="AD42" s="64">
        <f ca="1">AA42-X42*'Static Parameters'!D$27/'Static Parameters'!D$26</f>
        <v>121.90095371538717</v>
      </c>
      <c r="AE42" s="64">
        <f ca="1">AB42-Y42*'Static Parameters'!E$27/'Static Parameters'!E$26</f>
        <v>46.717912229389491</v>
      </c>
      <c r="AF42" s="64">
        <f ca="1">AG41*'Model - Scarcity &amp; Growth Rates'!K41*(1-'Model - Supply'!AF41/'Static Parameters'!C$33)+'Model - Supply'!AF41</f>
        <v>66.721361230279413</v>
      </c>
      <c r="AG42" s="64">
        <f ca="1">AF42-AF42/'Static Parameters'!$C$34</f>
        <v>33.360680615139707</v>
      </c>
      <c r="AH42" s="64">
        <f t="shared" ca="1" si="15"/>
        <v>234.29435786686426</v>
      </c>
      <c r="AI42" s="64">
        <f t="shared" ca="1" si="16"/>
        <v>33.360680615139707</v>
      </c>
      <c r="AJ42" s="64">
        <f t="shared" ca="1" si="5"/>
        <v>7.1743439922665821</v>
      </c>
      <c r="AK42" s="64">
        <f t="shared" ca="1" si="6"/>
        <v>0.34554356732202446</v>
      </c>
      <c r="AL42" s="64">
        <f t="shared" ca="1" si="7"/>
        <v>0.18127487660054123</v>
      </c>
      <c r="AM42" s="64">
        <f t="shared" ca="1" si="8"/>
        <v>1.169150182669066</v>
      </c>
      <c r="AN42" s="64">
        <f t="shared" ca="1" si="9"/>
        <v>225.42404524800602</v>
      </c>
      <c r="AO42" s="64">
        <f t="shared" ca="1" si="10"/>
        <v>33.360680615139707</v>
      </c>
    </row>
    <row r="43" spans="1:41" x14ac:dyDescent="0.35">
      <c r="A43" s="13">
        <v>2061</v>
      </c>
      <c r="B43" s="12">
        <f ca="1">MAX(0,MIN(1,B42*(1+'Model - Scarcity &amp; Growth Rates'!$D42-'Model - Scarcity &amp; Growth Rates'!$E42)))</f>
        <v>1</v>
      </c>
      <c r="C43" s="12">
        <f ca="1">MAX(0,MIN(1,C42*(1+'Model - Scarcity &amp; Growth Rates'!$D42-'Model - Scarcity &amp; Growth Rates'!$E42)))</f>
        <v>1</v>
      </c>
      <c r="D43" s="12">
        <f ca="1">MAX(0,MIN(1,D42*(1+'Model - Scarcity &amp; Growth Rates'!$D42-'Model - Scarcity &amp; Growth Rates'!$E42)))</f>
        <v>1</v>
      </c>
      <c r="E43" s="12">
        <f ca="1">B43*('Model - Scarcity &amp; Growth Rates'!$D43*(1-'Model - Scarcity &amp; Growth Rates'!$I43)-'Model - Scarcity &amp; Growth Rates'!$I43)+(1-'Model - Supply'!B43)*('Model - Scarcity &amp; Growth Rates'!$E43*(1-'Model - Scarcity &amp; Growth Rates'!$I43)-'Model - Scarcity &amp; Growth Rates'!$I43)</f>
        <v>-0.1822339339596015</v>
      </c>
      <c r="F43" s="12">
        <f ca="1">C43*('Model - Scarcity &amp; Growth Rates'!$D43*(1-'Model - Scarcity &amp; Growth Rates'!$I43)-'Model - Scarcity &amp; Growth Rates'!$I43)+(1-'Model - Supply'!C43)*('Model - Scarcity &amp; Growth Rates'!$E43*(1-'Model - Scarcity &amp; Growth Rates'!$I43)-'Model - Scarcity &amp; Growth Rates'!$I43)</f>
        <v>-0.1822339339596015</v>
      </c>
      <c r="G43" s="12">
        <f ca="1">D43*('Model - Scarcity &amp; Growth Rates'!$D43*(1-'Model - Scarcity &amp; Growth Rates'!$I43)-'Model - Scarcity &amp; Growth Rates'!$I43)+(1-'Model - Supply'!D43)*('Model - Scarcity &amp; Growth Rates'!$E43*(1-'Model - Scarcity &amp; Growth Rates'!$I43)-'Model - Scarcity &amp; Growth Rates'!$I43)</f>
        <v>-0.1822339339596015</v>
      </c>
      <c r="H43" s="12">
        <f ca="1">'Model - Scarcity &amp; Growth Rates'!J43</f>
        <v>-7.5516386018628949E-3</v>
      </c>
      <c r="I43" s="21">
        <f ca="1">(1+E42)*I42*(1-(SUM(I$5:I42)/'Static Parameters'!C$17)^2)</f>
        <v>23.194845124989417</v>
      </c>
      <c r="J43" s="21">
        <f ca="1">(1+F42)*J42*(1-(SUM(J$5:J42)/'Static Parameters'!D$17)^2)</f>
        <v>1.1023917183098393</v>
      </c>
      <c r="K43" s="21">
        <f ca="1">(1+G42)*K42*(1-(SUM(K$5:K42)/'Static Parameters'!E$17)^2)</f>
        <v>0.49636292806477161</v>
      </c>
      <c r="L43" s="21">
        <f ca="1">(1+H42)*L42*(1-(SUM(L$5:L42)/'Static Parameters'!F$17)^2)</f>
        <v>0.77901287857764345</v>
      </c>
      <c r="M43" s="21">
        <f ca="1">I43*B43*'Static Parameters'!C$15</f>
        <v>5.3348143787475664</v>
      </c>
      <c r="N43" s="21">
        <f ca="1">J43*C43*'Static Parameters'!D$15</f>
        <v>0.25355009521126304</v>
      </c>
      <c r="O43" s="21">
        <f ca="1">K43*D43*'Static Parameters'!E$15</f>
        <v>0.11912710273554518</v>
      </c>
      <c r="P43" s="63">
        <f t="shared" ca="1" si="11"/>
        <v>0.77901287857764345</v>
      </c>
      <c r="Q43" s="40">
        <f t="shared" ca="1" si="12"/>
        <v>0</v>
      </c>
      <c r="R43" s="40">
        <f t="shared" ca="1" si="13"/>
        <v>0</v>
      </c>
      <c r="S43" s="40">
        <f t="shared" ca="1" si="14"/>
        <v>0</v>
      </c>
      <c r="T43" s="64">
        <f ca="1">I43*'Static Parameters'!C$19/(44/12)/1000</f>
        <v>0.60918097787358572</v>
      </c>
      <c r="U43" s="64">
        <f ca="1">J43*'Static Parameters'!D$19/(44/12)/1000</f>
        <v>2.2037812623303062E-2</v>
      </c>
      <c r="V43" s="64">
        <f ca="1">K43*'Static Parameters'!E$19/(44/12)/1000</f>
        <v>7.5943527993910069E-3</v>
      </c>
      <c r="W43" s="64">
        <f ca="1">MAX(0,AC42*'Model - Scarcity &amp; Growth Rates'!$J42*(1-'Model - Supply'!Z42/'Static Parameters'!C$25)+'Model - Supply'!Z42/'Static Parameters'!C$27)</f>
        <v>2.2876016117688427</v>
      </c>
      <c r="X43" s="64">
        <f ca="1">MAX(0,AD42*'Model - Scarcity &amp; Growth Rates'!$J42*(1-'Model - Supply'!AA42/'Static Parameters'!D$25)+'Model - Supply'!AA42/'Static Parameters'!D$27)</f>
        <v>4.7571485089733958</v>
      </c>
      <c r="Y43" s="64">
        <f ca="1">MAX(0,AE42*'Model - Scarcity &amp; Growth Rates'!$J42*(1-'Model - Supply'!AB42/'Static Parameters'!E$25)+'Model - Supply'!AB42/'Static Parameters'!E$27)</f>
        <v>0.62252131056600013</v>
      </c>
      <c r="Z43" s="64">
        <f ca="1">Z42+W43-Z42/'Static Parameters'!C$27</f>
        <v>60.902581762751872</v>
      </c>
      <c r="AA43" s="64">
        <f ca="1">AA42+X43-AA42/'Static Parameters'!D$27</f>
        <v>128.28852561391483</v>
      </c>
      <c r="AB43" s="64">
        <f ca="1">AB42+Y43-AB42/'Static Parameters'!E$27</f>
        <v>47.393067330565074</v>
      </c>
      <c r="AC43" s="64">
        <f ca="1">Z43-W43*'Static Parameters'!C$27/'Static Parameters'!C$26</f>
        <v>57.089912409803802</v>
      </c>
      <c r="AD43" s="64">
        <f ca="1">AA43-X43*'Static Parameters'!D$27/'Static Parameters'!D$26</f>
        <v>122.34208997769808</v>
      </c>
      <c r="AE43" s="64">
        <f ca="1">AB43-Y43*'Static Parameters'!E$27/'Static Parameters'!E$26</f>
        <v>46.7260802121015</v>
      </c>
      <c r="AF43" s="64">
        <f ca="1">AG42*'Model - Scarcity &amp; Growth Rates'!K42*(1-'Model - Supply'!AF42/'Static Parameters'!C$33)+'Model - Supply'!AF42</f>
        <v>66.047574171992792</v>
      </c>
      <c r="AG43" s="64">
        <f ca="1">AF43-AF43/'Static Parameters'!$C$34</f>
        <v>33.023787085996396</v>
      </c>
      <c r="AH43" s="64">
        <f t="shared" ca="1" si="15"/>
        <v>232.64458705487539</v>
      </c>
      <c r="AI43" s="64">
        <f t="shared" ca="1" si="16"/>
        <v>33.023787085996396</v>
      </c>
      <c r="AJ43" s="64">
        <f t="shared" ca="1" si="5"/>
        <v>5.3348143787475664</v>
      </c>
      <c r="AK43" s="64">
        <f t="shared" ca="1" si="6"/>
        <v>0.25355009521126304</v>
      </c>
      <c r="AL43" s="64">
        <f t="shared" ca="1" si="7"/>
        <v>0.11912710273554518</v>
      </c>
      <c r="AM43" s="64">
        <f t="shared" ca="1" si="8"/>
        <v>0.77901287857764345</v>
      </c>
      <c r="AN43" s="64">
        <f t="shared" ca="1" si="9"/>
        <v>226.15808259960338</v>
      </c>
      <c r="AO43" s="64">
        <f t="shared" ca="1" si="10"/>
        <v>33.023787085996396</v>
      </c>
    </row>
    <row r="44" spans="1:41" x14ac:dyDescent="0.35">
      <c r="A44" s="13">
        <v>2062</v>
      </c>
      <c r="B44" s="12">
        <f ca="1">MAX(0,MIN(1,B43*(1+'Model - Scarcity &amp; Growth Rates'!$D43-'Model - Scarcity &amp; Growth Rates'!$E43)))</f>
        <v>1</v>
      </c>
      <c r="C44" s="12">
        <f ca="1">MAX(0,MIN(1,C43*(1+'Model - Scarcity &amp; Growth Rates'!$D43-'Model - Scarcity &amp; Growth Rates'!$E43)))</f>
        <v>1</v>
      </c>
      <c r="D44" s="12">
        <f ca="1">MAX(0,MIN(1,D43*(1+'Model - Scarcity &amp; Growth Rates'!$D43-'Model - Scarcity &amp; Growth Rates'!$E43)))</f>
        <v>1</v>
      </c>
      <c r="E44" s="12">
        <f ca="1">B44*('Model - Scarcity &amp; Growth Rates'!$D44*(1-'Model - Scarcity &amp; Growth Rates'!$I44)-'Model - Scarcity &amp; Growth Rates'!$I44)+(1-'Model - Supply'!B44)*('Model - Scarcity &amp; Growth Rates'!$E44*(1-'Model - Scarcity &amp; Growth Rates'!$I44)-'Model - Scarcity &amp; Growth Rates'!$I44)</f>
        <v>-0.1864293413161304</v>
      </c>
      <c r="F44" s="12">
        <f ca="1">C44*('Model - Scarcity &amp; Growth Rates'!$D44*(1-'Model - Scarcity &amp; Growth Rates'!$I44)-'Model - Scarcity &amp; Growth Rates'!$I44)+(1-'Model - Supply'!C44)*('Model - Scarcity &amp; Growth Rates'!$E44*(1-'Model - Scarcity &amp; Growth Rates'!$I44)-'Model - Scarcity &amp; Growth Rates'!$I44)</f>
        <v>-0.1864293413161304</v>
      </c>
      <c r="G44" s="12">
        <f ca="1">D44*('Model - Scarcity &amp; Growth Rates'!$D44*(1-'Model - Scarcity &amp; Growth Rates'!$I44)-'Model - Scarcity &amp; Growth Rates'!$I44)+(1-'Model - Supply'!D44)*('Model - Scarcity &amp; Growth Rates'!$E44*(1-'Model - Scarcity &amp; Growth Rates'!$I44)-'Model - Scarcity &amp; Growth Rates'!$I44)</f>
        <v>-0.1864293413161304</v>
      </c>
      <c r="H44" s="12">
        <f ca="1">'Model - Scarcity &amp; Growth Rates'!J44</f>
        <v>-9.4154530677077793E-3</v>
      </c>
      <c r="I44" s="21">
        <f ca="1">(1+E43)*I43*(1-(SUM(I$5:I43)/'Static Parameters'!C$17)^2)</f>
        <v>17.114860878368379</v>
      </c>
      <c r="J44" s="21">
        <f ca="1">(1+F43)*J43*(1-(SUM(J$5:J43)/'Static Parameters'!D$17)^2)</f>
        <v>0.80311910743631754</v>
      </c>
      <c r="K44" s="21">
        <f ca="1">(1+G43)*K43*(1-(SUM(K$5:K43)/'Static Parameters'!E$17)^2)</f>
        <v>0.32386096638161999</v>
      </c>
      <c r="L44" s="21">
        <f ca="1">(1+H43)*L43*(1-(SUM(L$5:L43)/'Static Parameters'!F$17)^2)</f>
        <v>0.51661876591095812</v>
      </c>
      <c r="M44" s="21">
        <f ca="1">I44*B44*'Static Parameters'!C$15</f>
        <v>3.9364180020247272</v>
      </c>
      <c r="N44" s="21">
        <f ca="1">J44*C44*'Static Parameters'!D$15</f>
        <v>0.18471739471035303</v>
      </c>
      <c r="O44" s="21">
        <f ca="1">K44*D44*'Static Parameters'!E$15</f>
        <v>7.7726631931588797E-2</v>
      </c>
      <c r="P44" s="63">
        <f t="shared" ca="1" si="11"/>
        <v>0.51661876591095812</v>
      </c>
      <c r="Q44" s="40">
        <f t="shared" ca="1" si="12"/>
        <v>0</v>
      </c>
      <c r="R44" s="40">
        <f t="shared" ca="1" si="13"/>
        <v>0</v>
      </c>
      <c r="S44" s="40">
        <f t="shared" ca="1" si="14"/>
        <v>0</v>
      </c>
      <c r="T44" s="64">
        <f ca="1">I44*'Static Parameters'!C$19/(44/12)/1000</f>
        <v>0.44949848252369318</v>
      </c>
      <c r="U44" s="64">
        <f ca="1">J44*'Static Parameters'!D$19/(44/12)/1000</f>
        <v>1.6055081065931474E-2</v>
      </c>
      <c r="V44" s="64">
        <f ca="1">K44*'Static Parameters'!E$19/(44/12)/1000</f>
        <v>4.9550727856387863E-3</v>
      </c>
      <c r="W44" s="64">
        <f ca="1">MAX(0,AC43*'Model - Scarcity &amp; Growth Rates'!$J43*(1-'Model - Supply'!Z43/'Static Parameters'!C$25)+'Model - Supply'!Z43/'Static Parameters'!C$27)</f>
        <v>2.1362632160955641</v>
      </c>
      <c r="X44" s="64">
        <f ca="1">MAX(0,AD43*'Model - Scarcity &amp; Growth Rates'!$J43*(1-'Model - Supply'!AA43/'Static Parameters'!D$25)+'Model - Supply'!AA43/'Static Parameters'!D$27)</f>
        <v>4.3769772322386222</v>
      </c>
      <c r="Y44" s="64">
        <f ca="1">MAX(0,AE43*'Model - Scarcity &amp; Growth Rates'!$J43*(1-'Model - Supply'!AB43/'Static Parameters'!E$25)+'Model - Supply'!AB43/'Static Parameters'!E$27)</f>
        <v>0.61350999889053393</v>
      </c>
      <c r="Z44" s="64">
        <f ca="1">Z43+W44-Z43/'Static Parameters'!C$27</f>
        <v>60.602741708337362</v>
      </c>
      <c r="AA44" s="64">
        <f ca="1">AA43+X44-AA43/'Static Parameters'!D$27</f>
        <v>127.53396182159686</v>
      </c>
      <c r="AB44" s="64">
        <f ca="1">AB43+Y44-AB43/'Static Parameters'!E$27</f>
        <v>47.374669765048075</v>
      </c>
      <c r="AC44" s="64">
        <f ca="1">Z44-W44*'Static Parameters'!C$27/'Static Parameters'!C$26</f>
        <v>57.042303014844755</v>
      </c>
      <c r="AD44" s="64">
        <f ca="1">AA44-X44*'Static Parameters'!D$27/'Static Parameters'!D$26</f>
        <v>122.06274028129859</v>
      </c>
      <c r="AE44" s="64">
        <f ca="1">AB44-Y44*'Static Parameters'!E$27/'Static Parameters'!E$26</f>
        <v>46.717337623379649</v>
      </c>
      <c r="AF44" s="64">
        <f ca="1">AG43*'Model - Scarcity &amp; Growth Rates'!K43*(1-'Model - Supply'!AF43/'Static Parameters'!C$33)+'Model - Supply'!AF43</f>
        <v>65.365192994086996</v>
      </c>
      <c r="AG44" s="64">
        <f ca="1">AF44-AF44/'Static Parameters'!$C$34</f>
        <v>32.682596497043498</v>
      </c>
      <c r="AH44" s="64">
        <f t="shared" ca="1" si="15"/>
        <v>230.53786171410061</v>
      </c>
      <c r="AI44" s="64">
        <f t="shared" ca="1" si="16"/>
        <v>32.682596497043498</v>
      </c>
      <c r="AJ44" s="64">
        <f t="shared" ca="1" si="5"/>
        <v>3.9364180020247272</v>
      </c>
      <c r="AK44" s="64">
        <f t="shared" ca="1" si="6"/>
        <v>0.18471739471035303</v>
      </c>
      <c r="AL44" s="64">
        <f t="shared" ca="1" si="7"/>
        <v>7.7726631931588797E-2</v>
      </c>
      <c r="AM44" s="64">
        <f t="shared" ca="1" si="8"/>
        <v>0.51661876591095812</v>
      </c>
      <c r="AN44" s="64">
        <f t="shared" ca="1" si="9"/>
        <v>225.822380919523</v>
      </c>
      <c r="AO44" s="64">
        <f t="shared" ca="1" si="10"/>
        <v>32.682596497043498</v>
      </c>
    </row>
    <row r="45" spans="1:41" x14ac:dyDescent="0.35">
      <c r="A45" s="13">
        <v>2063</v>
      </c>
      <c r="B45" s="12">
        <f ca="1">MAX(0,MIN(1,B44*(1+'Model - Scarcity &amp; Growth Rates'!$D44-'Model - Scarcity &amp; Growth Rates'!$E44)))</f>
        <v>1</v>
      </c>
      <c r="C45" s="12">
        <f ca="1">MAX(0,MIN(1,C44*(1+'Model - Scarcity &amp; Growth Rates'!$D44-'Model - Scarcity &amp; Growth Rates'!$E44)))</f>
        <v>1</v>
      </c>
      <c r="D45" s="12">
        <f ca="1">MAX(0,MIN(1,D44*(1+'Model - Scarcity &amp; Growth Rates'!$D44-'Model - Scarcity &amp; Growth Rates'!$E44)))</f>
        <v>1</v>
      </c>
      <c r="E45" s="12">
        <f ca="1">B45*('Model - Scarcity &amp; Growth Rates'!$D45*(1-'Model - Scarcity &amp; Growth Rates'!$I45)-'Model - Scarcity &amp; Growth Rates'!$I45)+(1-'Model - Supply'!B45)*('Model - Scarcity &amp; Growth Rates'!$E45*(1-'Model - Scarcity &amp; Growth Rates'!$I45)-'Model - Scarcity &amp; Growth Rates'!$I45)</f>
        <v>-0.1901845732660026</v>
      </c>
      <c r="F45" s="12">
        <f ca="1">C45*('Model - Scarcity &amp; Growth Rates'!$D45*(1-'Model - Scarcity &amp; Growth Rates'!$I45)-'Model - Scarcity &amp; Growth Rates'!$I45)+(1-'Model - Supply'!C45)*('Model - Scarcity &amp; Growth Rates'!$E45*(1-'Model - Scarcity &amp; Growth Rates'!$I45)-'Model - Scarcity &amp; Growth Rates'!$I45)</f>
        <v>-0.1901845732660026</v>
      </c>
      <c r="G45" s="12">
        <f ca="1">D45*('Model - Scarcity &amp; Growth Rates'!$D45*(1-'Model - Scarcity &amp; Growth Rates'!$I45)-'Model - Scarcity &amp; Growth Rates'!$I45)+(1-'Model - Supply'!D45)*('Model - Scarcity &amp; Growth Rates'!$E45*(1-'Model - Scarcity &amp; Growth Rates'!$I45)-'Model - Scarcity &amp; Growth Rates'!$I45)</f>
        <v>-0.1901845732660026</v>
      </c>
      <c r="H45" s="12">
        <f ca="1">'Model - Scarcity &amp; Growth Rates'!J45</f>
        <v>-1.0927421729067537E-2</v>
      </c>
      <c r="I45" s="21">
        <f ca="1">(1+E44)*I44*(1-(SUM(I$5:I44)/'Static Parameters'!C$17)^2)</f>
        <v>12.557896729647489</v>
      </c>
      <c r="J45" s="21">
        <f ca="1">(1+F44)*J44*(1-(SUM(J$5:J44)/'Static Parameters'!D$17)^2)</f>
        <v>0.58205283444273914</v>
      </c>
      <c r="K45" s="21">
        <f ca="1">(1+G44)*K44*(1-(SUM(K$5:K44)/'Static Parameters'!E$17)^2)</f>
        <v>0.21021385598579292</v>
      </c>
      <c r="L45" s="21">
        <f ca="1">(1+H44)*L44*(1-(SUM(L$5:L44)/'Static Parameters'!F$17)^2)</f>
        <v>0.34172137118009632</v>
      </c>
      <c r="M45" s="21">
        <f ca="1">I45*B45*'Static Parameters'!C$15</f>
        <v>2.8883162478189224</v>
      </c>
      <c r="N45" s="21">
        <f ca="1">J45*C45*'Static Parameters'!D$15</f>
        <v>0.13387215192183</v>
      </c>
      <c r="O45" s="21">
        <f ca="1">K45*D45*'Static Parameters'!E$15</f>
        <v>5.0451325436590297E-2</v>
      </c>
      <c r="P45" s="63">
        <f t="shared" ca="1" si="11"/>
        <v>0.34172137118009632</v>
      </c>
      <c r="Q45" s="40">
        <f t="shared" ca="1" si="12"/>
        <v>0</v>
      </c>
      <c r="R45" s="40">
        <f t="shared" ca="1" si="13"/>
        <v>0</v>
      </c>
      <c r="S45" s="40">
        <f t="shared" ca="1" si="14"/>
        <v>0</v>
      </c>
      <c r="T45" s="64">
        <f ca="1">I45*'Static Parameters'!C$19/(44/12)/1000</f>
        <v>0.32981603319955999</v>
      </c>
      <c r="U45" s="64">
        <f ca="1">J45*'Static Parameters'!D$19/(44/12)/1000</f>
        <v>1.1635765299450759E-2</v>
      </c>
      <c r="V45" s="64">
        <f ca="1">K45*'Static Parameters'!E$19/(44/12)/1000</f>
        <v>3.2162719965826321E-3</v>
      </c>
      <c r="W45" s="64">
        <f ca="1">MAX(0,AC44*'Model - Scarcity &amp; Growth Rates'!$J44*(1-'Model - Supply'!Z44/'Static Parameters'!C$25)+'Model - Supply'!Z44/'Static Parameters'!C$27)</f>
        <v>2.0497728794486596</v>
      </c>
      <c r="X45" s="64">
        <f ca="1">MAX(0,AD44*'Model - Scarcity &amp; Growth Rates'!$J44*(1-'Model - Supply'!AA44/'Static Parameters'!D$25)+'Model - Supply'!AA44/'Static Parameters'!D$27)</f>
        <v>4.1614706444537077</v>
      </c>
      <c r="Y45" s="64">
        <f ca="1">MAX(0,AE44*'Model - Scarcity &amp; Growth Rates'!$J44*(1-'Model - Supply'!AB44/'Static Parameters'!E$25)+'Model - Supply'!AB44/'Static Parameters'!E$27)</f>
        <v>0.60856645111703089</v>
      </c>
      <c r="Z45" s="64">
        <f ca="1">Z44+W45-Z44/'Static Parameters'!C$27</f>
        <v>60.228404919452529</v>
      </c>
      <c r="AA45" s="64">
        <f ca="1">AA44+X45-AA44/'Static Parameters'!D$27</f>
        <v>126.59407399318668</v>
      </c>
      <c r="AB45" s="64">
        <f ca="1">AB44+Y45-AB44/'Static Parameters'!E$27</f>
        <v>47.351573952631128</v>
      </c>
      <c r="AC45" s="64">
        <f ca="1">Z45-W45*'Static Parameters'!C$27/'Static Parameters'!C$26</f>
        <v>56.8121167870381</v>
      </c>
      <c r="AD45" s="64">
        <f ca="1">AA45-X45*'Static Parameters'!D$27/'Static Parameters'!D$26</f>
        <v>121.39223568761955</v>
      </c>
      <c r="AE45" s="64">
        <f ca="1">AB45-Y45*'Static Parameters'!E$27/'Static Parameters'!E$26</f>
        <v>46.699538469291454</v>
      </c>
      <c r="AF45" s="64">
        <f ca="1">AG44*'Model - Scarcity &amp; Growth Rates'!K44*(1-'Model - Supply'!AF44/'Static Parameters'!C$33)+'Model - Supply'!AF44</f>
        <v>64.673727926100398</v>
      </c>
      <c r="AG45" s="64">
        <f ca="1">AF45-AF45/'Static Parameters'!$C$34</f>
        <v>32.336863963050199</v>
      </c>
      <c r="AH45" s="64">
        <f t="shared" ca="1" si="15"/>
        <v>228.31825204030656</v>
      </c>
      <c r="AI45" s="64">
        <f t="shared" ca="1" si="16"/>
        <v>32.336863963050199</v>
      </c>
      <c r="AJ45" s="64">
        <f t="shared" ca="1" si="5"/>
        <v>2.8883162478189224</v>
      </c>
      <c r="AK45" s="64">
        <f t="shared" ca="1" si="6"/>
        <v>0.13387215192183</v>
      </c>
      <c r="AL45" s="64">
        <f t="shared" ca="1" si="7"/>
        <v>5.0451325436590297E-2</v>
      </c>
      <c r="AM45" s="64">
        <f t="shared" ca="1" si="8"/>
        <v>0.34172137118009632</v>
      </c>
      <c r="AN45" s="64">
        <f t="shared" ca="1" si="9"/>
        <v>224.90389094394908</v>
      </c>
      <c r="AO45" s="64">
        <f t="shared" ca="1" si="10"/>
        <v>32.336863963050199</v>
      </c>
    </row>
    <row r="46" spans="1:41" x14ac:dyDescent="0.35">
      <c r="A46" s="13">
        <v>2064</v>
      </c>
      <c r="B46" s="12">
        <f ca="1">MAX(0,MIN(1,B45*(1+'Model - Scarcity &amp; Growth Rates'!$D45-'Model - Scarcity &amp; Growth Rates'!$E45)))</f>
        <v>1</v>
      </c>
      <c r="C46" s="12">
        <f ca="1">MAX(0,MIN(1,C45*(1+'Model - Scarcity &amp; Growth Rates'!$D45-'Model - Scarcity &amp; Growth Rates'!$E45)))</f>
        <v>1</v>
      </c>
      <c r="D46" s="12">
        <f ca="1">MAX(0,MIN(1,D45*(1+'Model - Scarcity &amp; Growth Rates'!$D45-'Model - Scarcity &amp; Growth Rates'!$E45)))</f>
        <v>1</v>
      </c>
      <c r="E46" s="12">
        <f ca="1">B46*('Model - Scarcity &amp; Growth Rates'!$D46*(1-'Model - Scarcity &amp; Growth Rates'!$I46)-'Model - Scarcity &amp; Growth Rates'!$I46)+(1-'Model - Supply'!B46)*('Model - Scarcity &amp; Growth Rates'!$E46*(1-'Model - Scarcity &amp; Growth Rates'!$I46)-'Model - Scarcity &amp; Growth Rates'!$I46)</f>
        <v>-0.194173502732986</v>
      </c>
      <c r="F46" s="12">
        <f ca="1">C46*('Model - Scarcity &amp; Growth Rates'!$D46*(1-'Model - Scarcity &amp; Growth Rates'!$I46)-'Model - Scarcity &amp; Growth Rates'!$I46)+(1-'Model - Supply'!C46)*('Model - Scarcity &amp; Growth Rates'!$E46*(1-'Model - Scarcity &amp; Growth Rates'!$I46)-'Model - Scarcity &amp; Growth Rates'!$I46)</f>
        <v>-0.194173502732986</v>
      </c>
      <c r="G46" s="12">
        <f ca="1">D46*('Model - Scarcity &amp; Growth Rates'!$D46*(1-'Model - Scarcity &amp; Growth Rates'!$I46)-'Model - Scarcity &amp; Growth Rates'!$I46)+(1-'Model - Supply'!D46)*('Model - Scarcity &amp; Growth Rates'!$E46*(1-'Model - Scarcity &amp; Growth Rates'!$I46)-'Model - Scarcity &amp; Growth Rates'!$I46)</f>
        <v>-0.194173502732986</v>
      </c>
      <c r="H46" s="12">
        <f ca="1">'Model - Scarcity &amp; Growth Rates'!J46</f>
        <v>-1.2898786512140532E-2</v>
      </c>
      <c r="I46" s="21">
        <f ca="1">(1+E45)*I45*(1-(SUM(I$5:I45)/'Static Parameters'!C$17)^2)</f>
        <v>9.1685524887115601</v>
      </c>
      <c r="J46" s="21">
        <f ca="1">(1+F45)*J45*(1-(SUM(J$5:J45)/'Static Parameters'!D$17)^2)</f>
        <v>0.41987063599998564</v>
      </c>
      <c r="K46" s="21">
        <f ca="1">(1+G45)*K45*(1-(SUM(K$5:K45)/'Static Parameters'!E$17)^2)</f>
        <v>0.13581260577995971</v>
      </c>
      <c r="L46" s="21">
        <f ca="1">(1+H45)*L45*(1-(SUM(L$5:L45)/'Static Parameters'!F$17)^2)</f>
        <v>0.22558346926268719</v>
      </c>
      <c r="M46" s="21">
        <f ca="1">I46*B46*'Static Parameters'!C$15</f>
        <v>2.1087670724036589</v>
      </c>
      <c r="N46" s="21">
        <f ca="1">J46*C46*'Static Parameters'!D$15</f>
        <v>9.6570246279996705E-2</v>
      </c>
      <c r="O46" s="21">
        <f ca="1">K46*D46*'Static Parameters'!E$15</f>
        <v>3.2595025387190328E-2</v>
      </c>
      <c r="P46" s="63">
        <f t="shared" ca="1" si="11"/>
        <v>0.22558346926268719</v>
      </c>
      <c r="Q46" s="40">
        <f t="shared" ca="1" si="12"/>
        <v>0</v>
      </c>
      <c r="R46" s="40">
        <f t="shared" ca="1" si="13"/>
        <v>0</v>
      </c>
      <c r="S46" s="40">
        <f t="shared" ca="1" si="14"/>
        <v>0</v>
      </c>
      <c r="T46" s="64">
        <f ca="1">I46*'Static Parameters'!C$19/(44/12)/1000</f>
        <v>0.24079952854443359</v>
      </c>
      <c r="U46" s="64">
        <f ca="1">J46*'Static Parameters'!D$19/(44/12)/1000</f>
        <v>8.3935957142178951E-3</v>
      </c>
      <c r="V46" s="64">
        <f ca="1">K46*'Static Parameters'!E$19/(44/12)/1000</f>
        <v>2.0779328684333836E-3</v>
      </c>
      <c r="W46" s="64">
        <f ca="1">MAX(0,AC45*'Model - Scarcity &amp; Growth Rates'!$J45*(1-'Model - Supply'!Z45/'Static Parameters'!C$25)+'Model - Supply'!Z45/'Static Parameters'!C$27)</f>
        <v>1.9752782054049201</v>
      </c>
      <c r="X46" s="64">
        <f ca="1">MAX(0,AD45*'Model - Scarcity &amp; Growth Rates'!$J45*(1-'Model - Supply'!AA45/'Static Parameters'!D$25)+'Model - Supply'!AA45/'Static Parameters'!D$27)</f>
        <v>3.9771553271957094</v>
      </c>
      <c r="Y46" s="64">
        <f ca="1">MAX(0,AE45*'Model - Scarcity &amp; Growth Rates'!$J45*(1-'Model - Supply'!AB45/'Static Parameters'!E$25)+'Model - Supply'!AB45/'Static Parameters'!E$27)</f>
        <v>0.60432418907916297</v>
      </c>
      <c r="Z46" s="64">
        <f ca="1">Z45+W46-Z45/'Static Parameters'!C$27</f>
        <v>59.794546928079349</v>
      </c>
      <c r="AA46" s="64">
        <f ca="1">AA45+X46-AA45/'Static Parameters'!D$27</f>
        <v>125.50746636065493</v>
      </c>
      <c r="AB46" s="64">
        <f ca="1">AB45+Y46-AB45/'Static Parameters'!E$27</f>
        <v>47.32454382234188</v>
      </c>
      <c r="AC46" s="64">
        <f ca="1">Z46-W46*'Static Parameters'!C$27/'Static Parameters'!C$26</f>
        <v>56.502416585737812</v>
      </c>
      <c r="AD46" s="64">
        <f ca="1">AA46-X46*'Static Parameters'!D$27/'Static Parameters'!D$26</f>
        <v>120.53602220166029</v>
      </c>
      <c r="AE46" s="64">
        <f ca="1">AB46-Y46*'Static Parameters'!E$27/'Static Parameters'!E$26</f>
        <v>46.677053619757061</v>
      </c>
      <c r="AF46" s="64">
        <f ca="1">AG45*'Model - Scarcity &amp; Growth Rates'!K45*(1-'Model - Supply'!AF45/'Static Parameters'!C$33)+'Model - Supply'!AF45</f>
        <v>63.97395261436408</v>
      </c>
      <c r="AG46" s="64">
        <f ca="1">AF46-AF46/'Static Parameters'!$C$34</f>
        <v>31.98697630718204</v>
      </c>
      <c r="AH46" s="64">
        <f t="shared" ca="1" si="15"/>
        <v>226.1790082204887</v>
      </c>
      <c r="AI46" s="64">
        <f t="shared" ca="1" si="16"/>
        <v>31.98697630718204</v>
      </c>
      <c r="AJ46" s="64">
        <f t="shared" ca="1" si="5"/>
        <v>2.1087670724036589</v>
      </c>
      <c r="AK46" s="64">
        <f t="shared" ca="1" si="6"/>
        <v>9.6570246279996705E-2</v>
      </c>
      <c r="AL46" s="64">
        <f t="shared" ca="1" si="7"/>
        <v>3.2595025387190328E-2</v>
      </c>
      <c r="AM46" s="64">
        <f t="shared" ca="1" si="8"/>
        <v>0.22558346926268719</v>
      </c>
      <c r="AN46" s="64">
        <f t="shared" ca="1" si="9"/>
        <v>223.71549240715515</v>
      </c>
      <c r="AO46" s="64">
        <f t="shared" ca="1" si="10"/>
        <v>31.98697630718204</v>
      </c>
    </row>
    <row r="47" spans="1:41" x14ac:dyDescent="0.35">
      <c r="A47" s="13">
        <v>2065</v>
      </c>
      <c r="B47" s="12">
        <f ca="1">MAX(0,MIN(1,B46*(1+'Model - Scarcity &amp; Growth Rates'!$D46-'Model - Scarcity &amp; Growth Rates'!$E46)))</f>
        <v>1</v>
      </c>
      <c r="C47" s="12">
        <f ca="1">MAX(0,MIN(1,C46*(1+'Model - Scarcity &amp; Growth Rates'!$D46-'Model - Scarcity &amp; Growth Rates'!$E46)))</f>
        <v>1</v>
      </c>
      <c r="D47" s="12">
        <f ca="1">MAX(0,MIN(1,D46*(1+'Model - Scarcity &amp; Growth Rates'!$D46-'Model - Scarcity &amp; Growth Rates'!$E46)))</f>
        <v>1</v>
      </c>
      <c r="E47" s="12">
        <f ca="1">B47*('Model - Scarcity &amp; Growth Rates'!$D47*(1-'Model - Scarcity &amp; Growth Rates'!$I47)-'Model - Scarcity &amp; Growth Rates'!$I47)+(1-'Model - Supply'!B47)*('Model - Scarcity &amp; Growth Rates'!$E47*(1-'Model - Scarcity &amp; Growth Rates'!$I47)-'Model - Scarcity &amp; Growth Rates'!$I47)</f>
        <v>-0.198384374820085</v>
      </c>
      <c r="F47" s="12">
        <f ca="1">C47*('Model - Scarcity &amp; Growth Rates'!$D47*(1-'Model - Scarcity &amp; Growth Rates'!$I47)-'Model - Scarcity &amp; Growth Rates'!$I47)+(1-'Model - Supply'!C47)*('Model - Scarcity &amp; Growth Rates'!$E47*(1-'Model - Scarcity &amp; Growth Rates'!$I47)-'Model - Scarcity &amp; Growth Rates'!$I47)</f>
        <v>-0.198384374820085</v>
      </c>
      <c r="G47" s="12">
        <f ca="1">D47*('Model - Scarcity &amp; Growth Rates'!$D47*(1-'Model - Scarcity &amp; Growth Rates'!$I47)-'Model - Scarcity &amp; Growth Rates'!$I47)+(1-'Model - Supply'!D47)*('Model - Scarcity &amp; Growth Rates'!$E47*(1-'Model - Scarcity &amp; Growth Rates'!$I47)-'Model - Scarcity &amp; Growth Rates'!$I47)</f>
        <v>-0.198384374820085</v>
      </c>
      <c r="H47" s="12">
        <f ca="1">'Model - Scarcity &amp; Growth Rates'!J47</f>
        <v>-1.5307974697471962E-2</v>
      </c>
      <c r="I47" s="21">
        <f ca="1">(1+E46)*I46*(1-(SUM(I$5:I46)/'Static Parameters'!C$17)^2)</f>
        <v>6.6593236996071585</v>
      </c>
      <c r="J47" s="21">
        <f ca="1">(1+F46)*J46*(1-(SUM(J$5:J46)/'Static Parameters'!D$17)^2)</f>
        <v>0.30137663268734527</v>
      </c>
      <c r="K47" s="21">
        <f ca="1">(1+G46)*K46*(1-(SUM(K$5:K46)/'Static Parameters'!E$17)^2)</f>
        <v>8.7310161003615161E-2</v>
      </c>
      <c r="L47" s="21">
        <f ca="1">(1+H46)*L46*(1-(SUM(L$5:L46)/'Static Parameters'!F$17)^2)</f>
        <v>0.14857355697788888</v>
      </c>
      <c r="M47" s="21">
        <f ca="1">I47*B47*'Static Parameters'!C$15</f>
        <v>1.5316444509096465</v>
      </c>
      <c r="N47" s="21">
        <f ca="1">J47*C47*'Static Parameters'!D$15</f>
        <v>6.9316625518089411E-2</v>
      </c>
      <c r="O47" s="21">
        <f ca="1">K47*D47*'Static Parameters'!E$15</f>
        <v>2.0954438640867639E-2</v>
      </c>
      <c r="P47" s="63">
        <f t="shared" ca="1" si="11"/>
        <v>0.14857355697788888</v>
      </c>
      <c r="Q47" s="40">
        <f t="shared" ca="1" si="12"/>
        <v>0</v>
      </c>
      <c r="R47" s="40">
        <f t="shared" ca="1" si="13"/>
        <v>0</v>
      </c>
      <c r="S47" s="40">
        <f t="shared" ca="1" si="14"/>
        <v>0</v>
      </c>
      <c r="T47" s="64">
        <f ca="1">I47*'Static Parameters'!C$19/(44/12)/1000</f>
        <v>0.17489805607422801</v>
      </c>
      <c r="U47" s="64">
        <f ca="1">J47*'Static Parameters'!D$19/(44/12)/1000</f>
        <v>6.0247928661770209E-3</v>
      </c>
      <c r="V47" s="64">
        <f ca="1">K47*'Static Parameters'!E$19/(44/12)/1000</f>
        <v>1.335845463355312E-3</v>
      </c>
      <c r="W47" s="64">
        <f ca="1">MAX(0,AC46*'Model - Scarcity &amp; Growth Rates'!$J46*(1-'Model - Supply'!Z46/'Static Parameters'!C$25)+'Model - Supply'!Z46/'Static Parameters'!C$27)</f>
        <v>1.8808643669047256</v>
      </c>
      <c r="X47" s="64">
        <f ca="1">MAX(0,AD46*'Model - Scarcity &amp; Growth Rates'!$J46*(1-'Model - Supply'!AA46/'Static Parameters'!D$25)+'Model - Supply'!AA46/'Static Parameters'!D$27)</f>
        <v>3.7442945868038797</v>
      </c>
      <c r="Y47" s="64">
        <f ca="1">MAX(0,AE46*'Model - Scarcity &amp; Growth Rates'!$J46*(1-'Model - Supply'!AB46/'Static Parameters'!E$25)+'Model - Supply'!AB46/'Static Parameters'!E$27)</f>
        <v>0.59877728633986904</v>
      </c>
      <c r="Z47" s="64">
        <f ca="1">Z46+W47-Z46/'Static Parameters'!C$27</f>
        <v>59.283629417860901</v>
      </c>
      <c r="AA47" s="64">
        <f ca="1">AA46+X47-AA46/'Static Parameters'!D$27</f>
        <v>124.23146229303262</v>
      </c>
      <c r="AB47" s="64">
        <f ca="1">AB46+Y47-AB46/'Static Parameters'!E$27</f>
        <v>47.292327191050525</v>
      </c>
      <c r="AC47" s="64">
        <f ca="1">Z47-W47*'Static Parameters'!C$27/'Static Parameters'!C$26</f>
        <v>56.148855473019694</v>
      </c>
      <c r="AD47" s="64">
        <f ca="1">AA47-X47*'Static Parameters'!D$27/'Static Parameters'!D$26</f>
        <v>119.55109405952777</v>
      </c>
      <c r="AE47" s="64">
        <f ca="1">AB47-Y47*'Static Parameters'!E$27/'Static Parameters'!E$26</f>
        <v>46.650780098543521</v>
      </c>
      <c r="AF47" s="64">
        <f ca="1">AG46*'Model - Scarcity &amp; Growth Rates'!K46*(1-'Model - Supply'!AF46/'Static Parameters'!C$33)+'Model - Supply'!AF46</f>
        <v>63.267326443229734</v>
      </c>
      <c r="AG47" s="64">
        <f ca="1">AF47-AF47/'Static Parameters'!$C$34</f>
        <v>31.633663221614867</v>
      </c>
      <c r="AH47" s="64">
        <f t="shared" ca="1" si="15"/>
        <v>224.12121870313749</v>
      </c>
      <c r="AI47" s="64">
        <f t="shared" ca="1" si="16"/>
        <v>31.633663221614867</v>
      </c>
      <c r="AJ47" s="64">
        <f t="shared" ca="1" si="5"/>
        <v>1.5316444509096465</v>
      </c>
      <c r="AK47" s="64">
        <f t="shared" ca="1" si="6"/>
        <v>6.9316625518089411E-2</v>
      </c>
      <c r="AL47" s="64">
        <f t="shared" ca="1" si="7"/>
        <v>2.0954438640867639E-2</v>
      </c>
      <c r="AM47" s="64">
        <f t="shared" ca="1" si="8"/>
        <v>0.14857355697788888</v>
      </c>
      <c r="AN47" s="64">
        <f t="shared" ca="1" si="9"/>
        <v>222.35072963109099</v>
      </c>
      <c r="AO47" s="64">
        <f t="shared" ca="1" si="10"/>
        <v>31.633663221614867</v>
      </c>
    </row>
    <row r="48" spans="1:41" x14ac:dyDescent="0.35">
      <c r="A48" s="13">
        <v>2066</v>
      </c>
      <c r="B48" s="12">
        <f ca="1">MAX(0,MIN(1,B47*(1+'Model - Scarcity &amp; Growth Rates'!$D47-'Model - Scarcity &amp; Growth Rates'!$E47)))</f>
        <v>1</v>
      </c>
      <c r="C48" s="12">
        <f ca="1">MAX(0,MIN(1,C47*(1+'Model - Scarcity &amp; Growth Rates'!$D47-'Model - Scarcity &amp; Growth Rates'!$E47)))</f>
        <v>1</v>
      </c>
      <c r="D48" s="12">
        <f ca="1">MAX(0,MIN(1,D47*(1+'Model - Scarcity &amp; Growth Rates'!$D47-'Model - Scarcity &amp; Growth Rates'!$E47)))</f>
        <v>1</v>
      </c>
      <c r="E48" s="12">
        <f ca="1">B48*('Model - Scarcity &amp; Growth Rates'!$D48*(1-'Model - Scarcity &amp; Growth Rates'!$I48)-'Model - Scarcity &amp; Growth Rates'!$I48)+(1-'Model - Supply'!B48)*('Model - Scarcity &amp; Growth Rates'!$E48*(1-'Model - Scarcity &amp; Growth Rates'!$I48)-'Model - Scarcity &amp; Growth Rates'!$I48)</f>
        <v>-0.20232832629627506</v>
      </c>
      <c r="F48" s="12">
        <f ca="1">C48*('Model - Scarcity &amp; Growth Rates'!$D48*(1-'Model - Scarcity &amp; Growth Rates'!$I48)-'Model - Scarcity &amp; Growth Rates'!$I48)+(1-'Model - Supply'!C48)*('Model - Scarcity &amp; Growth Rates'!$E48*(1-'Model - Scarcity &amp; Growth Rates'!$I48)-'Model - Scarcity &amp; Growth Rates'!$I48)</f>
        <v>-0.20232832629627506</v>
      </c>
      <c r="G48" s="12">
        <f ca="1">D48*('Model - Scarcity &amp; Growth Rates'!$D48*(1-'Model - Scarcity &amp; Growth Rates'!$I48)-'Model - Scarcity &amp; Growth Rates'!$I48)+(1-'Model - Supply'!D48)*('Model - Scarcity &amp; Growth Rates'!$E48*(1-'Model - Scarcity &amp; Growth Rates'!$I48)-'Model - Scarcity &amp; Growth Rates'!$I48)</f>
        <v>-0.20232832629627506</v>
      </c>
      <c r="H48" s="12">
        <f ca="1">'Model - Scarcity &amp; Growth Rates'!J48</f>
        <v>-1.7545431072797418E-2</v>
      </c>
      <c r="I48" s="21">
        <f ca="1">(1+E47)*I47*(1-(SUM(I$5:I47)/'Static Parameters'!C$17)^2)</f>
        <v>4.8106537729771555</v>
      </c>
      <c r="J48" s="21">
        <f ca="1">(1+F47)*J47*(1-(SUM(J$5:J47)/'Static Parameters'!D$17)^2)</f>
        <v>0.21518790436771518</v>
      </c>
      <c r="K48" s="21">
        <f ca="1">(1+G47)*K47*(1-(SUM(K$5:K47)/'Static Parameters'!E$17)^2)</f>
        <v>5.5835189792539472E-2</v>
      </c>
      <c r="L48" s="21">
        <f ca="1">(1+H47)*L47*(1-(SUM(L$5:L47)/'Static Parameters'!F$17)^2)</f>
        <v>9.7594633457771765E-2</v>
      </c>
      <c r="M48" s="21">
        <f ca="1">I48*B48*'Static Parameters'!C$15</f>
        <v>1.1064503677847457</v>
      </c>
      <c r="N48" s="21">
        <f ca="1">J48*C48*'Static Parameters'!D$15</f>
        <v>4.9493218004574492E-2</v>
      </c>
      <c r="O48" s="21">
        <f ca="1">K48*D48*'Static Parameters'!E$15</f>
        <v>1.3400445550209472E-2</v>
      </c>
      <c r="P48" s="63">
        <f t="shared" ca="1" si="11"/>
        <v>9.7594633457771765E-2</v>
      </c>
      <c r="Q48" s="40">
        <f t="shared" ca="1" si="12"/>
        <v>0</v>
      </c>
      <c r="R48" s="40">
        <f t="shared" ca="1" si="13"/>
        <v>0</v>
      </c>
      <c r="S48" s="40">
        <f t="shared" ca="1" si="14"/>
        <v>0</v>
      </c>
      <c r="T48" s="64">
        <f ca="1">I48*'Static Parameters'!C$19/(44/12)/1000</f>
        <v>0.12634526136482729</v>
      </c>
      <c r="U48" s="64">
        <f ca="1">J48*'Static Parameters'!D$19/(44/12)/1000</f>
        <v>4.3018018336782333E-3</v>
      </c>
      <c r="V48" s="64">
        <f ca="1">K48*'Static Parameters'!E$19/(44/12)/1000</f>
        <v>8.5427840382585403E-4</v>
      </c>
      <c r="W48" s="64">
        <f ca="1">MAX(0,AC47*'Model - Scarcity &amp; Growth Rates'!$J47*(1-'Model - Supply'!Z47/'Static Parameters'!C$25)+'Model - Supply'!Z47/'Static Parameters'!C$27)</f>
        <v>1.7665988024530288</v>
      </c>
      <c r="X48" s="64">
        <f ca="1">MAX(0,AD47*'Model - Scarcity &amp; Growth Rates'!$J47*(1-'Model - Supply'!AA47/'Static Parameters'!D$25)+'Model - Supply'!AA47/'Static Parameters'!D$27)</f>
        <v>3.4639650130042057</v>
      </c>
      <c r="Y48" s="64">
        <f ca="1">MAX(0,AE47*'Model - Scarcity &amp; Growth Rates'!$J47*(1-'Model - Supply'!AB47/'Static Parameters'!E$25)+'Model - Supply'!AB47/'Static Parameters'!E$27)</f>
        <v>0.59189181113186851</v>
      </c>
      <c r="Z48" s="64">
        <f ca="1">Z47+W48-Z47/'Static Parameters'!C$27</f>
        <v>58.678883043599498</v>
      </c>
      <c r="AA48" s="64">
        <f ca="1">AA47+X48-AA47/'Static Parameters'!D$27</f>
        <v>122.72616881431553</v>
      </c>
      <c r="AB48" s="64">
        <f ca="1">AB47+Y48-AB47/'Static Parameters'!E$27</f>
        <v>47.253654639635052</v>
      </c>
      <c r="AC48" s="64">
        <f ca="1">Z48-W48*'Static Parameters'!C$27/'Static Parameters'!C$26</f>
        <v>55.734551706177783</v>
      </c>
      <c r="AD48" s="64">
        <f ca="1">AA48-X48*'Static Parameters'!D$27/'Static Parameters'!D$26</f>
        <v>118.39621254806028</v>
      </c>
      <c r="AE48" s="64">
        <f ca="1">AB48-Y48*'Static Parameters'!E$27/'Static Parameters'!E$26</f>
        <v>46.619484841993767</v>
      </c>
      <c r="AF48" s="64">
        <f ca="1">AG47*'Model - Scarcity &amp; Growth Rates'!K47*(1-'Model - Supply'!AF47/'Static Parameters'!C$33)+'Model - Supply'!AF47</f>
        <v>62.555754052053764</v>
      </c>
      <c r="AG48" s="64">
        <f ca="1">AF48-AF48/'Static Parameters'!$C$34</f>
        <v>31.277877026026882</v>
      </c>
      <c r="AH48" s="64">
        <f t="shared" ca="1" si="15"/>
        <v>222.01718776102913</v>
      </c>
      <c r="AI48" s="64">
        <f t="shared" ca="1" si="16"/>
        <v>31.277877026026882</v>
      </c>
      <c r="AJ48" s="64">
        <f t="shared" ca="1" si="5"/>
        <v>1.1064503677847457</v>
      </c>
      <c r="AK48" s="64">
        <f t="shared" ca="1" si="6"/>
        <v>4.9493218004574492E-2</v>
      </c>
      <c r="AL48" s="64">
        <f t="shared" ca="1" si="7"/>
        <v>1.3400445550209472E-2</v>
      </c>
      <c r="AM48" s="64">
        <f t="shared" ca="1" si="8"/>
        <v>9.7594633457771765E-2</v>
      </c>
      <c r="AN48" s="64">
        <f t="shared" ca="1" si="9"/>
        <v>220.75024909623181</v>
      </c>
      <c r="AO48" s="64">
        <f t="shared" ca="1" si="10"/>
        <v>31.277877026026882</v>
      </c>
    </row>
    <row r="49" spans="1:41" x14ac:dyDescent="0.35">
      <c r="A49" s="13">
        <v>2067</v>
      </c>
      <c r="B49" s="12">
        <f ca="1">MAX(0,MIN(1,B48*(1+'Model - Scarcity &amp; Growth Rates'!$D48-'Model - Scarcity &amp; Growth Rates'!$E48)))</f>
        <v>1</v>
      </c>
      <c r="C49" s="12">
        <f ca="1">MAX(0,MIN(1,C48*(1+'Model - Scarcity &amp; Growth Rates'!$D48-'Model - Scarcity &amp; Growth Rates'!$E48)))</f>
        <v>1</v>
      </c>
      <c r="D49" s="12">
        <f ca="1">MAX(0,MIN(1,D48*(1+'Model - Scarcity &amp; Growth Rates'!$D48-'Model - Scarcity &amp; Growth Rates'!$E48)))</f>
        <v>1</v>
      </c>
      <c r="E49" s="12">
        <f ca="1">B49*('Model - Scarcity &amp; Growth Rates'!$D49*(1-'Model - Scarcity &amp; Growth Rates'!$I49)-'Model - Scarcity &amp; Growth Rates'!$I49)+(1-'Model - Supply'!B49)*('Model - Scarcity &amp; Growth Rates'!$E49*(1-'Model - Scarcity &amp; Growth Rates'!$I49)-'Model - Scarcity &amp; Growth Rates'!$I49)</f>
        <v>-0.20546349716586015</v>
      </c>
      <c r="F49" s="12">
        <f ca="1">C49*('Model - Scarcity &amp; Growth Rates'!$D49*(1-'Model - Scarcity &amp; Growth Rates'!$I49)-'Model - Scarcity &amp; Growth Rates'!$I49)+(1-'Model - Supply'!C49)*('Model - Scarcity &amp; Growth Rates'!$E49*(1-'Model - Scarcity &amp; Growth Rates'!$I49)-'Model - Scarcity &amp; Growth Rates'!$I49)</f>
        <v>-0.20546349716586015</v>
      </c>
      <c r="G49" s="12">
        <f ca="1">D49*('Model - Scarcity &amp; Growth Rates'!$D49*(1-'Model - Scarcity &amp; Growth Rates'!$I49)-'Model - Scarcity &amp; Growth Rates'!$I49)+(1-'Model - Supply'!D49)*('Model - Scarcity &amp; Growth Rates'!$E49*(1-'Model - Scarcity &amp; Growth Rates'!$I49)-'Model - Scarcity &amp; Growth Rates'!$I49)</f>
        <v>-0.20546349716586015</v>
      </c>
      <c r="H49" s="12">
        <f ca="1">'Model - Scarcity &amp; Growth Rates'!J49</f>
        <v>-1.8930121214791113E-2</v>
      </c>
      <c r="I49" s="21">
        <f ca="1">(1+E48)*I48*(1-(SUM(I$5:I48)/'Static Parameters'!C$17)^2)</f>
        <v>3.4576276882668</v>
      </c>
      <c r="J49" s="21">
        <f ca="1">(1+F48)*J48*(1-(SUM(J$5:J48)/'Static Parameters'!D$17)^2)</f>
        <v>0.15288915804458067</v>
      </c>
      <c r="K49" s="21">
        <f ca="1">(1+G48)*K48*(1-(SUM(K$5:K48)/'Static Parameters'!E$17)^2)</f>
        <v>3.5530824079294074E-2</v>
      </c>
      <c r="L49" s="21">
        <f ca="1">(1+H48)*L48*(1-(SUM(L$5:L48)/'Static Parameters'!F$17)^2)</f>
        <v>6.3953484467239516E-2</v>
      </c>
      <c r="M49" s="21">
        <f ca="1">I49*B49*'Static Parameters'!C$15</f>
        <v>0.79525436830136409</v>
      </c>
      <c r="N49" s="21">
        <f ca="1">J49*C49*'Static Parameters'!D$15</f>
        <v>3.5164506350253553E-2</v>
      </c>
      <c r="O49" s="21">
        <f ca="1">K49*D49*'Static Parameters'!E$15</f>
        <v>8.527397779030577E-3</v>
      </c>
      <c r="P49" s="63">
        <f t="shared" ca="1" si="11"/>
        <v>6.3953484467239516E-2</v>
      </c>
      <c r="Q49" s="40">
        <f t="shared" ca="1" si="12"/>
        <v>0</v>
      </c>
      <c r="R49" s="40">
        <f t="shared" ca="1" si="13"/>
        <v>0</v>
      </c>
      <c r="S49" s="40">
        <f t="shared" ca="1" si="14"/>
        <v>0</v>
      </c>
      <c r="T49" s="64">
        <f ca="1">I49*'Static Parameters'!C$19/(44/12)/1000</f>
        <v>9.080987628547986E-2</v>
      </c>
      <c r="U49" s="64">
        <f ca="1">J49*'Static Parameters'!D$19/(44/12)/1000</f>
        <v>3.0563932594548445E-3</v>
      </c>
      <c r="V49" s="64">
        <f ca="1">K49*'Static Parameters'!E$19/(44/12)/1000</f>
        <v>5.4362160841319937E-4</v>
      </c>
      <c r="W49" s="64">
        <f ca="1">MAX(0,AC48*'Model - Scarcity &amp; Growth Rates'!$J48*(1-'Model - Supply'!Z48/'Static Parameters'!C$25)+'Model - Supply'!Z48/'Static Parameters'!C$27)</f>
        <v>1.656175093272731</v>
      </c>
      <c r="X49" s="64">
        <f ca="1">MAX(0,AD48*'Model - Scarcity &amp; Growth Rates'!$J48*(1-'Model - Supply'!AA48/'Static Parameters'!D$25)+'Model - Supply'!AA48/'Static Parameters'!D$27)</f>
        <v>3.1959350448533406</v>
      </c>
      <c r="Y49" s="64">
        <f ca="1">MAX(0,AE48*'Model - Scarcity &amp; Growth Rates'!$J48*(1-'Model - Supply'!AB48/'Static Parameters'!E$25)+'Model - Supply'!AB48/'Static Parameters'!E$27)</f>
        <v>0.58512077274606944</v>
      </c>
      <c r="Z49" s="64">
        <f ca="1">Z48+W49-Z48/'Static Parameters'!C$27</f>
        <v>57.987902815128251</v>
      </c>
      <c r="AA49" s="64">
        <f ca="1">AA48+X49-AA48/'Static Parameters'!D$27</f>
        <v>121.01305710659625</v>
      </c>
      <c r="AB49" s="64">
        <f ca="1">AB48+Y49-AB48/'Static Parameters'!E$27</f>
        <v>47.208726683852653</v>
      </c>
      <c r="AC49" s="64">
        <f ca="1">Z49-W49*'Static Parameters'!C$27/'Static Parameters'!C$26</f>
        <v>55.227610993007033</v>
      </c>
      <c r="AD49" s="64">
        <f ca="1">AA49-X49*'Static Parameters'!D$27/'Static Parameters'!D$26</f>
        <v>117.01813830052957</v>
      </c>
      <c r="AE49" s="64">
        <f ca="1">AB49-Y49*'Static Parameters'!E$27/'Static Parameters'!E$26</f>
        <v>46.581811570196152</v>
      </c>
      <c r="AF49" s="64">
        <f ca="1">AG48*'Model - Scarcity &amp; Growth Rates'!K48*(1-'Model - Supply'!AF48/'Static Parameters'!C$33)+'Model - Supply'!AF48</f>
        <v>61.841356348705908</v>
      </c>
      <c r="AG49" s="64">
        <f ca="1">AF49-AF49/'Static Parameters'!$C$34</f>
        <v>30.920678174352954</v>
      </c>
      <c r="AH49" s="64">
        <f t="shared" ca="1" si="15"/>
        <v>219.73046062063065</v>
      </c>
      <c r="AI49" s="64">
        <f t="shared" ca="1" si="16"/>
        <v>30.920678174352954</v>
      </c>
      <c r="AJ49" s="64">
        <f t="shared" ca="1" si="5"/>
        <v>0.79525436830136409</v>
      </c>
      <c r="AK49" s="64">
        <f t="shared" ca="1" si="6"/>
        <v>3.5164506350253553E-2</v>
      </c>
      <c r="AL49" s="64">
        <f t="shared" ca="1" si="7"/>
        <v>8.527397779030577E-3</v>
      </c>
      <c r="AM49" s="64">
        <f t="shared" ca="1" si="8"/>
        <v>6.3953484467239516E-2</v>
      </c>
      <c r="AN49" s="64">
        <f t="shared" ca="1" si="9"/>
        <v>218.82756086373277</v>
      </c>
      <c r="AO49" s="64">
        <f t="shared" ca="1" si="10"/>
        <v>30.920678174352954</v>
      </c>
    </row>
    <row r="50" spans="1:41" x14ac:dyDescent="0.35">
      <c r="A50" s="13">
        <v>2068</v>
      </c>
      <c r="B50" s="12">
        <f ca="1">MAX(0,MIN(1,B49*(1+'Model - Scarcity &amp; Growth Rates'!$D49-'Model - Scarcity &amp; Growth Rates'!$E49)))</f>
        <v>1</v>
      </c>
      <c r="C50" s="12">
        <f ca="1">MAX(0,MIN(1,C49*(1+'Model - Scarcity &amp; Growth Rates'!$D49-'Model - Scarcity &amp; Growth Rates'!$E49)))</f>
        <v>1</v>
      </c>
      <c r="D50" s="12">
        <f ca="1">MAX(0,MIN(1,D49*(1+'Model - Scarcity &amp; Growth Rates'!$D49-'Model - Scarcity &amp; Growth Rates'!$E49)))</f>
        <v>1</v>
      </c>
      <c r="E50" s="12">
        <f ca="1">B50*('Model - Scarcity &amp; Growth Rates'!$D50*(1-'Model - Scarcity &amp; Growth Rates'!$I50)-'Model - Scarcity &amp; Growth Rates'!$I50)+(1-'Model - Supply'!B50)*('Model - Scarcity &amp; Growth Rates'!$E50*(1-'Model - Scarcity &amp; Growth Rates'!$I50)-'Model - Scarcity &amp; Growth Rates'!$I50)</f>
        <v>-0.20758295906222327</v>
      </c>
      <c r="F50" s="12">
        <f ca="1">C50*('Model - Scarcity &amp; Growth Rates'!$D50*(1-'Model - Scarcity &amp; Growth Rates'!$I50)-'Model - Scarcity &amp; Growth Rates'!$I50)+(1-'Model - Supply'!C50)*('Model - Scarcity &amp; Growth Rates'!$E50*(1-'Model - Scarcity &amp; Growth Rates'!$I50)-'Model - Scarcity &amp; Growth Rates'!$I50)</f>
        <v>-0.20758295906222327</v>
      </c>
      <c r="G50" s="12">
        <f ca="1">D50*('Model - Scarcity &amp; Growth Rates'!$D50*(1-'Model - Scarcity &amp; Growth Rates'!$I50)-'Model - Scarcity &amp; Growth Rates'!$I50)+(1-'Model - Supply'!D50)*('Model - Scarcity &amp; Growth Rates'!$E50*(1-'Model - Scarcity &amp; Growth Rates'!$I50)-'Model - Scarcity &amp; Growth Rates'!$I50)</f>
        <v>-0.20758295906222327</v>
      </c>
      <c r="H50" s="12">
        <f ca="1">'Model - Scarcity &amp; Growth Rates'!J50</f>
        <v>-1.9189749110220151E-2</v>
      </c>
      <c r="I50" s="21">
        <f ca="1">(1+E49)*I49*(1-(SUM(I$5:I49)/'Static Parameters'!C$17)^2)</f>
        <v>2.4751437965039744</v>
      </c>
      <c r="J50" s="21">
        <f ca="1">(1+F49)*J49*(1-(SUM(J$5:J49)/'Static Parameters'!D$17)^2)</f>
        <v>0.10819817055514273</v>
      </c>
      <c r="K50" s="21">
        <f ca="1">(1+G49)*K49*(1-(SUM(K$5:K49)/'Static Parameters'!E$17)^2)</f>
        <v>2.252110803348947E-2</v>
      </c>
      <c r="L50" s="21">
        <f ca="1">(1+H49)*L49*(1-(SUM(L$5:L49)/'Static Parameters'!F$17)^2)</f>
        <v>4.1845793356229288E-2</v>
      </c>
      <c r="M50" s="21">
        <f ca="1">I50*B50*'Static Parameters'!C$15</f>
        <v>0.56928307319591409</v>
      </c>
      <c r="N50" s="21">
        <f ca="1">J50*C50*'Static Parameters'!D$15</f>
        <v>2.4885579227682829E-2</v>
      </c>
      <c r="O50" s="21">
        <f ca="1">K50*D50*'Static Parameters'!E$15</f>
        <v>5.4050659280374721E-3</v>
      </c>
      <c r="P50" s="63">
        <f t="shared" ca="1" si="11"/>
        <v>4.1845793356229288E-2</v>
      </c>
      <c r="Q50" s="40">
        <f t="shared" ca="1" si="12"/>
        <v>0</v>
      </c>
      <c r="R50" s="40">
        <f t="shared" ca="1" si="13"/>
        <v>0</v>
      </c>
      <c r="S50" s="40">
        <f t="shared" ca="1" si="14"/>
        <v>0</v>
      </c>
      <c r="T50" s="64">
        <f ca="1">I50*'Static Parameters'!C$19/(44/12)/1000</f>
        <v>6.5006276619090739E-2</v>
      </c>
      <c r="U50" s="64">
        <f ca="1">J50*'Static Parameters'!D$19/(44/12)/1000</f>
        <v>2.1629797913705353E-3</v>
      </c>
      <c r="V50" s="64">
        <f ca="1">K50*'Static Parameters'!E$19/(44/12)/1000</f>
        <v>3.4457295291238894E-4</v>
      </c>
      <c r="W50" s="64">
        <f ca="1">MAX(0,AC49*'Model - Scarcity &amp; Growth Rates'!$J49*(1-'Model - Supply'!Z49/'Static Parameters'!C$25)+'Model - Supply'!Z49/'Static Parameters'!C$27)</f>
        <v>1.5771724636101336</v>
      </c>
      <c r="X50" s="64">
        <f ca="1">MAX(0,AD49*'Model - Scarcity &amp; Growth Rates'!$J49*(1-'Model - Supply'!AA49/'Static Parameters'!D$25)+'Model - Supply'!AA49/'Static Parameters'!D$27)</f>
        <v>3.0083035937685962</v>
      </c>
      <c r="Y50" s="64">
        <f ca="1">MAX(0,AE49*'Model - Scarcity &amp; Growth Rates'!$J49*(1-'Model - Supply'!AB49/'Static Parameters'!E$25)+'Model - Supply'!AB49/'Static Parameters'!E$27)</f>
        <v>0.58022282979117989</v>
      </c>
      <c r="Z50" s="64">
        <f ca="1">Z49+W50-Z49/'Static Parameters'!C$27</f>
        <v>57.245559166133255</v>
      </c>
      <c r="AA50" s="64">
        <f ca="1">AA49+X50-AA49/'Static Parameters'!D$27</f>
        <v>119.180838416101</v>
      </c>
      <c r="AB50" s="64">
        <f ca="1">AB49+Y50-AB49/'Static Parameters'!E$27</f>
        <v>47.159499824525803</v>
      </c>
      <c r="AC50" s="64">
        <f ca="1">Z50-W50*'Static Parameters'!C$27/'Static Parameters'!C$26</f>
        <v>54.616938393449701</v>
      </c>
      <c r="AD50" s="64">
        <f ca="1">AA50-X50*'Static Parameters'!D$27/'Static Parameters'!D$26</f>
        <v>115.42045892389025</v>
      </c>
      <c r="AE50" s="64">
        <f ca="1">AB50-Y50*'Static Parameters'!E$27/'Static Parameters'!E$26</f>
        <v>46.537832506892393</v>
      </c>
      <c r="AF50" s="64">
        <f ca="1">AG49*'Model - Scarcity &amp; Growth Rates'!K49*(1-'Model - Supply'!AF49/'Static Parameters'!C$33)+'Model - Supply'!AF49</f>
        <v>61.126431827312743</v>
      </c>
      <c r="AG50" s="64">
        <f ca="1">AF50-AF50/'Static Parameters'!$C$34</f>
        <v>30.563215913656371</v>
      </c>
      <c r="AH50" s="64">
        <f t="shared" ca="1" si="15"/>
        <v>217.21664933594022</v>
      </c>
      <c r="AI50" s="64">
        <f t="shared" ca="1" si="16"/>
        <v>30.563215913656371</v>
      </c>
      <c r="AJ50" s="64">
        <f t="shared" ca="1" si="5"/>
        <v>0.56928307319591409</v>
      </c>
      <c r="AK50" s="64">
        <f t="shared" ca="1" si="6"/>
        <v>2.4885579227682829E-2</v>
      </c>
      <c r="AL50" s="64">
        <f t="shared" ca="1" si="7"/>
        <v>5.4050659280374721E-3</v>
      </c>
      <c r="AM50" s="64">
        <f t="shared" ca="1" si="8"/>
        <v>4.1845793356229288E-2</v>
      </c>
      <c r="AN50" s="64">
        <f t="shared" ca="1" si="9"/>
        <v>216.57522982423234</v>
      </c>
      <c r="AO50" s="64">
        <f t="shared" ca="1" si="10"/>
        <v>30.563215913656371</v>
      </c>
    </row>
    <row r="51" spans="1:41" x14ac:dyDescent="0.35">
      <c r="A51" s="13">
        <v>2069</v>
      </c>
      <c r="B51" s="12">
        <f ca="1">MAX(0,MIN(1,B50*(1+'Model - Scarcity &amp; Growth Rates'!$D50-'Model - Scarcity &amp; Growth Rates'!$E50)))</f>
        <v>1</v>
      </c>
      <c r="C51" s="12">
        <f ca="1">MAX(0,MIN(1,C50*(1+'Model - Scarcity &amp; Growth Rates'!$D50-'Model - Scarcity &amp; Growth Rates'!$E50)))</f>
        <v>1</v>
      </c>
      <c r="D51" s="12">
        <f ca="1">MAX(0,MIN(1,D50*(1+'Model - Scarcity &amp; Growth Rates'!$D50-'Model - Scarcity &amp; Growth Rates'!$E50)))</f>
        <v>1</v>
      </c>
      <c r="E51" s="12">
        <f ca="1">B51*('Model - Scarcity &amp; Growth Rates'!$D51*(1-'Model - Scarcity &amp; Growth Rates'!$I51)-'Model - Scarcity &amp; Growth Rates'!$I51)+(1-'Model - Supply'!B51)*('Model - Scarcity &amp; Growth Rates'!$E51*(1-'Model - Scarcity &amp; Growth Rates'!$I51)-'Model - Scarcity &amp; Growth Rates'!$I51)</f>
        <v>-0.20893645112853451</v>
      </c>
      <c r="F51" s="12">
        <f ca="1">C51*('Model - Scarcity &amp; Growth Rates'!$D51*(1-'Model - Scarcity &amp; Growth Rates'!$I51)-'Model - Scarcity &amp; Growth Rates'!$I51)+(1-'Model - Supply'!C51)*('Model - Scarcity &amp; Growth Rates'!$E51*(1-'Model - Scarcity &amp; Growth Rates'!$I51)-'Model - Scarcity &amp; Growth Rates'!$I51)</f>
        <v>-0.20893645112853451</v>
      </c>
      <c r="G51" s="12">
        <f ca="1">D51*('Model - Scarcity &amp; Growth Rates'!$D51*(1-'Model - Scarcity &amp; Growth Rates'!$I51)-'Model - Scarcity &amp; Growth Rates'!$I51)+(1-'Model - Supply'!D51)*('Model - Scarcity &amp; Growth Rates'!$E51*(1-'Model - Scarcity &amp; Growth Rates'!$I51)-'Model - Scarcity &amp; Growth Rates'!$I51)</f>
        <v>-0.20893645112853451</v>
      </c>
      <c r="H51" s="12">
        <f ca="1">'Model - Scarcity &amp; Growth Rates'!J51</f>
        <v>-1.8617316320256212E-2</v>
      </c>
      <c r="I51" s="21">
        <f ca="1">(1+E50)*I50*(1-(SUM(I$5:I50)/'Static Parameters'!C$17)^2)</f>
        <v>1.7669847422172513</v>
      </c>
      <c r="J51" s="21">
        <f ca="1">(1+F50)*J50*(1-(SUM(J$5:J50)/'Static Parameters'!D$17)^2)</f>
        <v>7.6365879052092384E-2</v>
      </c>
      <c r="K51" s="21">
        <f ca="1">(1+G50)*K50*(1-(SUM(K$5:K50)/'Static Parameters'!E$17)^2)</f>
        <v>1.4236807019871111E-2</v>
      </c>
      <c r="L51" s="21">
        <f ca="1">(1+H50)*L50*(1-(SUM(L$5:L50)/'Static Parameters'!F$17)^2)</f>
        <v>2.7371556328513499E-2</v>
      </c>
      <c r="M51" s="21">
        <f ca="1">I51*B51*'Static Parameters'!C$15</f>
        <v>0.40640649070996782</v>
      </c>
      <c r="N51" s="21">
        <f ca="1">J51*C51*'Static Parameters'!D$15</f>
        <v>1.7564152181981249E-2</v>
      </c>
      <c r="O51" s="21">
        <f ca="1">K51*D51*'Static Parameters'!E$15</f>
        <v>3.4168336847690663E-3</v>
      </c>
      <c r="P51" s="63">
        <f t="shared" ca="1" si="11"/>
        <v>2.7371556328513499E-2</v>
      </c>
      <c r="Q51" s="40">
        <f t="shared" ca="1" si="12"/>
        <v>0</v>
      </c>
      <c r="R51" s="40">
        <f t="shared" ca="1" si="13"/>
        <v>0</v>
      </c>
      <c r="S51" s="40">
        <f t="shared" ca="1" si="14"/>
        <v>0</v>
      </c>
      <c r="T51" s="64">
        <f ca="1">I51*'Static Parameters'!C$19/(44/12)/1000</f>
        <v>4.6407444729687636E-2</v>
      </c>
      <c r="U51" s="64">
        <f ca="1">J51*'Static Parameters'!D$19/(44/12)/1000</f>
        <v>1.5266233457777378E-3</v>
      </c>
      <c r="V51" s="64">
        <f ca="1">K51*'Static Parameters'!E$19/(44/12)/1000</f>
        <v>2.1782314740402799E-4</v>
      </c>
      <c r="W51" s="64">
        <f ca="1">MAX(0,AC50*'Model - Scarcity &amp; Growth Rates'!$J50*(1-'Model - Supply'!Z50/'Static Parameters'!C$25)+'Model - Supply'!Z50/'Static Parameters'!C$27)</f>
        <v>1.5417281798308933</v>
      </c>
      <c r="X51" s="64">
        <f ca="1">MAX(0,AD50*'Model - Scarcity &amp; Growth Rates'!$J50*(1-'Model - Supply'!AA50/'Static Parameters'!D$25)+'Model - Supply'!AA50/'Static Parameters'!D$27)</f>
        <v>2.929447323935725</v>
      </c>
      <c r="Y51" s="64">
        <f ca="1">MAX(0,AE50*'Model - Scarcity &amp; Growth Rates'!$J50*(1-'Model - Supply'!AB50/'Static Parameters'!E$25)+'Model - Supply'!AB50/'Static Parameters'!E$27)</f>
        <v>0.57805919542560324</v>
      </c>
      <c r="Z51" s="64">
        <f ca="1">Z50+W51-Z50/'Static Parameters'!C$27</f>
        <v>56.497464979318814</v>
      </c>
      <c r="AA51" s="64">
        <f ca="1">AA50+X51-AA50/'Static Parameters'!D$27</f>
        <v>117.34305220339267</v>
      </c>
      <c r="AB51" s="64">
        <f ca="1">AB50+Y51-AB50/'Static Parameters'!E$27</f>
        <v>47.108765688957725</v>
      </c>
      <c r="AC51" s="64">
        <f ca="1">Z51-W51*'Static Parameters'!C$27/'Static Parameters'!C$26</f>
        <v>53.927918012933993</v>
      </c>
      <c r="AD51" s="64">
        <f ca="1">AA51-X51*'Static Parameters'!D$27/'Static Parameters'!D$26</f>
        <v>113.68124304847302</v>
      </c>
      <c r="AE51" s="64">
        <f ca="1">AB51-Y51*'Static Parameters'!E$27/'Static Parameters'!E$26</f>
        <v>46.489416551001725</v>
      </c>
      <c r="AF51" s="64">
        <f ca="1">AG50*'Model - Scarcity &amp; Growth Rates'!K50*(1-'Model - Supply'!AF50/'Static Parameters'!C$33)+'Model - Supply'!AF50</f>
        <v>60.413194319606667</v>
      </c>
      <c r="AG51" s="64">
        <f ca="1">AF51-AF51/'Static Parameters'!$C$34</f>
        <v>30.206597159803334</v>
      </c>
      <c r="AH51" s="64">
        <f t="shared" ca="1" si="15"/>
        <v>214.55333664531395</v>
      </c>
      <c r="AI51" s="64">
        <f t="shared" ca="1" si="16"/>
        <v>30.206597159803334</v>
      </c>
      <c r="AJ51" s="64">
        <f t="shared" ca="1" si="5"/>
        <v>0.40640649070996782</v>
      </c>
      <c r="AK51" s="64">
        <f t="shared" ca="1" si="6"/>
        <v>1.7564152181981249E-2</v>
      </c>
      <c r="AL51" s="64">
        <f t="shared" ca="1" si="7"/>
        <v>3.4168336847690663E-3</v>
      </c>
      <c r="AM51" s="64">
        <f t="shared" ca="1" si="8"/>
        <v>2.7371556328513499E-2</v>
      </c>
      <c r="AN51" s="64">
        <f t="shared" ca="1" si="9"/>
        <v>214.09857761240875</v>
      </c>
      <c r="AO51" s="64">
        <f t="shared" ca="1" si="10"/>
        <v>30.206597159803334</v>
      </c>
    </row>
    <row r="52" spans="1:41" x14ac:dyDescent="0.35">
      <c r="A52" s="13">
        <v>2070</v>
      </c>
      <c r="B52" s="12">
        <f ca="1">MAX(0,MIN(1,B51*(1+'Model - Scarcity &amp; Growth Rates'!$D51-'Model - Scarcity &amp; Growth Rates'!$E51)))</f>
        <v>1</v>
      </c>
      <c r="C52" s="12">
        <f ca="1">MAX(0,MIN(1,C51*(1+'Model - Scarcity &amp; Growth Rates'!$D51-'Model - Scarcity &amp; Growth Rates'!$E51)))</f>
        <v>1</v>
      </c>
      <c r="D52" s="12">
        <f ca="1">MAX(0,MIN(1,D51*(1+'Model - Scarcity &amp; Growth Rates'!$D51-'Model - Scarcity &amp; Growth Rates'!$E51)))</f>
        <v>1</v>
      </c>
      <c r="E52" s="12">
        <f ca="1">B52*('Model - Scarcity &amp; Growth Rates'!$D52*(1-'Model - Scarcity &amp; Growth Rates'!$I52)-'Model - Scarcity &amp; Growth Rates'!$I52)+(1-'Model - Supply'!B52)*('Model - Scarcity &amp; Growth Rates'!$E52*(1-'Model - Scarcity &amp; Growth Rates'!$I52)-'Model - Scarcity &amp; Growth Rates'!$I52)</f>
        <v>-0.21005895655730264</v>
      </c>
      <c r="F52" s="12">
        <f ca="1">C52*('Model - Scarcity &amp; Growth Rates'!$D52*(1-'Model - Scarcity &amp; Growth Rates'!$I52)-'Model - Scarcity &amp; Growth Rates'!$I52)+(1-'Model - Supply'!C52)*('Model - Scarcity &amp; Growth Rates'!$E52*(1-'Model - Scarcity &amp; Growth Rates'!$I52)-'Model - Scarcity &amp; Growth Rates'!$I52)</f>
        <v>-0.21005895655730264</v>
      </c>
      <c r="G52" s="12">
        <f ca="1">D52*('Model - Scarcity &amp; Growth Rates'!$D52*(1-'Model - Scarcity &amp; Growth Rates'!$I52)-'Model - Scarcity &amp; Growth Rates'!$I52)+(1-'Model - Supply'!D52)*('Model - Scarcity &amp; Growth Rates'!$E52*(1-'Model - Scarcity &amp; Growth Rates'!$I52)-'Model - Scarcity &amp; Growth Rates'!$I52)</f>
        <v>-0.21005895655730264</v>
      </c>
      <c r="H52" s="12">
        <f ca="1">'Model - Scarcity &amp; Growth Rates'!J52</f>
        <v>-1.7864424312762542E-2</v>
      </c>
      <c r="I52" s="21">
        <f ca="1">(1+E51)*I51*(1-(SUM(I$5:I51)/'Static Parameters'!C$17)^2)</f>
        <v>1.2592195376753321</v>
      </c>
      <c r="J52" s="21">
        <f ca="1">(1+F51)*J51*(1-(SUM(J$5:J51)/'Static Parameters'!D$17)^2)</f>
        <v>5.3806372992256393E-2</v>
      </c>
      <c r="K52" s="21">
        <f ca="1">(1+G51)*K51*(1-(SUM(K$5:K51)/'Static Parameters'!E$17)^2)</f>
        <v>8.9844606259141153E-3</v>
      </c>
      <c r="L52" s="21">
        <f ca="1">(1+H51)*L51*(1-(SUM(L$5:L51)/'Static Parameters'!F$17)^2)</f>
        <v>1.791365649661324E-2</v>
      </c>
      <c r="M52" s="21">
        <f ca="1">I52*B52*'Static Parameters'!C$15</f>
        <v>0.28962049366532638</v>
      </c>
      <c r="N52" s="21">
        <f ca="1">J52*C52*'Static Parameters'!D$15</f>
        <v>1.2375465788218971E-2</v>
      </c>
      <c r="O52" s="21">
        <f ca="1">K52*D52*'Static Parameters'!E$15</f>
        <v>2.1562705502193875E-3</v>
      </c>
      <c r="P52" s="63">
        <f t="shared" ca="1" si="11"/>
        <v>1.791365649661324E-2</v>
      </c>
      <c r="Q52" s="40">
        <f t="shared" ca="1" si="12"/>
        <v>0</v>
      </c>
      <c r="R52" s="40">
        <f t="shared" ca="1" si="13"/>
        <v>0</v>
      </c>
      <c r="S52" s="40">
        <f t="shared" ca="1" si="14"/>
        <v>0</v>
      </c>
      <c r="T52" s="64">
        <f ca="1">I52*'Static Parameters'!C$19/(44/12)/1000</f>
        <v>3.3071684039491227E-2</v>
      </c>
      <c r="U52" s="64">
        <f ca="1">J52*'Static Parameters'!D$19/(44/12)/1000</f>
        <v>1.0756383109997436E-3</v>
      </c>
      <c r="V52" s="64">
        <f ca="1">K52*'Static Parameters'!E$19/(44/12)/1000</f>
        <v>1.3746224757648598E-4</v>
      </c>
      <c r="W52" s="64">
        <f ca="1">MAX(0,AC51*'Model - Scarcity &amp; Growth Rates'!$J51*(1-'Model - Supply'!Z51/'Static Parameters'!C$25)+'Model - Supply'!Z51/'Static Parameters'!C$27)</f>
        <v>1.5395208183660998</v>
      </c>
      <c r="X52" s="64">
        <f ca="1">MAX(0,AD51*'Model - Scarcity &amp; Growth Rates'!$J51*(1-'Model - Supply'!AA51/'Static Parameters'!D$25)+'Model - Supply'!AA51/'Static Parameters'!D$27)</f>
        <v>2.9320674118884877</v>
      </c>
      <c r="Y52" s="64">
        <f ca="1">MAX(0,AE51*'Model - Scarcity &amp; Growth Rates'!$J51*(1-'Model - Supply'!AB51/'Static Parameters'!E$25)+'Model - Supply'!AB51/'Static Parameters'!E$27)</f>
        <v>0.57806913730004961</v>
      </c>
      <c r="Z52" s="64">
        <f ca="1">Z51+W52-Z51/'Static Parameters'!C$27</f>
        <v>55.777087198512163</v>
      </c>
      <c r="AA52" s="64">
        <f ca="1">AA51+X52-AA51/'Static Parameters'!D$27</f>
        <v>115.58139752714546</v>
      </c>
      <c r="AB52" s="64">
        <f ca="1">AB51+Y52-AB51/'Static Parameters'!E$27</f>
        <v>47.058717950405004</v>
      </c>
      <c r="AC52" s="64">
        <f ca="1">Z52-W52*'Static Parameters'!C$27/'Static Parameters'!C$26</f>
        <v>53.211219167901994</v>
      </c>
      <c r="AD52" s="64">
        <f ca="1">AA52-X52*'Static Parameters'!D$27/'Static Parameters'!D$26</f>
        <v>111.91631326228485</v>
      </c>
      <c r="AE52" s="64">
        <f ca="1">AB52-Y52*'Static Parameters'!E$27/'Static Parameters'!E$26</f>
        <v>46.439358160440662</v>
      </c>
      <c r="AF52" s="64">
        <f ca="1">AG51*'Model - Scarcity &amp; Growth Rates'!K51*(1-'Model - Supply'!AF51/'Static Parameters'!C$33)+'Model - Supply'!AF51</f>
        <v>59.703825778605292</v>
      </c>
      <c r="AG52" s="64">
        <f ca="1">AF52-AF52/'Static Parameters'!$C$34</f>
        <v>29.851912889302646</v>
      </c>
      <c r="AH52" s="64">
        <f t="shared" ca="1" si="15"/>
        <v>211.88895647712789</v>
      </c>
      <c r="AI52" s="64">
        <f t="shared" ca="1" si="16"/>
        <v>29.851912889302646</v>
      </c>
      <c r="AJ52" s="64">
        <f t="shared" ca="1" si="5"/>
        <v>0.28962049366532638</v>
      </c>
      <c r="AK52" s="64">
        <f t="shared" ca="1" si="6"/>
        <v>1.2375465788218971E-2</v>
      </c>
      <c r="AL52" s="64">
        <f t="shared" ca="1" si="7"/>
        <v>2.1562705502193875E-3</v>
      </c>
      <c r="AM52" s="64">
        <f t="shared" ca="1" si="8"/>
        <v>1.791365649661324E-2</v>
      </c>
      <c r="AN52" s="64">
        <f t="shared" ca="1" si="9"/>
        <v>211.56689059062751</v>
      </c>
      <c r="AO52" s="64">
        <f t="shared" ca="1" si="10"/>
        <v>29.851912889302646</v>
      </c>
    </row>
    <row r="53" spans="1:41" x14ac:dyDescent="0.35">
      <c r="A53" s="13">
        <v>2071</v>
      </c>
      <c r="B53" s="12">
        <f ca="1">MAX(0,MIN(1,B52*(1+'Model - Scarcity &amp; Growth Rates'!$D52-'Model - Scarcity &amp; Growth Rates'!$E52)))</f>
        <v>1</v>
      </c>
      <c r="C53" s="12">
        <f ca="1">MAX(0,MIN(1,C52*(1+'Model - Scarcity &amp; Growth Rates'!$D52-'Model - Scarcity &amp; Growth Rates'!$E52)))</f>
        <v>1</v>
      </c>
      <c r="D53" s="12">
        <f ca="1">MAX(0,MIN(1,D52*(1+'Model - Scarcity &amp; Growth Rates'!$D52-'Model - Scarcity &amp; Growth Rates'!$E52)))</f>
        <v>1</v>
      </c>
      <c r="E53" s="12">
        <f ca="1">B53*('Model - Scarcity &amp; Growth Rates'!$D53*(1-'Model - Scarcity &amp; Growth Rates'!$I53)-'Model - Scarcity &amp; Growth Rates'!$I53)+(1-'Model - Supply'!B53)*('Model - Scarcity &amp; Growth Rates'!$E53*(1-'Model - Scarcity &amp; Growth Rates'!$I53)-'Model - Scarcity &amp; Growth Rates'!$I53)</f>
        <v>-0.2114309026040489</v>
      </c>
      <c r="F53" s="12">
        <f ca="1">C53*('Model - Scarcity &amp; Growth Rates'!$D53*(1-'Model - Scarcity &amp; Growth Rates'!$I53)-'Model - Scarcity &amp; Growth Rates'!$I53)+(1-'Model - Supply'!C53)*('Model - Scarcity &amp; Growth Rates'!$E53*(1-'Model - Scarcity &amp; Growth Rates'!$I53)-'Model - Scarcity &amp; Growth Rates'!$I53)</f>
        <v>-0.2114309026040489</v>
      </c>
      <c r="G53" s="12">
        <f ca="1">D53*('Model - Scarcity &amp; Growth Rates'!$D53*(1-'Model - Scarcity &amp; Growth Rates'!$I53)-'Model - Scarcity &amp; Growth Rates'!$I53)+(1-'Model - Supply'!D53)*('Model - Scarcity &amp; Growth Rates'!$E53*(1-'Model - Scarcity &amp; Growth Rates'!$I53)-'Model - Scarcity &amp; Growth Rates'!$I53)</f>
        <v>-0.2114309026040489</v>
      </c>
      <c r="H53" s="12">
        <f ca="1">'Model - Scarcity &amp; Growth Rates'!J53</f>
        <v>-1.7521265908410209E-2</v>
      </c>
      <c r="I53" s="21">
        <f ca="1">(1+E52)*I52*(1-(SUM(I$5:I52)/'Static Parameters'!C$17)^2)</f>
        <v>0.89606238525052651</v>
      </c>
      <c r="J53" s="21">
        <f ca="1">(1+F52)*J52*(1-(SUM(J$5:J52)/'Static Parameters'!D$17)^2)</f>
        <v>3.7857290268947325E-2</v>
      </c>
      <c r="K53" s="21">
        <f ca="1">(1+G52)*K52*(1-(SUM(K$5:K52)/'Static Parameters'!E$17)^2)</f>
        <v>5.6617944257542395E-3</v>
      </c>
      <c r="L53" s="21">
        <f ca="1">(1+H52)*L52*(1-(SUM(L$5:L52)/'Static Parameters'!F$17)^2)</f>
        <v>1.1732521441124771E-2</v>
      </c>
      <c r="M53" s="21">
        <f ca="1">I53*B53*'Static Parameters'!C$15</f>
        <v>0.2060943486076211</v>
      </c>
      <c r="N53" s="21">
        <f ca="1">J53*C53*'Static Parameters'!D$15</f>
        <v>8.7071767618578846E-3</v>
      </c>
      <c r="O53" s="21">
        <f ca="1">K53*D53*'Static Parameters'!E$15</f>
        <v>1.3588306621810174E-3</v>
      </c>
      <c r="P53" s="63">
        <f t="shared" ca="1" si="11"/>
        <v>1.1732521441124771E-2</v>
      </c>
      <c r="Q53" s="40">
        <f t="shared" ca="1" si="12"/>
        <v>0</v>
      </c>
      <c r="R53" s="40">
        <f t="shared" ca="1" si="13"/>
        <v>0</v>
      </c>
      <c r="S53" s="40">
        <f t="shared" ca="1" si="14"/>
        <v>0</v>
      </c>
      <c r="T53" s="64">
        <f ca="1">I53*'Static Parameters'!C$19/(44/12)/1000</f>
        <v>2.3533856645352465E-2</v>
      </c>
      <c r="U53" s="64">
        <f ca="1">J53*'Static Parameters'!D$19/(44/12)/1000</f>
        <v>7.5680164819468335E-4</v>
      </c>
      <c r="V53" s="64">
        <f ca="1">K53*'Static Parameters'!E$19/(44/12)/1000</f>
        <v>8.6625454714039877E-5</v>
      </c>
      <c r="W53" s="64">
        <f ca="1">MAX(0,AC52*'Model - Scarcity &amp; Growth Rates'!$J52*(1-'Model - Supply'!Z52/'Static Parameters'!C$25)+'Model - Supply'!Z52/'Static Parameters'!C$27)</f>
        <v>1.5456007828569178</v>
      </c>
      <c r="X53" s="64">
        <f ca="1">MAX(0,AD52*'Model - Scarcity &amp; Growth Rates'!$J52*(1-'Model - Supply'!AA52/'Static Parameters'!D$25)+'Model - Supply'!AA52/'Static Parameters'!D$27)</f>
        <v>2.954055762558915</v>
      </c>
      <c r="Y53" s="64">
        <f ca="1">MAX(0,AE52*'Model - Scarcity &amp; Growth Rates'!$J52*(1-'Model - Supply'!AB52/'Static Parameters'!E$25)+'Model - Supply'!AB52/'Static Parameters'!E$27)</f>
        <v>0.57864709152662486</v>
      </c>
      <c r="Z53" s="64">
        <f ca="1">Z52+W53-Z52/'Static Parameters'!C$27</f>
        <v>55.091604493428591</v>
      </c>
      <c r="AA53" s="64">
        <f ca="1">AA52+X53-AA52/'Static Parameters'!D$27</f>
        <v>113.91219738861855</v>
      </c>
      <c r="AB53" s="64">
        <f ca="1">AB52+Y53-AB52/'Static Parameters'!E$27</f>
        <v>47.00991546925956</v>
      </c>
      <c r="AC53" s="64">
        <f ca="1">Z53-W53*'Static Parameters'!C$27/'Static Parameters'!C$26</f>
        <v>52.515603188667058</v>
      </c>
      <c r="AD53" s="64">
        <f ca="1">AA53-X53*'Static Parameters'!D$27/'Static Parameters'!D$26</f>
        <v>110.21962768541991</v>
      </c>
      <c r="AE53" s="64">
        <f ca="1">AB53-Y53*'Static Parameters'!E$27/'Static Parameters'!E$26</f>
        <v>46.389936442623892</v>
      </c>
      <c r="AF53" s="64">
        <f ca="1">AG52*'Model - Scarcity &amp; Growth Rates'!K52*(1-'Model - Supply'!AF52/'Static Parameters'!C$33)+'Model - Supply'!AF52</f>
        <v>59.000410474483424</v>
      </c>
      <c r="AG53" s="64">
        <f ca="1">AF53-AF53/'Static Parameters'!$C$34</f>
        <v>29.500205237241712</v>
      </c>
      <c r="AH53" s="64">
        <f t="shared" ca="1" si="15"/>
        <v>209.35306019418363</v>
      </c>
      <c r="AI53" s="64">
        <f t="shared" ca="1" si="16"/>
        <v>29.500205237241712</v>
      </c>
      <c r="AJ53" s="64">
        <f t="shared" ca="1" si="5"/>
        <v>0.2060943486076211</v>
      </c>
      <c r="AK53" s="64">
        <f t="shared" ca="1" si="6"/>
        <v>8.7071767618578846E-3</v>
      </c>
      <c r="AL53" s="64">
        <f t="shared" ca="1" si="7"/>
        <v>1.3588306621810174E-3</v>
      </c>
      <c r="AM53" s="64">
        <f t="shared" ca="1" si="8"/>
        <v>1.1732521441124771E-2</v>
      </c>
      <c r="AN53" s="64">
        <f t="shared" ca="1" si="9"/>
        <v>209.12516731671087</v>
      </c>
      <c r="AO53" s="64">
        <f t="shared" ca="1" si="10"/>
        <v>29.500205237241712</v>
      </c>
    </row>
    <row r="54" spans="1:41" x14ac:dyDescent="0.35">
      <c r="A54" s="13">
        <v>2072</v>
      </c>
      <c r="B54" s="12">
        <f ca="1">MAX(0,MIN(1,B53*(1+'Model - Scarcity &amp; Growth Rates'!$D53-'Model - Scarcity &amp; Growth Rates'!$E53)))</f>
        <v>1</v>
      </c>
      <c r="C54" s="12">
        <f ca="1">MAX(0,MIN(1,C53*(1+'Model - Scarcity &amp; Growth Rates'!$D53-'Model - Scarcity &amp; Growth Rates'!$E53)))</f>
        <v>1</v>
      </c>
      <c r="D54" s="12">
        <f ca="1">MAX(0,MIN(1,D53*(1+'Model - Scarcity &amp; Growth Rates'!$D53-'Model - Scarcity &amp; Growth Rates'!$E53)))</f>
        <v>1</v>
      </c>
      <c r="E54" s="12">
        <f ca="1">B54*('Model - Scarcity &amp; Growth Rates'!$D54*(1-'Model - Scarcity &amp; Growth Rates'!$I54)-'Model - Scarcity &amp; Growth Rates'!$I54)+(1-'Model - Supply'!B54)*('Model - Scarcity &amp; Growth Rates'!$E54*(1-'Model - Scarcity &amp; Growth Rates'!$I54)-'Model - Scarcity &amp; Growth Rates'!$I54)</f>
        <v>-0.21320676092897842</v>
      </c>
      <c r="F54" s="12">
        <f ca="1">C54*('Model - Scarcity &amp; Growth Rates'!$D54*(1-'Model - Scarcity &amp; Growth Rates'!$I54)-'Model - Scarcity &amp; Growth Rates'!$I54)+(1-'Model - Supply'!C54)*('Model - Scarcity &amp; Growth Rates'!$E54*(1-'Model - Scarcity &amp; Growth Rates'!$I54)-'Model - Scarcity &amp; Growth Rates'!$I54)</f>
        <v>-0.21320676092897842</v>
      </c>
      <c r="G54" s="12">
        <f ca="1">D54*('Model - Scarcity &amp; Growth Rates'!$D54*(1-'Model - Scarcity &amp; Growth Rates'!$I54)-'Model - Scarcity &amp; Growth Rates'!$I54)+(1-'Model - Supply'!D54)*('Model - Scarcity &amp; Growth Rates'!$E54*(1-'Model - Scarcity &amp; Growth Rates'!$I54)-'Model - Scarcity &amp; Growth Rates'!$I54)</f>
        <v>-0.21320676092897842</v>
      </c>
      <c r="H54" s="12">
        <f ca="1">'Model - Scarcity &amp; Growth Rates'!J54</f>
        <v>-1.7776487425065272E-2</v>
      </c>
      <c r="I54" s="21">
        <f ca="1">(1+E53)*I53*(1-(SUM(I$5:I53)/'Static Parameters'!C$17)^2)</f>
        <v>0.63651599382347246</v>
      </c>
      <c r="J54" s="21">
        <f ca="1">(1+F53)*J53*(1-(SUM(J$5:J53)/'Static Parameters'!D$17)^2)</f>
        <v>2.6589434257173746E-2</v>
      </c>
      <c r="K54" s="21">
        <f ca="1">(1+G53)*K53*(1-(SUM(K$5:K53)/'Static Parameters'!E$17)^2)</f>
        <v>3.5617289008129899E-3</v>
      </c>
      <c r="L54" s="21">
        <f ca="1">(1+H53)*L53*(1-(SUM(L$5:L53)/'Static Parameters'!F$17)^2)</f>
        <v>7.6867576143480739E-3</v>
      </c>
      <c r="M54" s="21">
        <f ca="1">I54*B54*'Static Parameters'!C$15</f>
        <v>0.14639867857939867</v>
      </c>
      <c r="N54" s="21">
        <f ca="1">J54*C54*'Static Parameters'!D$15</f>
        <v>6.1155698791499616E-3</v>
      </c>
      <c r="O54" s="21">
        <f ca="1">K54*D54*'Static Parameters'!E$15</f>
        <v>8.5481493619511749E-4</v>
      </c>
      <c r="P54" s="63">
        <f t="shared" ca="1" si="11"/>
        <v>7.6867576143480739E-3</v>
      </c>
      <c r="Q54" s="40">
        <f t="shared" ca="1" si="12"/>
        <v>0</v>
      </c>
      <c r="R54" s="40">
        <f t="shared" ca="1" si="13"/>
        <v>0</v>
      </c>
      <c r="S54" s="40">
        <f t="shared" ca="1" si="14"/>
        <v>0</v>
      </c>
      <c r="T54" s="64">
        <f ca="1">I54*'Static Parameters'!C$19/(44/12)/1000</f>
        <v>1.6717224601418289E-2</v>
      </c>
      <c r="U54" s="64">
        <f ca="1">J54*'Static Parameters'!D$19/(44/12)/1000</f>
        <v>5.3154696301386433E-4</v>
      </c>
      <c r="V54" s="64">
        <f ca="1">K54*'Static Parameters'!E$19/(44/12)/1000</f>
        <v>5.449445218243874E-5</v>
      </c>
      <c r="W54" s="64">
        <f ca="1">MAX(0,AC53*'Model - Scarcity &amp; Growth Rates'!$J53*(1-'Model - Supply'!Z53/'Static Parameters'!C$25)+'Model - Supply'!Z53/'Static Parameters'!C$27)</f>
        <v>1.5369842347986906</v>
      </c>
      <c r="X54" s="64">
        <f ca="1">MAX(0,AD53*'Model - Scarcity &amp; Growth Rates'!$J53*(1-'Model - Supply'!AA53/'Static Parameters'!D$25)+'Model - Supply'!AA53/'Static Parameters'!D$27)</f>
        <v>2.9395659203611371</v>
      </c>
      <c r="Y54" s="64">
        <f ca="1">MAX(0,AE53*'Model - Scarcity &amp; Growth Rates'!$J53*(1-'Model - Supply'!AB53/'Static Parameters'!E$25)+'Model - Supply'!AB53/'Static Parameters'!E$27)</f>
        <v>0.57819143614339108</v>
      </c>
      <c r="Z54" s="64">
        <f ca="1">Z53+W54-Z53/'Static Parameters'!C$27</f>
        <v>54.424924548490132</v>
      </c>
      <c r="AA54" s="64">
        <f ca="1">AA53+X54-AA53/'Static Parameters'!D$27</f>
        <v>112.29527541343494</v>
      </c>
      <c r="AB54" s="64">
        <f ca="1">AB53+Y54-AB53/'Static Parameters'!E$27</f>
        <v>46.961308032479494</v>
      </c>
      <c r="AC54" s="64">
        <f ca="1">Z54-W54*'Static Parameters'!C$27/'Static Parameters'!C$26</f>
        <v>51.863284157158979</v>
      </c>
      <c r="AD54" s="64">
        <f ca="1">AA54-X54*'Static Parameters'!D$27/'Static Parameters'!D$26</f>
        <v>108.62081801298352</v>
      </c>
      <c r="AE54" s="64">
        <f ca="1">AB54-Y54*'Static Parameters'!E$27/'Static Parameters'!E$26</f>
        <v>46.341817208040148</v>
      </c>
      <c r="AF54" s="64">
        <f ca="1">AG53*'Model - Scarcity &amp; Growth Rates'!K53*(1-'Model - Supply'!AF53/'Static Parameters'!C$33)+'Model - Supply'!AF53</f>
        <v>58.304992705731046</v>
      </c>
      <c r="AG54" s="64">
        <f ca="1">AF54-AF54/'Static Parameters'!$C$34</f>
        <v>29.152496352865523</v>
      </c>
      <c r="AH54" s="64">
        <f t="shared" ca="1" si="15"/>
        <v>206.98697519919173</v>
      </c>
      <c r="AI54" s="64">
        <f t="shared" ca="1" si="16"/>
        <v>29.152496352865523</v>
      </c>
      <c r="AJ54" s="64">
        <f t="shared" ca="1" si="5"/>
        <v>0.14639867857939867</v>
      </c>
      <c r="AK54" s="64">
        <f t="shared" ca="1" si="6"/>
        <v>6.1155698791499616E-3</v>
      </c>
      <c r="AL54" s="64">
        <f t="shared" ca="1" si="7"/>
        <v>8.5481493619511749E-4</v>
      </c>
      <c r="AM54" s="64">
        <f t="shared" ca="1" si="8"/>
        <v>7.6867576143480739E-3</v>
      </c>
      <c r="AN54" s="64">
        <f t="shared" ca="1" si="9"/>
        <v>206.82591937818265</v>
      </c>
      <c r="AO54" s="64">
        <f t="shared" ca="1" si="10"/>
        <v>29.152496352865523</v>
      </c>
    </row>
    <row r="55" spans="1:41" x14ac:dyDescent="0.35">
      <c r="A55" s="13">
        <v>2073</v>
      </c>
      <c r="B55" s="12">
        <f ca="1">MAX(0,MIN(1,B54*(1+'Model - Scarcity &amp; Growth Rates'!$D54-'Model - Scarcity &amp; Growth Rates'!$E54)))</f>
        <v>1</v>
      </c>
      <c r="C55" s="12">
        <f ca="1">MAX(0,MIN(1,C54*(1+'Model - Scarcity &amp; Growth Rates'!$D54-'Model - Scarcity &amp; Growth Rates'!$E54)))</f>
        <v>1</v>
      </c>
      <c r="D55" s="12">
        <f ca="1">MAX(0,MIN(1,D54*(1+'Model - Scarcity &amp; Growth Rates'!$D54-'Model - Scarcity &amp; Growth Rates'!$E54)))</f>
        <v>1</v>
      </c>
      <c r="E55" s="12">
        <f ca="1">B55*('Model - Scarcity &amp; Growth Rates'!$D55*(1-'Model - Scarcity &amp; Growth Rates'!$I55)-'Model - Scarcity &amp; Growth Rates'!$I55)+(1-'Model - Supply'!B55)*('Model - Scarcity &amp; Growth Rates'!$E55*(1-'Model - Scarcity &amp; Growth Rates'!$I55)-'Model - Scarcity &amp; Growth Rates'!$I55)</f>
        <v>-0.21517766628837645</v>
      </c>
      <c r="F55" s="12">
        <f ca="1">C55*('Model - Scarcity &amp; Growth Rates'!$D55*(1-'Model - Scarcity &amp; Growth Rates'!$I55)-'Model - Scarcity &amp; Growth Rates'!$I55)+(1-'Model - Supply'!C55)*('Model - Scarcity &amp; Growth Rates'!$E55*(1-'Model - Scarcity &amp; Growth Rates'!$I55)-'Model - Scarcity &amp; Growth Rates'!$I55)</f>
        <v>-0.21517766628837645</v>
      </c>
      <c r="G55" s="12">
        <f ca="1">D55*('Model - Scarcity &amp; Growth Rates'!$D55*(1-'Model - Scarcity &amp; Growth Rates'!$I55)-'Model - Scarcity &amp; Growth Rates'!$I55)+(1-'Model - Supply'!D55)*('Model - Scarcity &amp; Growth Rates'!$E55*(1-'Model - Scarcity &amp; Growth Rates'!$I55)-'Model - Scarcity &amp; Growth Rates'!$I55)</f>
        <v>-0.21517766628837645</v>
      </c>
      <c r="H55" s="12">
        <f ca="1">'Model - Scarcity &amp; Growth Rates'!J55</f>
        <v>-1.8366022245944039E-2</v>
      </c>
      <c r="I55" s="21">
        <f ca="1">(1+E54)*I54*(1-(SUM(I$5:I54)/'Static Parameters'!C$17)^2)</f>
        <v>0.45112156823409316</v>
      </c>
      <c r="J55" s="21">
        <f ca="1">(1+F54)*J54*(1-(SUM(J$5:J54)/'Static Parameters'!D$17)^2)</f>
        <v>1.8633250154936689E-2</v>
      </c>
      <c r="K55" s="21">
        <f ca="1">(1+G54)*K54*(1-(SUM(K$5:K54)/'Static Parameters'!E$17)^2)</f>
        <v>2.235569827453497E-3</v>
      </c>
      <c r="L55" s="21">
        <f ca="1">(1+H54)*L54*(1-(SUM(L$5:L54)/'Static Parameters'!F$17)^2)</f>
        <v>5.0347463730893256E-3</v>
      </c>
      <c r="M55" s="21">
        <f ca="1">I55*B55*'Static Parameters'!C$15</f>
        <v>0.10375796069384143</v>
      </c>
      <c r="N55" s="21">
        <f ca="1">J55*C55*'Static Parameters'!D$15</f>
        <v>4.2856475356354388E-3</v>
      </c>
      <c r="O55" s="21">
        <f ca="1">K55*D55*'Static Parameters'!E$15</f>
        <v>5.3653675858883921E-4</v>
      </c>
      <c r="P55" s="63">
        <f t="shared" ca="1" si="11"/>
        <v>5.0347463730893256E-3</v>
      </c>
      <c r="Q55" s="40">
        <f t="shared" ca="1" si="12"/>
        <v>0</v>
      </c>
      <c r="R55" s="40">
        <f t="shared" ca="1" si="13"/>
        <v>0</v>
      </c>
      <c r="S55" s="40">
        <f t="shared" ca="1" si="14"/>
        <v>0</v>
      </c>
      <c r="T55" s="64">
        <f ca="1">I55*'Static Parameters'!C$19/(44/12)/1000</f>
        <v>1.1848092823893593E-2</v>
      </c>
      <c r="U55" s="64">
        <f ca="1">J55*'Static Parameters'!D$19/(44/12)/1000</f>
        <v>3.7249560991550707E-4</v>
      </c>
      <c r="V55" s="64">
        <f ca="1">K55*'Static Parameters'!E$19/(44/12)/1000</f>
        <v>3.4204218360038506E-5</v>
      </c>
      <c r="W55" s="64">
        <f ca="1">MAX(0,AC54*'Model - Scarcity &amp; Growth Rates'!$J54*(1-'Model - Supply'!Z54/'Static Parameters'!C$25)+'Model - Supply'!Z54/'Static Parameters'!C$27)</f>
        <v>1.505934447933851</v>
      </c>
      <c r="X55" s="64">
        <f ca="1">MAX(0,AD54*'Model - Scarcity &amp; Growth Rates'!$J54*(1-'Model - Supply'!AA54/'Static Parameters'!D$25)+'Model - Supply'!AA54/'Static Parameters'!D$27)</f>
        <v>2.8706723626155775</v>
      </c>
      <c r="Y55" s="64">
        <f ca="1">MAX(0,AE54*'Model - Scarcity &amp; Growth Rates'!$J54*(1-'Model - Supply'!AB54/'Static Parameters'!E$25)+'Model - Supply'!AB54/'Static Parameters'!E$27)</f>
        <v>0.57608560513579443</v>
      </c>
      <c r="Z55" s="64">
        <f ca="1">Z54+W55-Z54/'Static Parameters'!C$27</f>
        <v>53.753862014484383</v>
      </c>
      <c r="AA55" s="64">
        <f ca="1">AA54+X55-AA54/'Static Parameters'!D$27</f>
        <v>110.67413675951312</v>
      </c>
      <c r="AB55" s="64">
        <f ca="1">AB54+Y55-AB54/'Static Parameters'!E$27</f>
        <v>46.911242863848898</v>
      </c>
      <c r="AC55" s="64">
        <f ca="1">Z55-W55*'Static Parameters'!C$27/'Static Parameters'!C$26</f>
        <v>51.243971267927968</v>
      </c>
      <c r="AD55" s="64">
        <f ca="1">AA55-X55*'Static Parameters'!D$27/'Static Parameters'!D$26</f>
        <v>107.08579630624365</v>
      </c>
      <c r="AE55" s="64">
        <f ca="1">AB55-Y55*'Static Parameters'!E$27/'Static Parameters'!E$26</f>
        <v>46.294008286917688</v>
      </c>
      <c r="AF55" s="64">
        <f ca="1">AG54*'Model - Scarcity &amp; Growth Rates'!K54*(1-'Model - Supply'!AF54/'Static Parameters'!C$33)+'Model - Supply'!AF54</f>
        <v>57.619496490000387</v>
      </c>
      <c r="AG55" s="64">
        <f ca="1">AF55-AF55/'Static Parameters'!$C$34</f>
        <v>28.809748245000193</v>
      </c>
      <c r="AH55" s="64">
        <f t="shared" ca="1" si="15"/>
        <v>204.73739075245047</v>
      </c>
      <c r="AI55" s="64">
        <f t="shared" ca="1" si="16"/>
        <v>28.809748245000193</v>
      </c>
      <c r="AJ55" s="64">
        <f t="shared" ca="1" si="5"/>
        <v>0.10375796069384143</v>
      </c>
      <c r="AK55" s="64">
        <f t="shared" ca="1" si="6"/>
        <v>4.2856475356354388E-3</v>
      </c>
      <c r="AL55" s="64">
        <f t="shared" ca="1" si="7"/>
        <v>5.3653675858883921E-4</v>
      </c>
      <c r="AM55" s="64">
        <f t="shared" ca="1" si="8"/>
        <v>5.0347463730893256E-3</v>
      </c>
      <c r="AN55" s="64">
        <f t="shared" ca="1" si="9"/>
        <v>204.62377586108931</v>
      </c>
      <c r="AO55" s="64">
        <f t="shared" ca="1" si="10"/>
        <v>28.809748245000193</v>
      </c>
    </row>
    <row r="56" spans="1:41" x14ac:dyDescent="0.35">
      <c r="A56" s="13">
        <v>2074</v>
      </c>
      <c r="B56" s="12">
        <f ca="1">MAX(0,MIN(1,B55*(1+'Model - Scarcity &amp; Growth Rates'!$D55-'Model - Scarcity &amp; Growth Rates'!$E55)))</f>
        <v>1</v>
      </c>
      <c r="C56" s="12">
        <f ca="1">MAX(0,MIN(1,C55*(1+'Model - Scarcity &amp; Growth Rates'!$D55-'Model - Scarcity &amp; Growth Rates'!$E55)))</f>
        <v>1</v>
      </c>
      <c r="D56" s="12">
        <f ca="1">MAX(0,MIN(1,D55*(1+'Model - Scarcity &amp; Growth Rates'!$D55-'Model - Scarcity &amp; Growth Rates'!$E55)))</f>
        <v>1</v>
      </c>
      <c r="E56" s="12">
        <f ca="1">B56*('Model - Scarcity &amp; Growth Rates'!$D56*(1-'Model - Scarcity &amp; Growth Rates'!$I56)-'Model - Scarcity &amp; Growth Rates'!$I56)+(1-'Model - Supply'!B56)*('Model - Scarcity &amp; Growth Rates'!$E56*(1-'Model - Scarcity &amp; Growth Rates'!$I56)-'Model - Scarcity &amp; Growth Rates'!$I56)</f>
        <v>-0.21694853533992051</v>
      </c>
      <c r="F56" s="12">
        <f ca="1">C56*('Model - Scarcity &amp; Growth Rates'!$D56*(1-'Model - Scarcity &amp; Growth Rates'!$I56)-'Model - Scarcity &amp; Growth Rates'!$I56)+(1-'Model - Supply'!C56)*('Model - Scarcity &amp; Growth Rates'!$E56*(1-'Model - Scarcity &amp; Growth Rates'!$I56)-'Model - Scarcity &amp; Growth Rates'!$I56)</f>
        <v>-0.21694853533992051</v>
      </c>
      <c r="G56" s="12">
        <f ca="1">D56*('Model - Scarcity &amp; Growth Rates'!$D56*(1-'Model - Scarcity &amp; Growth Rates'!$I56)-'Model - Scarcity &amp; Growth Rates'!$I56)+(1-'Model - Supply'!D56)*('Model - Scarcity &amp; Growth Rates'!$E56*(1-'Model - Scarcity &amp; Growth Rates'!$I56)-'Model - Scarcity &amp; Growth Rates'!$I56)</f>
        <v>-0.21694853533992051</v>
      </c>
      <c r="H56" s="12">
        <f ca="1">'Model - Scarcity &amp; Growth Rates'!J56</f>
        <v>-1.8790723363151313E-2</v>
      </c>
      <c r="I56" s="21">
        <f ca="1">(1+E55)*I55*(1-(SUM(I$5:I55)/'Static Parameters'!C$17)^2)</f>
        <v>0.31892103171284597</v>
      </c>
      <c r="J56" s="21">
        <f ca="1">(1+F55)*J55*(1-(SUM(J$5:J55)/'Static Parameters'!D$17)^2)</f>
        <v>1.3025014674967613E-2</v>
      </c>
      <c r="K56" s="21">
        <f ca="1">(1+G55)*K55*(1-(SUM(K$5:K55)/'Static Parameters'!E$17)^2)</f>
        <v>1.399671745049576E-3</v>
      </c>
      <c r="L56" s="21">
        <f ca="1">(1+H55)*L55*(1-(SUM(L$5:L55)/'Static Parameters'!F$17)^2)</f>
        <v>3.2957044686391852E-3</v>
      </c>
      <c r="M56" s="21">
        <f ca="1">I56*B56*'Static Parameters'!C$15</f>
        <v>7.3351837293954572E-2</v>
      </c>
      <c r="N56" s="21">
        <f ca="1">J56*C56*'Static Parameters'!D$15</f>
        <v>2.9957533752425509E-3</v>
      </c>
      <c r="O56" s="21">
        <f ca="1">K56*D56*'Static Parameters'!E$15</f>
        <v>3.3592121881189822E-4</v>
      </c>
      <c r="P56" s="63">
        <f t="shared" ca="1" si="11"/>
        <v>3.2957044686391852E-3</v>
      </c>
      <c r="Q56" s="40">
        <f t="shared" ca="1" si="12"/>
        <v>0</v>
      </c>
      <c r="R56" s="40">
        <f t="shared" ca="1" si="13"/>
        <v>0</v>
      </c>
      <c r="S56" s="40">
        <f t="shared" ca="1" si="14"/>
        <v>0</v>
      </c>
      <c r="T56" s="64">
        <f ca="1">I56*'Static Parameters'!C$19/(44/12)/1000</f>
        <v>8.3760260056219265E-3</v>
      </c>
      <c r="U56" s="64">
        <f ca="1">J56*'Static Parameters'!D$19/(44/12)/1000</f>
        <v>2.6038188427503434E-4</v>
      </c>
      <c r="V56" s="64">
        <f ca="1">K56*'Static Parameters'!E$19/(44/12)/1000</f>
        <v>2.1414977699258513E-5</v>
      </c>
      <c r="W56" s="64">
        <f ca="1">MAX(0,AC55*'Model - Scarcity &amp; Growth Rates'!$J55*(1-'Model - Supply'!Z55/'Static Parameters'!C$25)+'Model - Supply'!Z55/'Static Parameters'!C$27)</f>
        <v>1.4619582404360361</v>
      </c>
      <c r="X56" s="64">
        <f ca="1">MAX(0,AD55*'Model - Scarcity &amp; Growth Rates'!$J55*(1-'Model - Supply'!AA55/'Static Parameters'!D$25)+'Model - Supply'!AA55/'Static Parameters'!D$27)</f>
        <v>2.7711785884808005</v>
      </c>
      <c r="Y56" s="64">
        <f ca="1">MAX(0,AE55*'Model - Scarcity &amp; Growth Rates'!$J55*(1-'Model - Supply'!AB55/'Static Parameters'!E$25)+'Model - Supply'!AB55/'Static Parameters'!E$27)</f>
        <v>0.57295973937796019</v>
      </c>
      <c r="Z56" s="64">
        <f ca="1">Z55+W56-Z55/'Static Parameters'!C$27</f>
        <v>53.065665774341042</v>
      </c>
      <c r="AA56" s="64">
        <f ca="1">AA55+X56-AA55/'Static Parameters'!D$27</f>
        <v>109.01834987761339</v>
      </c>
      <c r="AB56" s="64">
        <f ca="1">AB55+Y56-AB55/'Static Parameters'!E$27</f>
        <v>46.858719365042205</v>
      </c>
      <c r="AC56" s="64">
        <f ca="1">Z56-W56*'Static Parameters'!C$27/'Static Parameters'!C$26</f>
        <v>50.629068706947649</v>
      </c>
      <c r="AD56" s="64">
        <f ca="1">AA56-X56*'Static Parameters'!D$27/'Static Parameters'!D$26</f>
        <v>105.55437664201239</v>
      </c>
      <c r="AE56" s="64">
        <f ca="1">AB56-Y56*'Static Parameters'!E$27/'Static Parameters'!E$26</f>
        <v>46.244833929994392</v>
      </c>
      <c r="AF56" s="64">
        <f ca="1">AG55*'Model - Scarcity &amp; Growth Rates'!K55*(1-'Model - Supply'!AF55/'Static Parameters'!C$33)+'Model - Supply'!AF55</f>
        <v>56.945560843148549</v>
      </c>
      <c r="AG56" s="64">
        <f ca="1">AF56-AF56/'Static Parameters'!$C$34</f>
        <v>28.472780421574274</v>
      </c>
      <c r="AH56" s="64">
        <f t="shared" ca="1" si="15"/>
        <v>202.50825849531108</v>
      </c>
      <c r="AI56" s="64">
        <f t="shared" ca="1" si="16"/>
        <v>28.472780421574274</v>
      </c>
      <c r="AJ56" s="64">
        <f t="shared" ca="1" si="5"/>
        <v>7.3351837293954572E-2</v>
      </c>
      <c r="AK56" s="64">
        <f t="shared" ca="1" si="6"/>
        <v>2.9957533752425509E-3</v>
      </c>
      <c r="AL56" s="64">
        <f t="shared" ca="1" si="7"/>
        <v>3.3592121881189822E-4</v>
      </c>
      <c r="AM56" s="64">
        <f t="shared" ca="1" si="8"/>
        <v>3.2957044686391852E-3</v>
      </c>
      <c r="AN56" s="64">
        <f t="shared" ca="1" si="9"/>
        <v>202.42827927895445</v>
      </c>
      <c r="AO56" s="64">
        <f t="shared" ca="1" si="10"/>
        <v>28.472780421574274</v>
      </c>
    </row>
    <row r="57" spans="1:41" x14ac:dyDescent="0.35">
      <c r="A57" s="13">
        <v>2075</v>
      </c>
      <c r="B57" s="12">
        <f ca="1">MAX(0,MIN(1,B56*(1+'Model - Scarcity &amp; Growth Rates'!$D56-'Model - Scarcity &amp; Growth Rates'!$E56)))</f>
        <v>1</v>
      </c>
      <c r="C57" s="12">
        <f ca="1">MAX(0,MIN(1,C56*(1+'Model - Scarcity &amp; Growth Rates'!$D56-'Model - Scarcity &amp; Growth Rates'!$E56)))</f>
        <v>1</v>
      </c>
      <c r="D57" s="12">
        <f ca="1">MAX(0,MIN(1,D56*(1+'Model - Scarcity &amp; Growth Rates'!$D56-'Model - Scarcity &amp; Growth Rates'!$E56)))</f>
        <v>1</v>
      </c>
      <c r="E57" s="12">
        <f ca="1">B57*('Model - Scarcity &amp; Growth Rates'!$D57*(1-'Model - Scarcity &amp; Growth Rates'!$I57)-'Model - Scarcity &amp; Growth Rates'!$I57)+(1-'Model - Supply'!B57)*('Model - Scarcity &amp; Growth Rates'!$E57*(1-'Model - Scarcity &amp; Growth Rates'!$I57)-'Model - Scarcity &amp; Growth Rates'!$I57)</f>
        <v>-0.21821983363556202</v>
      </c>
      <c r="F57" s="12">
        <f ca="1">C57*('Model - Scarcity &amp; Growth Rates'!$D57*(1-'Model - Scarcity &amp; Growth Rates'!$I57)-'Model - Scarcity &amp; Growth Rates'!$I57)+(1-'Model - Supply'!C57)*('Model - Scarcity &amp; Growth Rates'!$E57*(1-'Model - Scarcity &amp; Growth Rates'!$I57)-'Model - Scarcity &amp; Growth Rates'!$I57)</f>
        <v>-0.21821983363556202</v>
      </c>
      <c r="G57" s="12">
        <f ca="1">D57*('Model - Scarcity &amp; Growth Rates'!$D57*(1-'Model - Scarcity &amp; Growth Rates'!$I57)-'Model - Scarcity &amp; Growth Rates'!$I57)+(1-'Model - Supply'!D57)*('Model - Scarcity &amp; Growth Rates'!$E57*(1-'Model - Scarcity &amp; Growth Rates'!$I57)-'Model - Scarcity &amp; Growth Rates'!$I57)</f>
        <v>-0.21821983363556202</v>
      </c>
      <c r="H57" s="12">
        <f ca="1">'Model - Scarcity &amp; Growth Rates'!J57</f>
        <v>-1.8668200074951565E-2</v>
      </c>
      <c r="I57" s="21">
        <f ca="1">(1+E56)*I56*(1-(SUM(I$5:I56)/'Static Parameters'!C$17)^2)</f>
        <v>0.22495095410465515</v>
      </c>
      <c r="J57" s="21">
        <f ca="1">(1+F56)*J56*(1-(SUM(J$5:J56)/'Static Parameters'!D$17)^2)</f>
        <v>9.0841925367100562E-3</v>
      </c>
      <c r="K57" s="21">
        <f ca="1">(1+G56)*K56*(1-(SUM(K$5:K56)/'Static Parameters'!E$17)^2)</f>
        <v>8.7434535363866989E-4</v>
      </c>
      <c r="L57" s="21">
        <f ca="1">(1+H56)*L56*(1-(SUM(L$5:L56)/'Static Parameters'!F$17)^2)</f>
        <v>2.1563984974418116E-3</v>
      </c>
      <c r="M57" s="21">
        <f ca="1">I57*B57*'Static Parameters'!C$15</f>
        <v>5.1738719444070685E-2</v>
      </c>
      <c r="N57" s="21">
        <f ca="1">J57*C57*'Static Parameters'!D$15</f>
        <v>2.0893642834433129E-3</v>
      </c>
      <c r="O57" s="21">
        <f ca="1">K57*D57*'Static Parameters'!E$15</f>
        <v>2.0984288487328076E-4</v>
      </c>
      <c r="P57" s="63">
        <f t="shared" ca="1" si="11"/>
        <v>2.1563984974418116E-3</v>
      </c>
      <c r="Q57" s="40">
        <f t="shared" ca="1" si="12"/>
        <v>0</v>
      </c>
      <c r="R57" s="40">
        <f t="shared" ca="1" si="13"/>
        <v>0</v>
      </c>
      <c r="S57" s="40">
        <f t="shared" ca="1" si="14"/>
        <v>0</v>
      </c>
      <c r="T57" s="64">
        <f ca="1">I57*'Static Parameters'!C$19/(44/12)/1000</f>
        <v>5.9080300582577162E-3</v>
      </c>
      <c r="U57" s="64">
        <f ca="1">J57*'Static Parameters'!D$19/(44/12)/1000</f>
        <v>1.8160126716568558E-4</v>
      </c>
      <c r="V57" s="64">
        <f ca="1">K57*'Static Parameters'!E$19/(44/12)/1000</f>
        <v>1.3377483910671649E-5</v>
      </c>
      <c r="W57" s="64">
        <f ca="1">MAX(0,AC56*'Model - Scarcity &amp; Growth Rates'!$J56*(1-'Model - Supply'!Z56/'Static Parameters'!C$25)+'Model - Supply'!Z56/'Static Parameters'!C$27)</f>
        <v>1.4236917230947403</v>
      </c>
      <c r="X57" s="64">
        <f ca="1">MAX(0,AD56*'Model - Scarcity &amp; Growth Rates'!$J56*(1-'Model - Supply'!AA56/'Static Parameters'!D$25)+'Model - Supply'!AA56/'Static Parameters'!D$27)</f>
        <v>2.6861933222606291</v>
      </c>
      <c r="Y57" s="64">
        <f ca="1">MAX(0,AE56*'Model - Scarcity &amp; Growth Rates'!$J56*(1-'Model - Supply'!AB56/'Static Parameters'!E$25)+'Model - Supply'!AB56/'Static Parameters'!E$27)</f>
        <v>0.57018910835163861</v>
      </c>
      <c r="Z57" s="64">
        <f ca="1">Z56+W57-Z56/'Static Parameters'!C$27</f>
        <v>52.366730866462142</v>
      </c>
      <c r="AA57" s="64">
        <f ca="1">AA56+X57-AA56/'Static Parameters'!D$27</f>
        <v>107.34380920476949</v>
      </c>
      <c r="AB57" s="64">
        <f ca="1">AB56+Y57-AB56/'Static Parameters'!E$27</f>
        <v>46.804125548526621</v>
      </c>
      <c r="AC57" s="64">
        <f ca="1">Z57-W57*'Static Parameters'!C$27/'Static Parameters'!C$26</f>
        <v>49.993911327970906</v>
      </c>
      <c r="AD57" s="64">
        <f ca="1">AA57-X57*'Static Parameters'!D$27/'Static Parameters'!D$26</f>
        <v>103.98606755194371</v>
      </c>
      <c r="AE57" s="64">
        <f ca="1">AB57-Y57*'Static Parameters'!E$27/'Static Parameters'!E$26</f>
        <v>46.193208646721295</v>
      </c>
      <c r="AF57" s="64">
        <f ca="1">AG56*'Model - Scarcity &amp; Growth Rates'!K56*(1-'Model - Supply'!AF56/'Static Parameters'!C$33)+'Model - Supply'!AF56</f>
        <v>56.284784848033169</v>
      </c>
      <c r="AG57" s="64">
        <f ca="1">AF57-AF57/'Static Parameters'!$C$34</f>
        <v>28.142392424016585</v>
      </c>
      <c r="AH57" s="64">
        <f t="shared" ca="1" si="15"/>
        <v>200.22938185174576</v>
      </c>
      <c r="AI57" s="64">
        <f t="shared" ca="1" si="16"/>
        <v>28.142392424016585</v>
      </c>
      <c r="AJ57" s="64">
        <f t="shared" ca="1" si="5"/>
        <v>5.1738719444070685E-2</v>
      </c>
      <c r="AK57" s="64">
        <f t="shared" ca="1" si="6"/>
        <v>2.0893642834433129E-3</v>
      </c>
      <c r="AL57" s="64">
        <f t="shared" ca="1" si="7"/>
        <v>2.0984288487328076E-4</v>
      </c>
      <c r="AM57" s="64">
        <f t="shared" ca="1" si="8"/>
        <v>2.1563984974418116E-3</v>
      </c>
      <c r="AN57" s="64">
        <f t="shared" ca="1" si="9"/>
        <v>200.1731875266359</v>
      </c>
      <c r="AO57" s="64">
        <f t="shared" ca="1" si="10"/>
        <v>28.142392424016585</v>
      </c>
    </row>
    <row r="58" spans="1:41" x14ac:dyDescent="0.35">
      <c r="A58" s="13">
        <v>2076</v>
      </c>
      <c r="B58" s="12">
        <f ca="1">MAX(0,MIN(1,B57*(1+'Model - Scarcity &amp; Growth Rates'!$D57-'Model - Scarcity &amp; Growth Rates'!$E57)))</f>
        <v>1</v>
      </c>
      <c r="C58" s="12">
        <f ca="1">MAX(0,MIN(1,C57*(1+'Model - Scarcity &amp; Growth Rates'!$D57-'Model - Scarcity &amp; Growth Rates'!$E57)))</f>
        <v>1</v>
      </c>
      <c r="D58" s="12">
        <f ca="1">MAX(0,MIN(1,D57*(1+'Model - Scarcity &amp; Growth Rates'!$D57-'Model - Scarcity &amp; Growth Rates'!$E57)))</f>
        <v>1</v>
      </c>
      <c r="E58" s="12">
        <f ca="1">B58*('Model - Scarcity &amp; Growth Rates'!$D58*(1-'Model - Scarcity &amp; Growth Rates'!$I58)-'Model - Scarcity &amp; Growth Rates'!$I58)+(1-'Model - Supply'!B58)*('Model - Scarcity &amp; Growth Rates'!$E58*(1-'Model - Scarcity &amp; Growth Rates'!$I58)-'Model - Scarcity &amp; Growth Rates'!$I58)</f>
        <v>-0.21897020717714652</v>
      </c>
      <c r="F58" s="12">
        <f ca="1">C58*('Model - Scarcity &amp; Growth Rates'!$D58*(1-'Model - Scarcity &amp; Growth Rates'!$I58)-'Model - Scarcity &amp; Growth Rates'!$I58)+(1-'Model - Supply'!C58)*('Model - Scarcity &amp; Growth Rates'!$E58*(1-'Model - Scarcity &amp; Growth Rates'!$I58)-'Model - Scarcity &amp; Growth Rates'!$I58)</f>
        <v>-0.21897020717714652</v>
      </c>
      <c r="G58" s="12">
        <f ca="1">D58*('Model - Scarcity &amp; Growth Rates'!$D58*(1-'Model - Scarcity &amp; Growth Rates'!$I58)-'Model - Scarcity &amp; Growth Rates'!$I58)+(1-'Model - Supply'!D58)*('Model - Scarcity &amp; Growth Rates'!$E58*(1-'Model - Scarcity &amp; Growth Rates'!$I58)-'Model - Scarcity &amp; Growth Rates'!$I58)</f>
        <v>-0.21897020717714652</v>
      </c>
      <c r="H58" s="12">
        <f ca="1">'Model - Scarcity &amp; Growth Rates'!J58</f>
        <v>-1.7963784107200405E-2</v>
      </c>
      <c r="I58" s="21">
        <f ca="1">(1+E57)*I57*(1-(SUM(I$5:I57)/'Static Parameters'!C$17)^2)</f>
        <v>0.15841056757693353</v>
      </c>
      <c r="J58" s="21">
        <f ca="1">(1+F57)*J57*(1-(SUM(J$5:J57)/'Static Parameters'!D$17)^2)</f>
        <v>6.3254068889143991E-3</v>
      </c>
      <c r="K58" s="21">
        <f ca="1">(1+G57)*K57*(1-(SUM(K$5:K57)/'Static Parameters'!E$17)^2)</f>
        <v>5.4529824252415717E-4</v>
      </c>
      <c r="L58" s="21">
        <f ca="1">(1+H57)*L57*(1-(SUM(L$5:L57)/'Static Parameters'!F$17)^2)</f>
        <v>1.4111160135996546E-3</v>
      </c>
      <c r="M58" s="21">
        <f ca="1">I58*B58*'Static Parameters'!C$15</f>
        <v>3.6434430542694712E-2</v>
      </c>
      <c r="N58" s="21">
        <f ca="1">J58*C58*'Static Parameters'!D$15</f>
        <v>1.4548435844503119E-3</v>
      </c>
      <c r="O58" s="21">
        <f ca="1">K58*D58*'Static Parameters'!E$15</f>
        <v>1.3087157820579771E-4</v>
      </c>
      <c r="P58" s="63">
        <f t="shared" ca="1" si="11"/>
        <v>1.4111160135996546E-3</v>
      </c>
      <c r="Q58" s="40">
        <f t="shared" ca="1" si="12"/>
        <v>0</v>
      </c>
      <c r="R58" s="40">
        <f t="shared" ca="1" si="13"/>
        <v>0</v>
      </c>
      <c r="S58" s="40">
        <f t="shared" ca="1" si="14"/>
        <v>0</v>
      </c>
      <c r="T58" s="64">
        <f ca="1">I58*'Static Parameters'!C$19/(44/12)/1000</f>
        <v>4.1604375429978267E-3</v>
      </c>
      <c r="U58" s="64">
        <f ca="1">J58*'Static Parameters'!D$19/(44/12)/1000</f>
        <v>1.2645063407929784E-4</v>
      </c>
      <c r="V58" s="64">
        <f ca="1">K58*'Static Parameters'!E$19/(44/12)/1000</f>
        <v>8.3430631106196046E-6</v>
      </c>
      <c r="W58" s="64">
        <f ca="1">MAX(0,AC57*'Model - Scarcity &amp; Growth Rates'!$J57*(1-'Model - Supply'!Z57/'Static Parameters'!C$25)+'Model - Supply'!Z57/'Static Parameters'!C$27)</f>
        <v>1.4057412865262275</v>
      </c>
      <c r="X58" s="64">
        <f ca="1">MAX(0,AD57*'Model - Scarcity &amp; Growth Rates'!$J57*(1-'Model - Supply'!AA57/'Static Parameters'!D$25)+'Model - Supply'!AA57/'Static Parameters'!D$27)</f>
        <v>2.6502043885249185</v>
      </c>
      <c r="Y58" s="64">
        <f ca="1">MAX(0,AE57*'Model - Scarcity &amp; Growth Rates'!$J57*(1-'Model - Supply'!AB57/'Static Parameters'!E$25)+'Model - Supply'!AB57/'Static Parameters'!E$27)</f>
        <v>0.56893614024736172</v>
      </c>
      <c r="Z58" s="64">
        <f ca="1">Z57+W58-Z57/'Static Parameters'!C$27</f>
        <v>51.677802918329888</v>
      </c>
      <c r="AA58" s="64">
        <f ca="1">AA57+X58-AA57/'Static Parameters'!D$27</f>
        <v>105.70026122510362</v>
      </c>
      <c r="AB58" s="64">
        <f ca="1">AB57+Y58-AB57/'Static Parameters'!E$27</f>
        <v>46.749006681460294</v>
      </c>
      <c r="AC58" s="64">
        <f ca="1">Z58-W58*'Static Parameters'!C$27/'Static Parameters'!C$26</f>
        <v>49.334900774119511</v>
      </c>
      <c r="AD58" s="64">
        <f ca="1">AA58-X58*'Static Parameters'!D$27/'Static Parameters'!D$26</f>
        <v>102.38750573944746</v>
      </c>
      <c r="AE58" s="64">
        <f ca="1">AB58-Y58*'Static Parameters'!E$27/'Static Parameters'!E$26</f>
        <v>46.139432245480975</v>
      </c>
      <c r="AF58" s="64">
        <f ca="1">AG57*'Model - Scarcity &amp; Growth Rates'!K57*(1-'Model - Supply'!AF57/'Static Parameters'!C$33)+'Model - Supply'!AF57</f>
        <v>55.638568480615525</v>
      </c>
      <c r="AG58" s="64">
        <f ca="1">AF58-AF58/'Static Parameters'!$C$34</f>
        <v>27.819284240307763</v>
      </c>
      <c r="AH58" s="64">
        <f t="shared" ca="1" si="15"/>
        <v>197.9012700207669</v>
      </c>
      <c r="AI58" s="64">
        <f t="shared" ca="1" si="16"/>
        <v>27.819284240307763</v>
      </c>
      <c r="AJ58" s="64">
        <f t="shared" ca="1" si="5"/>
        <v>3.6434430542694712E-2</v>
      </c>
      <c r="AK58" s="64">
        <f t="shared" ca="1" si="6"/>
        <v>1.4548435844503119E-3</v>
      </c>
      <c r="AL58" s="64">
        <f t="shared" ca="1" si="7"/>
        <v>1.3087157820579771E-4</v>
      </c>
      <c r="AM58" s="64">
        <f t="shared" ca="1" si="8"/>
        <v>1.4111160135996546E-3</v>
      </c>
      <c r="AN58" s="64">
        <f t="shared" ca="1" si="9"/>
        <v>197.86183875904794</v>
      </c>
      <c r="AO58" s="64">
        <f t="shared" ca="1" si="10"/>
        <v>27.819284240307763</v>
      </c>
    </row>
    <row r="59" spans="1:41" x14ac:dyDescent="0.35">
      <c r="A59" s="13">
        <v>2077</v>
      </c>
      <c r="B59" s="12">
        <f ca="1">MAX(0,MIN(1,B58*(1+'Model - Scarcity &amp; Growth Rates'!$D58-'Model - Scarcity &amp; Growth Rates'!$E58)))</f>
        <v>1</v>
      </c>
      <c r="C59" s="12">
        <f ca="1">MAX(0,MIN(1,C58*(1+'Model - Scarcity &amp; Growth Rates'!$D58-'Model - Scarcity &amp; Growth Rates'!$E58)))</f>
        <v>1</v>
      </c>
      <c r="D59" s="12">
        <f ca="1">MAX(0,MIN(1,D58*(1+'Model - Scarcity &amp; Growth Rates'!$D58-'Model - Scarcity &amp; Growth Rates'!$E58)))</f>
        <v>1</v>
      </c>
      <c r="E59" s="12">
        <f ca="1">B59*('Model - Scarcity &amp; Growth Rates'!$D59*(1-'Model - Scarcity &amp; Growth Rates'!$I59)-'Model - Scarcity &amp; Growth Rates'!$I59)+(1-'Model - Supply'!B59)*('Model - Scarcity &amp; Growth Rates'!$E59*(1-'Model - Scarcity &amp; Growth Rates'!$I59)-'Model - Scarcity &amp; Growth Rates'!$I59)</f>
        <v>-0.21944553240067524</v>
      </c>
      <c r="F59" s="12">
        <f ca="1">C59*('Model - Scarcity &amp; Growth Rates'!$D59*(1-'Model - Scarcity &amp; Growth Rates'!$I59)-'Model - Scarcity &amp; Growth Rates'!$I59)+(1-'Model - Supply'!C59)*('Model - Scarcity &amp; Growth Rates'!$E59*(1-'Model - Scarcity &amp; Growth Rates'!$I59)-'Model - Scarcity &amp; Growth Rates'!$I59)</f>
        <v>-0.21944553240067524</v>
      </c>
      <c r="G59" s="12">
        <f ca="1">D59*('Model - Scarcity &amp; Growth Rates'!$D59*(1-'Model - Scarcity &amp; Growth Rates'!$I59)-'Model - Scarcity &amp; Growth Rates'!$I59)+(1-'Model - Supply'!D59)*('Model - Scarcity &amp; Growth Rates'!$E59*(1-'Model - Scarcity &amp; Growth Rates'!$I59)-'Model - Scarcity &amp; Growth Rates'!$I59)</f>
        <v>-0.21944553240067524</v>
      </c>
      <c r="H59" s="12">
        <f ca="1">'Model - Scarcity &amp; Growth Rates'!J59</f>
        <v>-1.6979764670550741E-2</v>
      </c>
      <c r="I59" s="21">
        <f ca="1">(1+E58)*I58*(1-(SUM(I$5:I58)/'Static Parameters'!C$17)^2)</f>
        <v>0.11144523490729938</v>
      </c>
      <c r="J59" s="21">
        <f ca="1">(1+F58)*J58*(1-(SUM(J$5:J58)/'Static Parameters'!D$17)^2)</f>
        <v>4.4002093301627803E-3</v>
      </c>
      <c r="K59" s="21">
        <f ca="1">(1+G58)*K58*(1-(SUM(K$5:K58)/'Static Parameters'!E$17)^2)</f>
        <v>3.3975675768736779E-4</v>
      </c>
      <c r="L59" s="21">
        <f ca="1">(1+H58)*L58*(1-(SUM(L$5:L58)/'Static Parameters'!F$17)^2)</f>
        <v>9.2407497656571413E-4</v>
      </c>
      <c r="M59" s="21">
        <f ca="1">I59*B59*'Static Parameters'!C$15</f>
        <v>2.5632404028678859E-2</v>
      </c>
      <c r="N59" s="21">
        <f ca="1">J59*C59*'Static Parameters'!D$15</f>
        <v>1.0120481459374394E-3</v>
      </c>
      <c r="O59" s="21">
        <f ca="1">K59*D59*'Static Parameters'!E$15</f>
        <v>8.154162184496827E-5</v>
      </c>
      <c r="P59" s="63">
        <f t="shared" ca="1" si="11"/>
        <v>9.2407497656571413E-4</v>
      </c>
      <c r="Q59" s="40">
        <f t="shared" ca="1" si="12"/>
        <v>0</v>
      </c>
      <c r="R59" s="40">
        <f t="shared" ca="1" si="13"/>
        <v>0</v>
      </c>
      <c r="S59" s="40">
        <f t="shared" ca="1" si="14"/>
        <v>0</v>
      </c>
      <c r="T59" s="64">
        <f ca="1">I59*'Static Parameters'!C$19/(44/12)/1000</f>
        <v>2.9269571240653448E-3</v>
      </c>
      <c r="U59" s="64">
        <f ca="1">J59*'Static Parameters'!D$19/(44/12)/1000</f>
        <v>8.7964184700254128E-5</v>
      </c>
      <c r="V59" s="64">
        <f ca="1">K59*'Static Parameters'!E$19/(44/12)/1000</f>
        <v>5.1982783926167283E-6</v>
      </c>
      <c r="W59" s="64">
        <f ca="1">MAX(0,AC58*'Model - Scarcity &amp; Growth Rates'!$J58*(1-'Model - Supply'!Z58/'Static Parameters'!C$25)+'Model - Supply'!Z58/'Static Parameters'!C$27)</f>
        <v>1.409865679820256</v>
      </c>
      <c r="X59" s="64">
        <f ca="1">MAX(0,AD58*'Model - Scarcity &amp; Growth Rates'!$J58*(1-'Model - Supply'!AA58/'Static Parameters'!D$25)+'Model - Supply'!AA58/'Static Parameters'!D$27)</f>
        <v>2.6664734113063941</v>
      </c>
      <c r="Y59" s="64">
        <f ca="1">MAX(0,AE58*'Model - Scarcity &amp; Growth Rates'!$J58*(1-'Model - Supply'!AB58/'Static Parameters'!E$25)+'Model - Supply'!AB58/'Static Parameters'!E$27)</f>
        <v>0.56942910108758371</v>
      </c>
      <c r="Z59" s="64">
        <f ca="1">Z58+W59-Z58/'Static Parameters'!C$27</f>
        <v>51.020556481416946</v>
      </c>
      <c r="AA59" s="64">
        <f ca="1">AA58+X59-AA58/'Static Parameters'!D$27</f>
        <v>104.13872418740587</v>
      </c>
      <c r="AB59" s="64">
        <f ca="1">AB58+Y59-AB58/'Static Parameters'!E$27</f>
        <v>46.695115693461744</v>
      </c>
      <c r="AC59" s="64">
        <f ca="1">Z59-W59*'Static Parameters'!C$27/'Static Parameters'!C$26</f>
        <v>48.67078034838319</v>
      </c>
      <c r="AD59" s="64">
        <f ca="1">AA59-X59*'Static Parameters'!D$27/'Static Parameters'!D$26</f>
        <v>100.80563242327288</v>
      </c>
      <c r="AE59" s="64">
        <f ca="1">AB59-Y59*'Static Parameters'!E$27/'Static Parameters'!E$26</f>
        <v>46.085013085153619</v>
      </c>
      <c r="AF59" s="64">
        <f ca="1">AG58*'Model - Scarcity &amp; Growth Rates'!K58*(1-'Model - Supply'!AF58/'Static Parameters'!C$33)+'Model - Supply'!AF58</f>
        <v>55.008168829467586</v>
      </c>
      <c r="AG59" s="64">
        <f ca="1">AF59-AF59/'Static Parameters'!$C$34</f>
        <v>27.504084414733793</v>
      </c>
      <c r="AH59" s="64">
        <f t="shared" ca="1" si="15"/>
        <v>195.58907592558273</v>
      </c>
      <c r="AI59" s="64">
        <f t="shared" ca="1" si="16"/>
        <v>27.504084414733793</v>
      </c>
      <c r="AJ59" s="64">
        <f t="shared" ca="1" si="5"/>
        <v>2.5632404028678859E-2</v>
      </c>
      <c r="AK59" s="64">
        <f t="shared" ca="1" si="6"/>
        <v>1.0120481459374394E-3</v>
      </c>
      <c r="AL59" s="64">
        <f t="shared" ca="1" si="7"/>
        <v>8.154162184496827E-5</v>
      </c>
      <c r="AM59" s="64">
        <f t="shared" ca="1" si="8"/>
        <v>9.2407497656571413E-4</v>
      </c>
      <c r="AN59" s="64">
        <f t="shared" ca="1" si="9"/>
        <v>195.56142585680971</v>
      </c>
      <c r="AO59" s="64">
        <f t="shared" ca="1" si="10"/>
        <v>27.504084414733793</v>
      </c>
    </row>
    <row r="60" spans="1:41" x14ac:dyDescent="0.35">
      <c r="A60" s="13">
        <v>2078</v>
      </c>
      <c r="B60" s="12">
        <f ca="1">MAX(0,MIN(1,B59*(1+'Model - Scarcity &amp; Growth Rates'!$D59-'Model - Scarcity &amp; Growth Rates'!$E59)))</f>
        <v>1</v>
      </c>
      <c r="C60" s="12">
        <f ca="1">MAX(0,MIN(1,C59*(1+'Model - Scarcity &amp; Growth Rates'!$D59-'Model - Scarcity &amp; Growth Rates'!$E59)))</f>
        <v>1</v>
      </c>
      <c r="D60" s="12">
        <f ca="1">MAX(0,MIN(1,D59*(1+'Model - Scarcity &amp; Growth Rates'!$D59-'Model - Scarcity &amp; Growth Rates'!$E59)))</f>
        <v>1</v>
      </c>
      <c r="E60" s="12">
        <f ca="1">B60*('Model - Scarcity &amp; Growth Rates'!$D60*(1-'Model - Scarcity &amp; Growth Rates'!$I60)-'Model - Scarcity &amp; Growth Rates'!$I60)+(1-'Model - Supply'!B60)*('Model - Scarcity &amp; Growth Rates'!$E60*(1-'Model - Scarcity &amp; Growth Rates'!$I60)-'Model - Scarcity &amp; Growth Rates'!$I60)</f>
        <v>-0.21998224393479851</v>
      </c>
      <c r="F60" s="12">
        <f ca="1">C60*('Model - Scarcity &amp; Growth Rates'!$D60*(1-'Model - Scarcity &amp; Growth Rates'!$I60)-'Model - Scarcity &amp; Growth Rates'!$I60)+(1-'Model - Supply'!C60)*('Model - Scarcity &amp; Growth Rates'!$E60*(1-'Model - Scarcity &amp; Growth Rates'!$I60)-'Model - Scarcity &amp; Growth Rates'!$I60)</f>
        <v>-0.21998224393479851</v>
      </c>
      <c r="G60" s="12">
        <f ca="1">D60*('Model - Scarcity &amp; Growth Rates'!$D60*(1-'Model - Scarcity &amp; Growth Rates'!$I60)-'Model - Scarcity &amp; Growth Rates'!$I60)+(1-'Model - Supply'!D60)*('Model - Scarcity &amp; Growth Rates'!$E60*(1-'Model - Scarcity &amp; Growth Rates'!$I60)-'Model - Scarcity &amp; Growth Rates'!$I60)</f>
        <v>-0.21998224393479851</v>
      </c>
      <c r="H60" s="12">
        <f ca="1">'Model - Scarcity &amp; Growth Rates'!J60</f>
        <v>-1.6135117237628598E-2</v>
      </c>
      <c r="I60" s="21">
        <f ca="1">(1+E59)*I59*(1-(SUM(I$5:I59)/'Static Parameters'!C$17)^2)</f>
        <v>7.8356157069936802E-2</v>
      </c>
      <c r="J60" s="21">
        <f ca="1">(1+F59)*J59*(1-(SUM(J$5:J59)/'Static Parameters'!D$17)^2)</f>
        <v>3.0590999637927761E-3</v>
      </c>
      <c r="K60" s="21">
        <f ca="1">(1+G59)*K59*(1-(SUM(K$5:K59)/'Static Parameters'!E$17)^2)</f>
        <v>2.1156201677474977E-4</v>
      </c>
      <c r="L60" s="21">
        <f ca="1">(1+H59)*L59*(1-(SUM(L$5:L59)/'Static Parameters'!F$17)^2)</f>
        <v>6.0573978883883572E-4</v>
      </c>
      <c r="M60" s="21">
        <f ca="1">I60*B60*'Static Parameters'!C$15</f>
        <v>1.8021916126085464E-2</v>
      </c>
      <c r="N60" s="21">
        <f ca="1">J60*C60*'Static Parameters'!D$15</f>
        <v>7.0359299167233849E-4</v>
      </c>
      <c r="O60" s="21">
        <f ca="1">K60*D60*'Static Parameters'!E$15</f>
        <v>5.077488402593994E-5</v>
      </c>
      <c r="P60" s="63">
        <f t="shared" ca="1" si="11"/>
        <v>6.0573978883883572E-4</v>
      </c>
      <c r="Q60" s="40">
        <f t="shared" ca="1" si="12"/>
        <v>0</v>
      </c>
      <c r="R60" s="40">
        <f t="shared" ca="1" si="13"/>
        <v>0</v>
      </c>
      <c r="S60" s="40">
        <f t="shared" ca="1" si="14"/>
        <v>0</v>
      </c>
      <c r="T60" s="64">
        <f ca="1">I60*'Static Parameters'!C$19/(44/12)/1000</f>
        <v>2.0579176161367946E-3</v>
      </c>
      <c r="U60" s="64">
        <f ca="1">J60*'Static Parameters'!D$19/(44/12)/1000</f>
        <v>6.1154189276184682E-5</v>
      </c>
      <c r="V60" s="64">
        <f ca="1">K60*'Static Parameters'!E$19/(44/12)/1000</f>
        <v>3.2368988566536714E-6</v>
      </c>
      <c r="W60" s="64">
        <f ca="1">MAX(0,AC59*'Model - Scarcity &amp; Growth Rates'!$J59*(1-'Model - Supply'!Z59/'Static Parameters'!C$25)+'Model - Supply'!Z59/'Static Parameters'!C$27)</f>
        <v>1.4252254950262733</v>
      </c>
      <c r="X60" s="64">
        <f ca="1">MAX(0,AD59*'Model - Scarcity &amp; Growth Rates'!$J59*(1-'Model - Supply'!AA59/'Static Parameters'!D$25)+'Model - Supply'!AA59/'Static Parameters'!D$27)</f>
        <v>2.7085354276850806</v>
      </c>
      <c r="Y60" s="64">
        <f ca="1">MAX(0,AE59*'Model - Scarcity &amp; Growth Rates'!$J59*(1-'Model - Supply'!AB59/'Static Parameters'!E$25)+'Model - Supply'!AB59/'Static Parameters'!E$27)</f>
        <v>0.5708792652601361</v>
      </c>
      <c r="Z60" s="64">
        <f ca="1">Z59+W60-Z59/'Static Parameters'!C$27</f>
        <v>50.404959717186543</v>
      </c>
      <c r="AA60" s="64">
        <f ca="1">AA59+X60-AA59/'Static Parameters'!D$27</f>
        <v>102.68171064759471</v>
      </c>
      <c r="AB60" s="64">
        <f ca="1">AB59+Y60-AB59/'Static Parameters'!E$27</f>
        <v>46.643393416142395</v>
      </c>
      <c r="AC60" s="64">
        <f ca="1">Z60-W60*'Static Parameters'!C$27/'Static Parameters'!C$26</f>
        <v>48.029583892142753</v>
      </c>
      <c r="AD60" s="64">
        <f ca="1">AA60-X60*'Static Parameters'!D$27/'Static Parameters'!D$26</f>
        <v>99.296041362988362</v>
      </c>
      <c r="AE60" s="64">
        <f ca="1">AB60-Y60*'Static Parameters'!E$27/'Static Parameters'!E$26</f>
        <v>46.031737060506536</v>
      </c>
      <c r="AF60" s="64">
        <f ca="1">AG59*'Model - Scarcity &amp; Growth Rates'!K59*(1-'Model - Supply'!AF59/'Static Parameters'!C$33)+'Model - Supply'!AF59</f>
        <v>54.394724959654468</v>
      </c>
      <c r="AG60" s="64">
        <f ca="1">AF60-AF60/'Static Parameters'!$C$34</f>
        <v>27.197362479827234</v>
      </c>
      <c r="AH60" s="64">
        <f t="shared" ca="1" si="15"/>
        <v>193.37674433942829</v>
      </c>
      <c r="AI60" s="64">
        <f t="shared" ca="1" si="16"/>
        <v>27.197362479827234</v>
      </c>
      <c r="AJ60" s="64">
        <f t="shared" ca="1" si="5"/>
        <v>1.8021916126085464E-2</v>
      </c>
      <c r="AK60" s="64">
        <f t="shared" ca="1" si="6"/>
        <v>7.0359299167233849E-4</v>
      </c>
      <c r="AL60" s="64">
        <f t="shared" ca="1" si="7"/>
        <v>5.077488402593994E-5</v>
      </c>
      <c r="AM60" s="64">
        <f t="shared" ca="1" si="8"/>
        <v>6.0573978883883572E-4</v>
      </c>
      <c r="AN60" s="64">
        <f t="shared" ca="1" si="9"/>
        <v>193.35736231563766</v>
      </c>
      <c r="AO60" s="64">
        <f t="shared" ca="1" si="10"/>
        <v>27.197362479827234</v>
      </c>
    </row>
    <row r="61" spans="1:41" x14ac:dyDescent="0.35">
      <c r="A61" s="13">
        <v>2079</v>
      </c>
      <c r="B61" s="12">
        <f ca="1">MAX(0,MIN(1,B60*(1+'Model - Scarcity &amp; Growth Rates'!$D60-'Model - Scarcity &amp; Growth Rates'!$E60)))</f>
        <v>1</v>
      </c>
      <c r="C61" s="12">
        <f ca="1">MAX(0,MIN(1,C60*(1+'Model - Scarcity &amp; Growth Rates'!$D60-'Model - Scarcity &amp; Growth Rates'!$E60)))</f>
        <v>1</v>
      </c>
      <c r="D61" s="12">
        <f ca="1">MAX(0,MIN(1,D60*(1+'Model - Scarcity &amp; Growth Rates'!$D60-'Model - Scarcity &amp; Growth Rates'!$E60)))</f>
        <v>1</v>
      </c>
      <c r="E61" s="12">
        <f ca="1">B61*('Model - Scarcity &amp; Growth Rates'!$D61*(1-'Model - Scarcity &amp; Growth Rates'!$I61)-'Model - Scarcity &amp; Growth Rates'!$I61)+(1-'Model - Supply'!B61)*('Model - Scarcity &amp; Growth Rates'!$E61*(1-'Model - Scarcity &amp; Growth Rates'!$I61)-'Model - Scarcity &amp; Growth Rates'!$I61)</f>
        <v>-0.22079213890191585</v>
      </c>
      <c r="F61" s="12">
        <f ca="1">C61*('Model - Scarcity &amp; Growth Rates'!$D61*(1-'Model - Scarcity &amp; Growth Rates'!$I61)-'Model - Scarcity &amp; Growth Rates'!$I61)+(1-'Model - Supply'!C61)*('Model - Scarcity &amp; Growth Rates'!$E61*(1-'Model - Scarcity &amp; Growth Rates'!$I61)-'Model - Scarcity &amp; Growth Rates'!$I61)</f>
        <v>-0.22079213890191585</v>
      </c>
      <c r="G61" s="12">
        <f ca="1">D61*('Model - Scarcity &amp; Growth Rates'!$D61*(1-'Model - Scarcity &amp; Growth Rates'!$I61)-'Model - Scarcity &amp; Growth Rates'!$I61)+(1-'Model - Supply'!D61)*('Model - Scarcity &amp; Growth Rates'!$E61*(1-'Model - Scarcity &amp; Growth Rates'!$I61)-'Model - Scarcity &amp; Growth Rates'!$I61)</f>
        <v>-0.22079213890191585</v>
      </c>
      <c r="H61" s="12">
        <f ca="1">'Model - Scarcity &amp; Growth Rates'!J61</f>
        <v>-1.5694290245256603E-2</v>
      </c>
      <c r="I61" s="21">
        <f ca="1">(1+E60)*I60*(1-(SUM(I$5:I60)/'Static Parameters'!C$17)^2)</f>
        <v>5.5053518878591522E-2</v>
      </c>
      <c r="J61" s="21">
        <f ca="1">(1+F60)*J60*(1-(SUM(J$5:J60)/'Static Parameters'!D$17)^2)</f>
        <v>2.1252751757805111E-3</v>
      </c>
      <c r="K61" s="21">
        <f ca="1">(1+G60)*K60*(1-(SUM(K$5:K60)/'Static Parameters'!E$17)^2)</f>
        <v>1.3164626849496367E-4</v>
      </c>
      <c r="L61" s="21">
        <f ca="1">(1+H60)*L60*(1-(SUM(L$5:L60)/'Static Parameters'!F$17)^2)</f>
        <v>3.9740894117987349E-4</v>
      </c>
      <c r="M61" s="21">
        <f ca="1">I61*B61*'Static Parameters'!C$15</f>
        <v>1.266230934207605E-2</v>
      </c>
      <c r="N61" s="21">
        <f ca="1">J61*C61*'Static Parameters'!D$15</f>
        <v>4.8881329042951762E-4</v>
      </c>
      <c r="O61" s="21">
        <f ca="1">K61*D61*'Static Parameters'!E$15</f>
        <v>3.1595104438791279E-5</v>
      </c>
      <c r="P61" s="63">
        <f t="shared" ca="1" si="11"/>
        <v>3.9740894117987349E-4</v>
      </c>
      <c r="Q61" s="40">
        <f t="shared" ca="1" si="12"/>
        <v>0</v>
      </c>
      <c r="R61" s="40">
        <f t="shared" ca="1" si="13"/>
        <v>0</v>
      </c>
      <c r="S61" s="40">
        <f t="shared" ca="1" si="14"/>
        <v>0</v>
      </c>
      <c r="T61" s="64">
        <f ca="1">I61*'Static Parameters'!C$19/(44/12)/1000</f>
        <v>1.4459056003659175E-3</v>
      </c>
      <c r="U61" s="64">
        <f ca="1">J61*'Static Parameters'!D$19/(44/12)/1000</f>
        <v>4.2486182832194032E-5</v>
      </c>
      <c r="V61" s="64">
        <f ca="1">K61*'Static Parameters'!E$19/(44/12)/1000</f>
        <v>2.0141879079729444E-6</v>
      </c>
      <c r="W61" s="64">
        <f ca="1">MAX(0,AC60*'Model - Scarcity &amp; Growth Rates'!$J60*(1-'Model - Supply'!Z60/'Static Parameters'!C$25)+'Model - Supply'!Z60/'Static Parameters'!C$27)</f>
        <v>1.4365453073764605</v>
      </c>
      <c r="X61" s="64">
        <f ca="1">MAX(0,AD60*'Model - Scarcity &amp; Growth Rates'!$J60*(1-'Model - Supply'!AA60/'Static Parameters'!D$25)+'Model - Supply'!AA60/'Static Parameters'!D$27)</f>
        <v>2.7401320691966546</v>
      </c>
      <c r="Y61" s="64">
        <f ca="1">MAX(0,AE60*'Model - Scarcity &amp; Growth Rates'!$J60*(1-'Model - Supply'!AB60/'Static Parameters'!E$25)+'Model - Supply'!AB60/'Static Parameters'!E$27)</f>
        <v>0.57205103362217036</v>
      </c>
      <c r="Z61" s="64">
        <f ca="1">Z60+W61-Z60/'Static Parameters'!C$27</f>
        <v>49.825306635875542</v>
      </c>
      <c r="AA61" s="64">
        <f ca="1">AA60+X61-AA60/'Static Parameters'!D$27</f>
        <v>101.31457429088758</v>
      </c>
      <c r="AB61" s="64">
        <f ca="1">AB60+Y61-AB60/'Static Parameters'!E$27</f>
        <v>46.593532537549336</v>
      </c>
      <c r="AC61" s="64">
        <f ca="1">Z61-W61*'Static Parameters'!C$27/'Static Parameters'!C$26</f>
        <v>47.431064456914775</v>
      </c>
      <c r="AD61" s="64">
        <f ca="1">AA61-X61*'Static Parameters'!D$27/'Static Parameters'!D$26</f>
        <v>97.889409204391754</v>
      </c>
      <c r="AE61" s="64">
        <f ca="1">AB61-Y61*'Static Parameters'!E$27/'Static Parameters'!E$26</f>
        <v>45.980620715811298</v>
      </c>
      <c r="AF61" s="64">
        <f ca="1">AG60*'Model - Scarcity &amp; Growth Rates'!K60*(1-'Model - Supply'!AF60/'Static Parameters'!C$33)+'Model - Supply'!AF60</f>
        <v>53.799222016132795</v>
      </c>
      <c r="AG61" s="64">
        <f ca="1">AF61-AF61/'Static Parameters'!$C$34</f>
        <v>26.899611008066397</v>
      </c>
      <c r="AH61" s="64">
        <f t="shared" ca="1" si="15"/>
        <v>191.31467450379597</v>
      </c>
      <c r="AI61" s="64">
        <f t="shared" ca="1" si="16"/>
        <v>26.899611008066397</v>
      </c>
      <c r="AJ61" s="64">
        <f t="shared" ca="1" si="5"/>
        <v>1.266230934207605E-2</v>
      </c>
      <c r="AK61" s="64">
        <f t="shared" ca="1" si="6"/>
        <v>4.8881329042951762E-4</v>
      </c>
      <c r="AL61" s="64">
        <f t="shared" ca="1" si="7"/>
        <v>3.1595104438791279E-5</v>
      </c>
      <c r="AM61" s="64">
        <f t="shared" ca="1" si="8"/>
        <v>3.9740894117987349E-4</v>
      </c>
      <c r="AN61" s="64">
        <f t="shared" ca="1" si="9"/>
        <v>191.30109437711781</v>
      </c>
      <c r="AO61" s="64">
        <f t="shared" ca="1" si="10"/>
        <v>26.899611008066397</v>
      </c>
    </row>
    <row r="62" spans="1:41" x14ac:dyDescent="0.35">
      <c r="A62" s="13">
        <v>2080</v>
      </c>
      <c r="B62" s="12">
        <f ca="1">MAX(0,MIN(1,B61*(1+'Model - Scarcity &amp; Growth Rates'!$D61-'Model - Scarcity &amp; Growth Rates'!$E61)))</f>
        <v>1</v>
      </c>
      <c r="C62" s="12">
        <f ca="1">MAX(0,MIN(1,C61*(1+'Model - Scarcity &amp; Growth Rates'!$D61-'Model - Scarcity &amp; Growth Rates'!$E61)))</f>
        <v>1</v>
      </c>
      <c r="D62" s="12">
        <f ca="1">MAX(0,MIN(1,D61*(1+'Model - Scarcity &amp; Growth Rates'!$D61-'Model - Scarcity &amp; Growth Rates'!$E61)))</f>
        <v>1</v>
      </c>
      <c r="E62" s="12">
        <f ca="1">B62*('Model - Scarcity &amp; Growth Rates'!$D62*(1-'Model - Scarcity &amp; Growth Rates'!$I62)-'Model - Scarcity &amp; Growth Rates'!$I62)+(1-'Model - Supply'!B62)*('Model - Scarcity &amp; Growth Rates'!$E62*(1-'Model - Scarcity &amp; Growth Rates'!$I62)-'Model - Scarcity &amp; Growth Rates'!$I62)</f>
        <v>-0.22184162807726124</v>
      </c>
      <c r="F62" s="12">
        <f ca="1">C62*('Model - Scarcity &amp; Growth Rates'!$D62*(1-'Model - Scarcity &amp; Growth Rates'!$I62)-'Model - Scarcity &amp; Growth Rates'!$I62)+(1-'Model - Supply'!C62)*('Model - Scarcity &amp; Growth Rates'!$E62*(1-'Model - Scarcity &amp; Growth Rates'!$I62)-'Model - Scarcity &amp; Growth Rates'!$I62)</f>
        <v>-0.22184162807726124</v>
      </c>
      <c r="G62" s="12">
        <f ca="1">D62*('Model - Scarcity &amp; Growth Rates'!$D62*(1-'Model - Scarcity &amp; Growth Rates'!$I62)-'Model - Scarcity &amp; Growth Rates'!$I62)+(1-'Model - Supply'!D62)*('Model - Scarcity &amp; Growth Rates'!$E62*(1-'Model - Scarcity &amp; Growth Rates'!$I62)-'Model - Scarcity &amp; Growth Rates'!$I62)</f>
        <v>-0.22184162807726124</v>
      </c>
      <c r="H62" s="12">
        <f ca="1">'Model - Scarcity &amp; Growth Rates'!J62</f>
        <v>-1.5613064620172711E-2</v>
      </c>
      <c r="I62" s="21">
        <f ca="1">(1+E61)*I61*(1-(SUM(I$5:I61)/'Static Parameters'!C$17)^2)</f>
        <v>3.8640720091039846E-2</v>
      </c>
      <c r="J62" s="21">
        <f ca="1">(1+F61)*J61*(1-(SUM(J$5:J61)/'Static Parameters'!D$17)^2)</f>
        <v>1.4749776273382976E-3</v>
      </c>
      <c r="K62" s="21">
        <f ca="1">(1+G61)*K61*(1-(SUM(K$5:K61)/'Static Parameters'!E$17)^2)</f>
        <v>8.1832955369422555E-5</v>
      </c>
      <c r="L62" s="21">
        <f ca="1">(1+H61)*L61*(1-(SUM(L$5:L61)/'Static Parameters'!F$17)^2)</f>
        <v>2.6084557503358797E-4</v>
      </c>
      <c r="M62" s="21">
        <f ca="1">I62*B62*'Static Parameters'!C$15</f>
        <v>8.8873656209391642E-3</v>
      </c>
      <c r="N62" s="21">
        <f ca="1">J62*C62*'Static Parameters'!D$15</f>
        <v>3.3924485428780846E-4</v>
      </c>
      <c r="O62" s="21">
        <f ca="1">K62*D62*'Static Parameters'!E$15</f>
        <v>1.9639909288661411E-5</v>
      </c>
      <c r="P62" s="63">
        <f t="shared" ca="1" si="11"/>
        <v>2.6084557503358797E-4</v>
      </c>
      <c r="Q62" s="40">
        <f t="shared" ca="1" si="12"/>
        <v>0</v>
      </c>
      <c r="R62" s="40">
        <f t="shared" ca="1" si="13"/>
        <v>0</v>
      </c>
      <c r="S62" s="40">
        <f t="shared" ca="1" si="14"/>
        <v>0</v>
      </c>
      <c r="T62" s="64">
        <f ca="1">I62*'Static Parameters'!C$19/(44/12)/1000</f>
        <v>1.0148458213001283E-3</v>
      </c>
      <c r="U62" s="64">
        <f ca="1">J62*'Static Parameters'!D$19/(44/12)/1000</f>
        <v>2.9486143659244692E-5</v>
      </c>
      <c r="V62" s="64">
        <f ca="1">K62*'Static Parameters'!E$19/(44/12)/1000</f>
        <v>1.2520442171521651E-6</v>
      </c>
      <c r="W62" s="64">
        <f ca="1">MAX(0,AC61*'Model - Scarcity &amp; Growth Rates'!$J61*(1-'Model - Supply'!Z61/'Static Parameters'!C$25)+'Model - Supply'!Z61/'Static Parameters'!C$27)</f>
        <v>1.4340643902770649</v>
      </c>
      <c r="X62" s="64">
        <f ca="1">MAX(0,AD61*'Model - Scarcity &amp; Growth Rates'!$J61*(1-'Model - Supply'!AA61/'Static Parameters'!D$25)+'Model - Supply'!AA61/'Static Parameters'!D$27)</f>
        <v>2.7386354099194801</v>
      </c>
      <c r="Y62" s="64">
        <f ca="1">MAX(0,AE61*'Model - Scarcity &amp; Growth Rates'!$J61*(1-'Model - Supply'!AB61/'Static Parameters'!E$25)+'Model - Supply'!AB61/'Static Parameters'!E$27)</f>
        <v>0.57208269969961911</v>
      </c>
      <c r="Z62" s="64">
        <f ca="1">Z61+W62-Z61/'Static Parameters'!C$27</f>
        <v>49.266358760717587</v>
      </c>
      <c r="AA62" s="64">
        <f ca="1">AA61+X62-AA61/'Static Parameters'!D$27</f>
        <v>100.00062672917156</v>
      </c>
      <c r="AB62" s="64">
        <f ca="1">AB61+Y62-AB61/'Static Parameters'!E$27</f>
        <v>46.544368136748297</v>
      </c>
      <c r="AC62" s="64">
        <f ca="1">Z62-W62*'Static Parameters'!C$27/'Static Parameters'!C$26</f>
        <v>46.876251443589148</v>
      </c>
      <c r="AD62" s="64">
        <f ca="1">AA62-X62*'Static Parameters'!D$27/'Static Parameters'!D$26</f>
        <v>96.577332466772205</v>
      </c>
      <c r="AE62" s="64">
        <f ca="1">AB62-Y62*'Static Parameters'!E$27/'Static Parameters'!E$26</f>
        <v>45.931422387070135</v>
      </c>
      <c r="AF62" s="64">
        <f ca="1">AG61*'Model - Scarcity &amp; Growth Rates'!K61*(1-'Model - Supply'!AF61/'Static Parameters'!C$33)+'Model - Supply'!AF61</f>
        <v>53.222435427963646</v>
      </c>
      <c r="AG62" s="64">
        <f ca="1">AF62-AF62/'Static Parameters'!$C$34</f>
        <v>26.611217713981823</v>
      </c>
      <c r="AH62" s="64">
        <f t="shared" ca="1" si="15"/>
        <v>189.39451339339104</v>
      </c>
      <c r="AI62" s="64">
        <f t="shared" ca="1" si="16"/>
        <v>26.611217713981823</v>
      </c>
      <c r="AJ62" s="64">
        <f t="shared" ca="1" si="5"/>
        <v>8.8873656209391642E-3</v>
      </c>
      <c r="AK62" s="64">
        <f t="shared" ca="1" si="6"/>
        <v>3.3924485428780846E-4</v>
      </c>
      <c r="AL62" s="64">
        <f t="shared" ca="1" si="7"/>
        <v>1.9639909288661411E-5</v>
      </c>
      <c r="AM62" s="64">
        <f t="shared" ca="1" si="8"/>
        <v>2.6084557503358797E-4</v>
      </c>
      <c r="AN62" s="64">
        <f t="shared" ca="1" si="9"/>
        <v>189.38500629743149</v>
      </c>
      <c r="AO62" s="64">
        <f t="shared" ca="1" si="10"/>
        <v>26.611217713981823</v>
      </c>
    </row>
    <row r="63" spans="1:41" x14ac:dyDescent="0.35">
      <c r="A63" s="13">
        <v>2081</v>
      </c>
      <c r="B63" s="12">
        <f ca="1">MAX(0,MIN(1,B62*(1+'Model - Scarcity &amp; Growth Rates'!$D62-'Model - Scarcity &amp; Growth Rates'!$E62)))</f>
        <v>1</v>
      </c>
      <c r="C63" s="12">
        <f ca="1">MAX(0,MIN(1,C62*(1+'Model - Scarcity &amp; Growth Rates'!$D62-'Model - Scarcity &amp; Growth Rates'!$E62)))</f>
        <v>1</v>
      </c>
      <c r="D63" s="12">
        <f ca="1">MAX(0,MIN(1,D62*(1+'Model - Scarcity &amp; Growth Rates'!$D62-'Model - Scarcity &amp; Growth Rates'!$E62)))</f>
        <v>1</v>
      </c>
      <c r="E63" s="12">
        <f ca="1">B63*('Model - Scarcity &amp; Growth Rates'!$D63*(1-'Model - Scarcity &amp; Growth Rates'!$I63)-'Model - Scarcity &amp; Growth Rates'!$I63)+(1-'Model - Supply'!B63)*('Model - Scarcity &amp; Growth Rates'!$E63*(1-'Model - Scarcity &amp; Growth Rates'!$I63)-'Model - Scarcity &amp; Growth Rates'!$I63)</f>
        <v>-0.22290546122965638</v>
      </c>
      <c r="F63" s="12">
        <f ca="1">C63*('Model - Scarcity &amp; Growth Rates'!$D63*(1-'Model - Scarcity &amp; Growth Rates'!$I63)-'Model - Scarcity &amp; Growth Rates'!$I63)+(1-'Model - Supply'!C63)*('Model - Scarcity &amp; Growth Rates'!$E63*(1-'Model - Scarcity &amp; Growth Rates'!$I63)-'Model - Scarcity &amp; Growth Rates'!$I63)</f>
        <v>-0.22290546122965638</v>
      </c>
      <c r="G63" s="12">
        <f ca="1">D63*('Model - Scarcity &amp; Growth Rates'!$D63*(1-'Model - Scarcity &amp; Growth Rates'!$I63)-'Model - Scarcity &amp; Growth Rates'!$I63)+(1-'Model - Supply'!D63)*('Model - Scarcity &amp; Growth Rates'!$E63*(1-'Model - Scarcity &amp; Growth Rates'!$I63)-'Model - Scarcity &amp; Growth Rates'!$I63)</f>
        <v>-0.22290546122965638</v>
      </c>
      <c r="H63" s="12">
        <f ca="1">'Model - Scarcity &amp; Growth Rates'!J63</f>
        <v>-1.5604317162447831E-2</v>
      </c>
      <c r="I63" s="21">
        <f ca="1">(1+E62)*I62*(1-(SUM(I$5:I62)/'Static Parameters'!C$17)^2)</f>
        <v>2.7084420158738146E-2</v>
      </c>
      <c r="J63" s="21">
        <f ca="1">(1+F62)*J62*(1-(SUM(J$5:J62)/'Static Parameters'!D$17)^2)</f>
        <v>1.0222810591728648E-3</v>
      </c>
      <c r="K63" s="21">
        <f ca="1">(1+G62)*K62*(1-(SUM(K$5:K62)/'Static Parameters'!E$17)^2)</f>
        <v>5.0799867710431752E-5</v>
      </c>
      <c r="L63" s="21">
        <f ca="1">(1+H62)*L62*(1-(SUM(L$5:L62)/'Static Parameters'!F$17)^2)</f>
        <v>1.7122414047846251E-4</v>
      </c>
      <c r="M63" s="21">
        <f ca="1">I63*B63*'Static Parameters'!C$15</f>
        <v>6.2294166365097735E-3</v>
      </c>
      <c r="N63" s="21">
        <f ca="1">J63*C63*'Static Parameters'!D$15</f>
        <v>2.3512464360975893E-4</v>
      </c>
      <c r="O63" s="21">
        <f ca="1">K63*D63*'Static Parameters'!E$15</f>
        <v>1.219196825050362E-5</v>
      </c>
      <c r="P63" s="63">
        <f t="shared" ca="1" si="11"/>
        <v>1.7122414047846251E-4</v>
      </c>
      <c r="Q63" s="40">
        <f t="shared" ca="1" si="12"/>
        <v>0</v>
      </c>
      <c r="R63" s="40">
        <f t="shared" ca="1" si="13"/>
        <v>0</v>
      </c>
      <c r="S63" s="40">
        <f t="shared" ca="1" si="14"/>
        <v>0</v>
      </c>
      <c r="T63" s="64">
        <f ca="1">I63*'Static Parameters'!C$19/(44/12)/1000</f>
        <v>7.1133536216904107E-4</v>
      </c>
      <c r="U63" s="64">
        <f ca="1">J63*'Static Parameters'!D$19/(44/12)/1000</f>
        <v>2.0436327719282998E-5</v>
      </c>
      <c r="V63" s="64">
        <f ca="1">K63*'Static Parameters'!E$19/(44/12)/1000</f>
        <v>7.7723797596960587E-7</v>
      </c>
      <c r="W63" s="64">
        <f ca="1">MAX(0,AC62*'Model - Scarcity &amp; Growth Rates'!$J62*(1-'Model - Supply'!Z62/'Static Parameters'!C$25)+'Model - Supply'!Z62/'Static Parameters'!C$27)</f>
        <v>1.4190581993454017</v>
      </c>
      <c r="X63" s="64">
        <f ca="1">MAX(0,AD62*'Model - Scarcity &amp; Growth Rates'!$J62*(1-'Model - Supply'!AA62/'Static Parameters'!D$25)+'Model - Supply'!AA62/'Static Parameters'!D$27)</f>
        <v>2.7075680197902545</v>
      </c>
      <c r="Y63" s="64">
        <f ca="1">MAX(0,AE62*'Model - Scarcity &amp; Growth Rates'!$J62*(1-'Model - Supply'!AB62/'Static Parameters'!E$25)+'Model - Supply'!AB62/'Static Parameters'!E$27)</f>
        <v>0.57102881122284987</v>
      </c>
      <c r="Z63" s="64">
        <f ca="1">Z62+W63-Z62/'Static Parameters'!C$27</f>
        <v>48.714762609634285</v>
      </c>
      <c r="AA63" s="64">
        <f ca="1">AA62+X63-AA62/'Static Parameters'!D$27</f>
        <v>98.708169679794949</v>
      </c>
      <c r="AB63" s="64">
        <f ca="1">AB62+Y63-AB62/'Static Parameters'!E$27</f>
        <v>46.494805372814504</v>
      </c>
      <c r="AC63" s="64">
        <f ca="1">Z63-W63*'Static Parameters'!C$27/'Static Parameters'!C$26</f>
        <v>46.349665610725282</v>
      </c>
      <c r="AD63" s="64">
        <f ca="1">AA63-X63*'Static Parameters'!D$27/'Static Parameters'!D$26</f>
        <v>95.323709655057129</v>
      </c>
      <c r="AE63" s="64">
        <f ca="1">AB63-Y63*'Static Parameters'!E$27/'Static Parameters'!E$26</f>
        <v>45.882988789361448</v>
      </c>
      <c r="AF63" s="64">
        <f ca="1">AG62*'Model - Scarcity &amp; Growth Rates'!K62*(1-'Model - Supply'!AF62/'Static Parameters'!C$33)+'Model - Supply'!AF62</f>
        <v>52.665086271188152</v>
      </c>
      <c r="AG63" s="64">
        <f ca="1">AF63-AF63/'Static Parameters'!$C$34</f>
        <v>26.332543135594076</v>
      </c>
      <c r="AH63" s="64">
        <f t="shared" ca="1" si="15"/>
        <v>187.56301201253268</v>
      </c>
      <c r="AI63" s="64">
        <f t="shared" ca="1" si="16"/>
        <v>26.332543135594076</v>
      </c>
      <c r="AJ63" s="64">
        <f t="shared" ca="1" si="5"/>
        <v>6.2294166365097735E-3</v>
      </c>
      <c r="AK63" s="64">
        <f t="shared" ca="1" si="6"/>
        <v>2.3512464360975893E-4</v>
      </c>
      <c r="AL63" s="64">
        <f t="shared" ca="1" si="7"/>
        <v>1.219196825050362E-5</v>
      </c>
      <c r="AM63" s="64">
        <f t="shared" ca="1" si="8"/>
        <v>1.7122414047846251E-4</v>
      </c>
      <c r="AN63" s="64">
        <f t="shared" ca="1" si="9"/>
        <v>187.55636405514383</v>
      </c>
      <c r="AO63" s="64">
        <f t="shared" ca="1" si="10"/>
        <v>26.332543135594076</v>
      </c>
    </row>
    <row r="64" spans="1:41" x14ac:dyDescent="0.35">
      <c r="A64" s="13">
        <v>2082</v>
      </c>
      <c r="B64" s="12">
        <f ca="1">MAX(0,MIN(1,B63*(1+'Model - Scarcity &amp; Growth Rates'!$D63-'Model - Scarcity &amp; Growth Rates'!$E63)))</f>
        <v>1</v>
      </c>
      <c r="C64" s="12">
        <f ca="1">MAX(0,MIN(1,C63*(1+'Model - Scarcity &amp; Growth Rates'!$D63-'Model - Scarcity &amp; Growth Rates'!$E63)))</f>
        <v>1</v>
      </c>
      <c r="D64" s="12">
        <f ca="1">MAX(0,MIN(1,D63*(1+'Model - Scarcity &amp; Growth Rates'!$D63-'Model - Scarcity &amp; Growth Rates'!$E63)))</f>
        <v>1</v>
      </c>
      <c r="E64" s="12">
        <f ca="1">B64*('Model - Scarcity &amp; Growth Rates'!$D64*(1-'Model - Scarcity &amp; Growth Rates'!$I64)-'Model - Scarcity &amp; Growth Rates'!$I64)+(1-'Model - Supply'!B64)*('Model - Scarcity &amp; Growth Rates'!$E64*(1-'Model - Scarcity &amp; Growth Rates'!$I64)-'Model - Scarcity &amp; Growth Rates'!$I64)</f>
        <v>-0.22373643066142909</v>
      </c>
      <c r="F64" s="12">
        <f ca="1">C64*('Model - Scarcity &amp; Growth Rates'!$D64*(1-'Model - Scarcity &amp; Growth Rates'!$I64)-'Model - Scarcity &amp; Growth Rates'!$I64)+(1-'Model - Supply'!C64)*('Model - Scarcity &amp; Growth Rates'!$E64*(1-'Model - Scarcity &amp; Growth Rates'!$I64)-'Model - Scarcity &amp; Growth Rates'!$I64)</f>
        <v>-0.22373643066142909</v>
      </c>
      <c r="G64" s="12">
        <f ca="1">D64*('Model - Scarcity &amp; Growth Rates'!$D64*(1-'Model - Scarcity &amp; Growth Rates'!$I64)-'Model - Scarcity &amp; Growth Rates'!$I64)+(1-'Model - Supply'!D64)*('Model - Scarcity &amp; Growth Rates'!$E64*(1-'Model - Scarcity &amp; Growth Rates'!$I64)-'Model - Scarcity &amp; Growth Rates'!$I64)</f>
        <v>-0.22373643066142909</v>
      </c>
      <c r="H64" s="12">
        <f ca="1">'Model - Scarcity &amp; Growth Rates'!J64</f>
        <v>-1.5351680461002675E-2</v>
      </c>
      <c r="I64" s="21">
        <f ca="1">(1+E63)*I63*(1-(SUM(I$5:I63)/'Static Parameters'!C$17)^2)</f>
        <v>1.8958300805848115E-2</v>
      </c>
      <c r="J64" s="21">
        <f ca="1">(1+F63)*J63*(1-(SUM(J$5:J63)/'Static Parameters'!D$17)^2)</f>
        <v>7.0755633359958613E-4</v>
      </c>
      <c r="K64" s="21">
        <f ca="1">(1+G63)*K63*(1-(SUM(K$5:K63)/'Static Parameters'!E$17)^2)</f>
        <v>3.1492184407128723E-5</v>
      </c>
      <c r="L64" s="21">
        <f ca="1">(1+H63)*L63*(1-(SUM(L$5:L63)/'Static Parameters'!F$17)^2)</f>
        <v>1.1239584917066591E-4</v>
      </c>
      <c r="M64" s="21">
        <f ca="1">I64*B64*'Static Parameters'!C$15</f>
        <v>4.3604091853450665E-3</v>
      </c>
      <c r="N64" s="21">
        <f ca="1">J64*C64*'Static Parameters'!D$15</f>
        <v>1.6273795672790481E-4</v>
      </c>
      <c r="O64" s="21">
        <f ca="1">K64*D64*'Static Parameters'!E$15</f>
        <v>7.5581242577108935E-6</v>
      </c>
      <c r="P64" s="63">
        <f t="shared" ca="1" si="11"/>
        <v>1.1239584917066591E-4</v>
      </c>
      <c r="Q64" s="40">
        <f t="shared" ca="1" si="12"/>
        <v>0</v>
      </c>
      <c r="R64" s="40">
        <f t="shared" ca="1" si="13"/>
        <v>0</v>
      </c>
      <c r="S64" s="40">
        <f t="shared" ca="1" si="14"/>
        <v>0</v>
      </c>
      <c r="T64" s="64">
        <f ca="1">I64*'Static Parameters'!C$19/(44/12)/1000</f>
        <v>4.9791391843722905E-4</v>
      </c>
      <c r="U64" s="64">
        <f ca="1">J64*'Static Parameters'!D$19/(44/12)/1000</f>
        <v>1.4144694341686271E-5</v>
      </c>
      <c r="V64" s="64">
        <f ca="1">K64*'Static Parameters'!E$19/(44/12)/1000</f>
        <v>4.8183042142906942E-7</v>
      </c>
      <c r="W64" s="64">
        <f ca="1">MAX(0,AC63*'Model - Scarcity &amp; Growth Rates'!$J63*(1-'Model - Supply'!Z63/'Static Parameters'!C$25)+'Model - Supply'!Z63/'Static Parameters'!C$27)</f>
        <v>1.4015015713738288</v>
      </c>
      <c r="X64" s="64">
        <f ca="1">MAX(0,AD63*'Model - Scarcity &amp; Growth Rates'!$J63*(1-'Model - Supply'!AA63/'Static Parameters'!D$25)+'Model - Supply'!AA63/'Static Parameters'!D$27)</f>
        <v>2.6706148059490067</v>
      </c>
      <c r="Y64" s="64">
        <f ca="1">MAX(0,AE63*'Model - Scarcity &amp; Growth Rates'!$J63*(1-'Model - Supply'!AB63/'Static Parameters'!E$25)+'Model - Supply'!AB63/'Static Parameters'!E$27)</f>
        <v>0.56973826441806741</v>
      </c>
      <c r="Z64" s="64">
        <f ca="1">Z63+W64-Z63/'Static Parameters'!C$27</f>
        <v>48.167673676622741</v>
      </c>
      <c r="AA64" s="64">
        <f ca="1">AA63+X64-AA63/'Static Parameters'!D$27</f>
        <v>97.430457698552146</v>
      </c>
      <c r="AB64" s="64">
        <f ca="1">AB63+Y64-AB63/'Static Parameters'!E$27</f>
        <v>46.444612898928384</v>
      </c>
      <c r="AC64" s="64">
        <f ca="1">Z64-W64*'Static Parameters'!C$27/'Static Parameters'!C$26</f>
        <v>45.831837724333027</v>
      </c>
      <c r="AD64" s="64">
        <f ca="1">AA64-X64*'Static Parameters'!D$27/'Static Parameters'!D$26</f>
        <v>94.092189191115892</v>
      </c>
      <c r="AE64" s="64">
        <f ca="1">AB64-Y64*'Static Parameters'!E$27/'Static Parameters'!E$26</f>
        <v>45.834179044194741</v>
      </c>
      <c r="AF64" s="64">
        <f ca="1">AG63*'Model - Scarcity &amp; Growth Rates'!K63*(1-'Model - Supply'!AF63/'Static Parameters'!C$33)+'Model - Supply'!AF63</f>
        <v>52.127804491862676</v>
      </c>
      <c r="AG64" s="64">
        <f ca="1">AF64-AF64/'Static Parameters'!$C$34</f>
        <v>26.063902245931338</v>
      </c>
      <c r="AH64" s="64">
        <f t="shared" ca="1" si="15"/>
        <v>185.76284906075915</v>
      </c>
      <c r="AI64" s="64">
        <f t="shared" ca="1" si="16"/>
        <v>26.063902245931338</v>
      </c>
      <c r="AJ64" s="64">
        <f t="shared" ca="1" si="5"/>
        <v>4.3604091853450665E-3</v>
      </c>
      <c r="AK64" s="64">
        <f t="shared" ca="1" si="6"/>
        <v>1.6273795672790481E-4</v>
      </c>
      <c r="AL64" s="64">
        <f t="shared" ca="1" si="7"/>
        <v>7.5581242577108935E-6</v>
      </c>
      <c r="AM64" s="64">
        <f t="shared" ca="1" si="8"/>
        <v>1.1239584917066591E-4</v>
      </c>
      <c r="AN64" s="64">
        <f t="shared" ca="1" si="9"/>
        <v>185.75820595964365</v>
      </c>
      <c r="AO64" s="64">
        <f t="shared" ca="1" si="10"/>
        <v>26.063902245931338</v>
      </c>
    </row>
    <row r="65" spans="1:41" x14ac:dyDescent="0.35">
      <c r="A65" s="13">
        <v>2083</v>
      </c>
      <c r="B65" s="12">
        <f ca="1">MAX(0,MIN(1,B64*(1+'Model - Scarcity &amp; Growth Rates'!$D64-'Model - Scarcity &amp; Growth Rates'!$E64)))</f>
        <v>1</v>
      </c>
      <c r="C65" s="12">
        <f ca="1">MAX(0,MIN(1,C64*(1+'Model - Scarcity &amp; Growth Rates'!$D64-'Model - Scarcity &amp; Growth Rates'!$E64)))</f>
        <v>1</v>
      </c>
      <c r="D65" s="12">
        <f ca="1">MAX(0,MIN(1,D64*(1+'Model - Scarcity &amp; Growth Rates'!$D64-'Model - Scarcity &amp; Growth Rates'!$E64)))</f>
        <v>1</v>
      </c>
      <c r="E65" s="12">
        <f ca="1">B65*('Model - Scarcity &amp; Growth Rates'!$D65*(1-'Model - Scarcity &amp; Growth Rates'!$I65)-'Model - Scarcity &amp; Growth Rates'!$I65)+(1-'Model - Supply'!B65)*('Model - Scarcity &amp; Growth Rates'!$E65*(1-'Model - Scarcity &amp; Growth Rates'!$I65)-'Model - Scarcity &amp; Growth Rates'!$I65)</f>
        <v>-0.22422122991461874</v>
      </c>
      <c r="F65" s="12">
        <f ca="1">C65*('Model - Scarcity &amp; Growth Rates'!$D65*(1-'Model - Scarcity &amp; Growth Rates'!$I65)-'Model - Scarcity &amp; Growth Rates'!$I65)+(1-'Model - Supply'!C65)*('Model - Scarcity &amp; Growth Rates'!$E65*(1-'Model - Scarcity &amp; Growth Rates'!$I65)-'Model - Scarcity &amp; Growth Rates'!$I65)</f>
        <v>-0.22422122991461874</v>
      </c>
      <c r="G65" s="12">
        <f ca="1">D65*('Model - Scarcity &amp; Growth Rates'!$D65*(1-'Model - Scarcity &amp; Growth Rates'!$I65)-'Model - Scarcity &amp; Growth Rates'!$I65)+(1-'Model - Supply'!D65)*('Model - Scarcity &amp; Growth Rates'!$E65*(1-'Model - Scarcity &amp; Growth Rates'!$I65)-'Model - Scarcity &amp; Growth Rates'!$I65)</f>
        <v>-0.22422122991461874</v>
      </c>
      <c r="H65" s="12">
        <f ca="1">'Model - Scarcity &amp; Growth Rates'!J65</f>
        <v>-1.4707437807412297E-2</v>
      </c>
      <c r="I65" s="21">
        <f ca="1">(1+E64)*I64*(1-(SUM(I$5:I64)/'Static Parameters'!C$17)^2)</f>
        <v>1.3256058036257755E-2</v>
      </c>
      <c r="J65" s="21">
        <f ca="1">(1+F64)*J64*(1-(SUM(J$5:J64)/'Static Parameters'!D$17)^2)</f>
        <v>4.8920068328928655E-4</v>
      </c>
      <c r="K65" s="21">
        <f ca="1">(1+G64)*K64*(1-(SUM(K$5:K64)/'Static Parameters'!E$17)^2)</f>
        <v>1.9501963360702587E-5</v>
      </c>
      <c r="L65" s="21">
        <f ca="1">(1+H64)*L64*(1-(SUM(L$5:L64)/'Static Parameters'!F$17)^2)</f>
        <v>7.3798396830608359E-5</v>
      </c>
      <c r="M65" s="21">
        <f ca="1">I65*B65*'Static Parameters'!C$15</f>
        <v>3.0488933483392836E-3</v>
      </c>
      <c r="N65" s="21">
        <f ca="1">J65*C65*'Static Parameters'!D$15</f>
        <v>1.1251615715653592E-4</v>
      </c>
      <c r="O65" s="21">
        <f ca="1">K65*D65*'Static Parameters'!E$15</f>
        <v>4.6804712065686203E-6</v>
      </c>
      <c r="P65" s="63">
        <f t="shared" ca="1" si="11"/>
        <v>7.3798396830608359E-5</v>
      </c>
      <c r="Q65" s="40">
        <f t="shared" ca="1" si="12"/>
        <v>0</v>
      </c>
      <c r="R65" s="40">
        <f t="shared" ca="1" si="13"/>
        <v>0</v>
      </c>
      <c r="S65" s="40">
        <f t="shared" ca="1" si="14"/>
        <v>0</v>
      </c>
      <c r="T65" s="64">
        <f ca="1">I65*'Static Parameters'!C$19/(44/12)/1000</f>
        <v>3.4815228787953316E-4</v>
      </c>
      <c r="U65" s="64">
        <f ca="1">J65*'Static Parameters'!D$19/(44/12)/1000</f>
        <v>9.7795663868467375E-6</v>
      </c>
      <c r="V65" s="64">
        <f ca="1">K65*'Static Parameters'!E$19/(44/12)/1000</f>
        <v>2.9838003941874957E-7</v>
      </c>
      <c r="W65" s="64">
        <f ca="1">MAX(0,AC64*'Model - Scarcity &amp; Growth Rates'!$J64*(1-'Model - Supply'!Z64/'Static Parameters'!C$25)+'Model - Supply'!Z64/'Static Parameters'!C$27)</f>
        <v>1.3925640664372829</v>
      </c>
      <c r="X65" s="64">
        <f ca="1">MAX(0,AD64*'Model - Scarcity &amp; Growth Rates'!$J64*(1-'Model - Supply'!AA64/'Static Parameters'!D$25)+'Model - Supply'!AA64/'Static Parameters'!D$27)</f>
        <v>2.6537960672977441</v>
      </c>
      <c r="Y65" s="64">
        <f ca="1">MAX(0,AE64*'Model - Scarcity &amp; Growth Rates'!$J64*(1-'Model - Supply'!AB64/'Static Parameters'!E$25)+'Model - Supply'!AB64/'Static Parameters'!E$27)</f>
        <v>0.56922784598808152</v>
      </c>
      <c r="Z65" s="64">
        <f ca="1">Z64+W65-Z64/'Static Parameters'!C$27</f>
        <v>47.633530795995114</v>
      </c>
      <c r="AA65" s="64">
        <f ca="1">AA64+X65-AA64/'Static Parameters'!D$27</f>
        <v>96.187035457907811</v>
      </c>
      <c r="AB65" s="64">
        <f ca="1">AB64+Y65-AB64/'Static Parameters'!E$27</f>
        <v>46.394579239597419</v>
      </c>
      <c r="AC65" s="64">
        <f ca="1">Z65-W65*'Static Parameters'!C$27/'Static Parameters'!C$26</f>
        <v>45.312590685266308</v>
      </c>
      <c r="AD65" s="64">
        <f ca="1">AA65-X65*'Static Parameters'!D$27/'Static Parameters'!D$26</f>
        <v>92.869790373785634</v>
      </c>
      <c r="AE65" s="64">
        <f ca="1">AB65-Y65*'Static Parameters'!E$27/'Static Parameters'!E$26</f>
        <v>45.784692261753044</v>
      </c>
      <c r="AF65" s="64">
        <f ca="1">AG64*'Model - Scarcity &amp; Growth Rates'!K64*(1-'Model - Supply'!AF64/'Static Parameters'!C$33)+'Model - Supply'!AF64</f>
        <v>51.611070179632634</v>
      </c>
      <c r="AG65" s="64">
        <f ca="1">AF65-AF65/'Static Parameters'!$C$34</f>
        <v>25.805535089816317</v>
      </c>
      <c r="AH65" s="64">
        <f t="shared" ca="1" si="15"/>
        <v>183.97031320917853</v>
      </c>
      <c r="AI65" s="64">
        <f t="shared" ca="1" si="16"/>
        <v>25.805535089816317</v>
      </c>
      <c r="AJ65" s="64">
        <f t="shared" ca="1" si="5"/>
        <v>3.0488933483392836E-3</v>
      </c>
      <c r="AK65" s="64">
        <f t="shared" ca="1" si="6"/>
        <v>1.1251615715653592E-4</v>
      </c>
      <c r="AL65" s="64">
        <f t="shared" ca="1" si="7"/>
        <v>4.6804712065686203E-6</v>
      </c>
      <c r="AM65" s="64">
        <f t="shared" ca="1" si="8"/>
        <v>7.3798396830608359E-5</v>
      </c>
      <c r="AN65" s="64">
        <f t="shared" ca="1" si="9"/>
        <v>183.96707332080499</v>
      </c>
      <c r="AO65" s="64">
        <f t="shared" ca="1" si="10"/>
        <v>25.805535089816317</v>
      </c>
    </row>
    <row r="66" spans="1:41" x14ac:dyDescent="0.35">
      <c r="A66" s="13">
        <v>2084</v>
      </c>
      <c r="B66" s="12">
        <f ca="1">MAX(0,MIN(1,B65*(1+'Model - Scarcity &amp; Growth Rates'!$D65-'Model - Scarcity &amp; Growth Rates'!$E65)))</f>
        <v>1</v>
      </c>
      <c r="C66" s="12">
        <f ca="1">MAX(0,MIN(1,C65*(1+'Model - Scarcity &amp; Growth Rates'!$D65-'Model - Scarcity &amp; Growth Rates'!$E65)))</f>
        <v>1</v>
      </c>
      <c r="D66" s="12">
        <f ca="1">MAX(0,MIN(1,D65*(1+'Model - Scarcity &amp; Growth Rates'!$D65-'Model - Scarcity &amp; Growth Rates'!$E65)))</f>
        <v>1</v>
      </c>
      <c r="E66" s="12">
        <f ca="1">B66*('Model - Scarcity &amp; Growth Rates'!$D66*(1-'Model - Scarcity &amp; Growth Rates'!$I66)-'Model - Scarcity &amp; Growth Rates'!$I66)+(1-'Model - Supply'!B66)*('Model - Scarcity &amp; Growth Rates'!$E66*(1-'Model - Scarcity &amp; Growth Rates'!$I66)-'Model - Scarcity &amp; Growth Rates'!$I66)</f>
        <v>-0.22445098674745825</v>
      </c>
      <c r="F66" s="12">
        <f ca="1">C66*('Model - Scarcity &amp; Growth Rates'!$D66*(1-'Model - Scarcity &amp; Growth Rates'!$I66)-'Model - Scarcity &amp; Growth Rates'!$I66)+(1-'Model - Supply'!C66)*('Model - Scarcity &amp; Growth Rates'!$E66*(1-'Model - Scarcity &amp; Growth Rates'!$I66)-'Model - Scarcity &amp; Growth Rates'!$I66)</f>
        <v>-0.22445098674745825</v>
      </c>
      <c r="G66" s="12">
        <f ca="1">D66*('Model - Scarcity &amp; Growth Rates'!$D66*(1-'Model - Scarcity &amp; Growth Rates'!$I66)-'Model - Scarcity &amp; Growth Rates'!$I66)+(1-'Model - Supply'!D66)*('Model - Scarcity &amp; Growth Rates'!$E66*(1-'Model - Scarcity &amp; Growth Rates'!$I66)-'Model - Scarcity &amp; Growth Rates'!$I66)</f>
        <v>-0.22445098674745825</v>
      </c>
      <c r="H66" s="12">
        <f ca="1">'Model - Scarcity &amp; Growth Rates'!J66</f>
        <v>-1.3783386364949846E-2</v>
      </c>
      <c r="I66" s="21">
        <f ca="1">(1+E65)*I65*(1-(SUM(I$5:I65)/'Static Parameters'!C$17)^2)</f>
        <v>9.2631332139481125E-3</v>
      </c>
      <c r="J66" s="21">
        <f ca="1">(1+F65)*J65*(1-(SUM(J$5:J65)/'Static Parameters'!D$17)^2)</f>
        <v>3.3801950065203649E-4</v>
      </c>
      <c r="K66" s="21">
        <f ca="1">(1+G65)*K65*(1-(SUM(K$5:K65)/'Static Parameters'!E$17)^2)</f>
        <v>1.206931357205105E-5</v>
      </c>
      <c r="L66" s="21">
        <f ca="1">(1+H65)*L65*(1-(SUM(L$5:L65)/'Static Parameters'!F$17)^2)</f>
        <v>4.8487255025727937E-5</v>
      </c>
      <c r="M66" s="21">
        <f ca="1">I66*B66*'Static Parameters'!C$15</f>
        <v>2.1305206392080661E-3</v>
      </c>
      <c r="N66" s="21">
        <f ca="1">J66*C66*'Static Parameters'!D$15</f>
        <v>7.7744485149968396E-5</v>
      </c>
      <c r="O66" s="21">
        <f ca="1">K66*D66*'Static Parameters'!E$15</f>
        <v>2.896635257292252E-6</v>
      </c>
      <c r="P66" s="63">
        <f t="shared" ca="1" si="11"/>
        <v>4.8487255025727937E-5</v>
      </c>
      <c r="Q66" s="40">
        <f t="shared" ca="1" si="12"/>
        <v>0</v>
      </c>
      <c r="R66" s="40">
        <f t="shared" ca="1" si="13"/>
        <v>0</v>
      </c>
      <c r="S66" s="40">
        <f t="shared" ca="1" si="14"/>
        <v>0</v>
      </c>
      <c r="T66" s="64">
        <f ca="1">I66*'Static Parameters'!C$19/(44/12)/1000</f>
        <v>2.4328356231905542E-4</v>
      </c>
      <c r="U66" s="64">
        <f ca="1">J66*'Static Parameters'!D$19/(44/12)/1000</f>
        <v>6.7573171084893473E-6</v>
      </c>
      <c r="V66" s="64">
        <f ca="1">K66*'Static Parameters'!E$19/(44/12)/1000</f>
        <v>1.8466049765238106E-7</v>
      </c>
      <c r="W66" s="64">
        <f ca="1">MAX(0,AC65*'Model - Scarcity &amp; Growth Rates'!$J65*(1-'Model - Supply'!Z65/'Static Parameters'!C$25)+'Model - Supply'!Z65/'Static Parameters'!C$27)</f>
        <v>1.39763169447536</v>
      </c>
      <c r="X66" s="64">
        <f ca="1">MAX(0,AD65*'Model - Scarcity &amp; Growth Rates'!$J65*(1-'Model - Supply'!AA65/'Static Parameters'!D$25)+'Model - Supply'!AA65/'Static Parameters'!D$27)</f>
        <v>2.6692899340839271</v>
      </c>
      <c r="Y66" s="64">
        <f ca="1">MAX(0,AE65*'Model - Scarcity &amp; Growth Rates'!$J65*(1-'Model - Supply'!AB65/'Static Parameters'!E$25)+'Model - Supply'!AB65/'Static Parameters'!E$27)</f>
        <v>0.57003834870892534</v>
      </c>
      <c r="Z66" s="64">
        <f ca="1">Z65+W66-Z65/'Static Parameters'!C$27</f>
        <v>47.125821258630666</v>
      </c>
      <c r="AA66" s="64">
        <f ca="1">AA65+X66-AA65/'Static Parameters'!D$27</f>
        <v>95.008843973675425</v>
      </c>
      <c r="AB66" s="64">
        <f ca="1">AB65+Y66-AB65/'Static Parameters'!E$27</f>
        <v>46.346023198445046</v>
      </c>
      <c r="AC66" s="64">
        <f ca="1">Z66-W66*'Static Parameters'!C$27/'Static Parameters'!C$26</f>
        <v>44.796435101171731</v>
      </c>
      <c r="AD66" s="64">
        <f ca="1">AA66-X66*'Static Parameters'!D$27/'Static Parameters'!D$26</f>
        <v>91.672231556070514</v>
      </c>
      <c r="AE66" s="64">
        <f ca="1">AB66-Y66*'Static Parameters'!E$27/'Static Parameters'!E$26</f>
        <v>45.735267824828341</v>
      </c>
      <c r="AF66" s="64">
        <f ca="1">AG65*'Model - Scarcity &amp; Growth Rates'!K65*(1-'Model - Supply'!AF65/'Static Parameters'!C$33)+'Model - Supply'!AF65</f>
        <v>51.115366825754144</v>
      </c>
      <c r="AG66" s="64">
        <f ca="1">AF66-AF66/'Static Parameters'!$C$34</f>
        <v>25.557683412877072</v>
      </c>
      <c r="AH66" s="64">
        <f t="shared" ca="1" si="15"/>
        <v>182.20619413108523</v>
      </c>
      <c r="AI66" s="64">
        <f t="shared" ca="1" si="16"/>
        <v>25.557683412877072</v>
      </c>
      <c r="AJ66" s="64">
        <f t="shared" ca="1" si="5"/>
        <v>2.1305206392080661E-3</v>
      </c>
      <c r="AK66" s="64">
        <f t="shared" ca="1" si="6"/>
        <v>7.7744485149968396E-5</v>
      </c>
      <c r="AL66" s="64">
        <f t="shared" ca="1" si="7"/>
        <v>2.896635257292252E-6</v>
      </c>
      <c r="AM66" s="64">
        <f t="shared" ca="1" si="8"/>
        <v>4.8487255025727937E-5</v>
      </c>
      <c r="AN66" s="64">
        <f t="shared" ca="1" si="9"/>
        <v>182.20393448207057</v>
      </c>
      <c r="AO66" s="64">
        <f t="shared" ca="1" si="10"/>
        <v>25.557683412877072</v>
      </c>
    </row>
    <row r="67" spans="1:41" x14ac:dyDescent="0.35">
      <c r="A67" s="13">
        <v>2085</v>
      </c>
      <c r="B67" s="12">
        <f ca="1">MAX(0,MIN(1,B66*(1+'Model - Scarcity &amp; Growth Rates'!$D66-'Model - Scarcity &amp; Growth Rates'!$E66)))</f>
        <v>1</v>
      </c>
      <c r="C67" s="12">
        <f ca="1">MAX(0,MIN(1,C66*(1+'Model - Scarcity &amp; Growth Rates'!$D66-'Model - Scarcity &amp; Growth Rates'!$E66)))</f>
        <v>1</v>
      </c>
      <c r="D67" s="12">
        <f ca="1">MAX(0,MIN(1,D66*(1+'Model - Scarcity &amp; Growth Rates'!$D66-'Model - Scarcity &amp; Growth Rates'!$E66)))</f>
        <v>1</v>
      </c>
      <c r="E67" s="12">
        <f ca="1">B67*('Model - Scarcity &amp; Growth Rates'!$D67*(1-'Model - Scarcity &amp; Growth Rates'!$I67)-'Model - Scarcity &amp; Growth Rates'!$I67)+(1-'Model - Supply'!B67)*('Model - Scarcity &amp; Growth Rates'!$E67*(1-'Model - Scarcity &amp; Growth Rates'!$I67)-'Model - Scarcity &amp; Growth Rates'!$I67)</f>
        <v>-0.22463528751551878</v>
      </c>
      <c r="F67" s="12">
        <f ca="1">C67*('Model - Scarcity &amp; Growth Rates'!$D67*(1-'Model - Scarcity &amp; Growth Rates'!$I67)-'Model - Scarcity &amp; Growth Rates'!$I67)+(1-'Model - Supply'!C67)*('Model - Scarcity &amp; Growth Rates'!$E67*(1-'Model - Scarcity &amp; Growth Rates'!$I67)-'Model - Scarcity &amp; Growth Rates'!$I67)</f>
        <v>-0.22463528751551878</v>
      </c>
      <c r="G67" s="12">
        <f ca="1">D67*('Model - Scarcity &amp; Growth Rates'!$D67*(1-'Model - Scarcity &amp; Growth Rates'!$I67)-'Model - Scarcity &amp; Growth Rates'!$I67)+(1-'Model - Supply'!D67)*('Model - Scarcity &amp; Growth Rates'!$E67*(1-'Model - Scarcity &amp; Growth Rates'!$I67)-'Model - Scarcity &amp; Growth Rates'!$I67)</f>
        <v>-0.22463528751551878</v>
      </c>
      <c r="H67" s="12">
        <f ca="1">'Model - Scarcity &amp; Growth Rates'!J67</f>
        <v>-1.2842964298225011E-2</v>
      </c>
      <c r="I67" s="21">
        <f ca="1">(1+E66)*I66*(1-(SUM(I$5:I66)/'Static Parameters'!C$17)^2)</f>
        <v>6.4710189270240984E-3</v>
      </c>
      <c r="J67" s="21">
        <f ca="1">(1+F66)*J66*(1-(SUM(J$5:J66)/'Static Parameters'!D$17)^2)</f>
        <v>2.3348974136146286E-4</v>
      </c>
      <c r="K67" s="21">
        <f ca="1">(1+G66)*K66*(1-(SUM(K$5:K66)/'Static Parameters'!E$17)^2)</f>
        <v>7.4672065360095311E-6</v>
      </c>
      <c r="L67" s="21">
        <f ca="1">(1+H66)*L66*(1-(SUM(L$5:L66)/'Static Parameters'!F$17)^2)</f>
        <v>3.1887123978715194E-5</v>
      </c>
      <c r="M67" s="21">
        <f ca="1">I67*B67*'Static Parameters'!C$15</f>
        <v>1.4883343532155428E-3</v>
      </c>
      <c r="N67" s="21">
        <f ca="1">J67*C67*'Static Parameters'!D$15</f>
        <v>5.3702640513136462E-5</v>
      </c>
      <c r="O67" s="21">
        <f ca="1">K67*D67*'Static Parameters'!E$15</f>
        <v>1.7921295686422874E-6</v>
      </c>
      <c r="P67" s="63">
        <f t="shared" ca="1" si="11"/>
        <v>3.1887123978715194E-5</v>
      </c>
      <c r="Q67" s="40">
        <f t="shared" ca="1" si="12"/>
        <v>0</v>
      </c>
      <c r="R67" s="40">
        <f t="shared" ca="1" si="13"/>
        <v>0</v>
      </c>
      <c r="S67" s="40">
        <f t="shared" ca="1" si="14"/>
        <v>0</v>
      </c>
      <c r="T67" s="64">
        <f ca="1">I67*'Static Parameters'!C$19/(44/12)/1000</f>
        <v>1.6995248800156929E-4</v>
      </c>
      <c r="U67" s="64">
        <f ca="1">J67*'Static Parameters'!D$19/(44/12)/1000</f>
        <v>4.6676721932168807E-6</v>
      </c>
      <c r="V67" s="64">
        <f ca="1">K67*'Static Parameters'!E$19/(44/12)/1000</f>
        <v>1.1424826000094584E-7</v>
      </c>
      <c r="W67" s="64">
        <f ca="1">MAX(0,AC66*'Model - Scarcity &amp; Growth Rates'!$J66*(1-'Model - Supply'!Z66/'Static Parameters'!C$25)+'Model - Supply'!Z66/'Static Parameters'!C$27)</f>
        <v>1.4130746616993775</v>
      </c>
      <c r="X67" s="64">
        <f ca="1">MAX(0,AD66*'Model - Scarcity &amp; Growth Rates'!$J66*(1-'Model - Supply'!AA66/'Static Parameters'!D$25)+'Model - Supply'!AA66/'Static Parameters'!D$27)</f>
        <v>2.7082982361175492</v>
      </c>
      <c r="Y67" s="64">
        <f ca="1">MAX(0,AE66*'Model - Scarcity &amp; Growth Rates'!$J66*(1-'Model - Supply'!AB66/'Static Parameters'!E$25)+'Model - Supply'!AB66/'Static Parameters'!E$27)</f>
        <v>0.57187859622362736</v>
      </c>
      <c r="Z67" s="64">
        <f ca="1">Z66+W67-Z66/'Static Parameters'!C$27</f>
        <v>46.653863069984816</v>
      </c>
      <c r="AA67" s="64">
        <f ca="1">AA66+X67-AA66/'Static Parameters'!D$27</f>
        <v>93.916788450845957</v>
      </c>
      <c r="AB67" s="64">
        <f ca="1">AB66+Y67-AB66/'Static Parameters'!E$27</f>
        <v>46.299954818689407</v>
      </c>
      <c r="AC67" s="64">
        <f ca="1">Z67-W67*'Static Parameters'!C$27/'Static Parameters'!C$26</f>
        <v>44.298738633819184</v>
      </c>
      <c r="AD67" s="64">
        <f ca="1">AA67-X67*'Static Parameters'!D$27/'Static Parameters'!D$26</f>
        <v>90.531415655699021</v>
      </c>
      <c r="AE67" s="64">
        <f ca="1">AB67-Y67*'Static Parameters'!E$27/'Static Parameters'!E$26</f>
        <v>45.687227751306949</v>
      </c>
      <c r="AF67" s="64">
        <f ca="1">AG66*'Model - Scarcity &amp; Growth Rates'!K66*(1-'Model - Supply'!AF66/'Static Parameters'!C$33)+'Model - Supply'!AF66</f>
        <v>50.64086304165167</v>
      </c>
      <c r="AG67" s="64">
        <f ca="1">AF67-AF67/'Static Parameters'!$C$34</f>
        <v>25.320431520825835</v>
      </c>
      <c r="AH67" s="64">
        <f t="shared" ca="1" si="15"/>
        <v>180.51895775707243</v>
      </c>
      <c r="AI67" s="64">
        <f t="shared" ca="1" si="16"/>
        <v>25.320431520825835</v>
      </c>
      <c r="AJ67" s="64">
        <f t="shared" ca="1" si="5"/>
        <v>1.4883343532155428E-3</v>
      </c>
      <c r="AK67" s="64">
        <f t="shared" ca="1" si="6"/>
        <v>5.3702640513136462E-5</v>
      </c>
      <c r="AL67" s="64">
        <f t="shared" ca="1" si="7"/>
        <v>1.7921295686422874E-6</v>
      </c>
      <c r="AM67" s="64">
        <f t="shared" ca="1" si="8"/>
        <v>3.1887123978715194E-5</v>
      </c>
      <c r="AN67" s="64">
        <f t="shared" ca="1" si="9"/>
        <v>180.51738204082514</v>
      </c>
      <c r="AO67" s="64">
        <f t="shared" ca="1" si="10"/>
        <v>25.320431520825835</v>
      </c>
    </row>
    <row r="68" spans="1:41" x14ac:dyDescent="0.35">
      <c r="A68" s="13">
        <v>2086</v>
      </c>
      <c r="B68" s="12">
        <f ca="1">MAX(0,MIN(1,B67*(1+'Model - Scarcity &amp; Growth Rates'!$D67-'Model - Scarcity &amp; Growth Rates'!$E67)))</f>
        <v>1</v>
      </c>
      <c r="C68" s="12">
        <f ca="1">MAX(0,MIN(1,C67*(1+'Model - Scarcity &amp; Growth Rates'!$D67-'Model - Scarcity &amp; Growth Rates'!$E67)))</f>
        <v>1</v>
      </c>
      <c r="D68" s="12">
        <f ca="1">MAX(0,MIN(1,D67*(1+'Model - Scarcity &amp; Growth Rates'!$D67-'Model - Scarcity &amp; Growth Rates'!$E67)))</f>
        <v>1</v>
      </c>
      <c r="E68" s="12">
        <f ca="1">B68*('Model - Scarcity &amp; Growth Rates'!$D68*(1-'Model - Scarcity &amp; Growth Rates'!$I68)-'Model - Scarcity &amp; Growth Rates'!$I68)+(1-'Model - Supply'!B68)*('Model - Scarcity &amp; Growth Rates'!$E68*(1-'Model - Scarcity &amp; Growth Rates'!$I68)-'Model - Scarcity &amp; Growth Rates'!$I68)</f>
        <v>-0.22496468745159232</v>
      </c>
      <c r="F68" s="12">
        <f ca="1">C68*('Model - Scarcity &amp; Growth Rates'!$D68*(1-'Model - Scarcity &amp; Growth Rates'!$I68)-'Model - Scarcity &amp; Growth Rates'!$I68)+(1-'Model - Supply'!C68)*('Model - Scarcity &amp; Growth Rates'!$E68*(1-'Model - Scarcity &amp; Growth Rates'!$I68)-'Model - Scarcity &amp; Growth Rates'!$I68)</f>
        <v>-0.22496468745159232</v>
      </c>
      <c r="G68" s="12">
        <f ca="1">D68*('Model - Scarcity &amp; Growth Rates'!$D68*(1-'Model - Scarcity &amp; Growth Rates'!$I68)-'Model - Scarcity &amp; Growth Rates'!$I68)+(1-'Model - Supply'!D68)*('Model - Scarcity &amp; Growth Rates'!$E68*(1-'Model - Scarcity &amp; Growth Rates'!$I68)-'Model - Scarcity &amp; Growth Rates'!$I68)</f>
        <v>-0.22496468745159232</v>
      </c>
      <c r="H68" s="12">
        <f ca="1">'Model - Scarcity &amp; Growth Rates'!J68</f>
        <v>-1.2126804095300288E-2</v>
      </c>
      <c r="I68" s="21">
        <f ca="1">(1+E67)*I67*(1-(SUM(I$5:I67)/'Static Parameters'!C$17)^2)</f>
        <v>4.5194348985034792E-3</v>
      </c>
      <c r="J68" s="21">
        <f ca="1">(1+F67)*J67*(1-(SUM(J$5:J67)/'Static Parameters'!D$17)^2)</f>
        <v>1.6124662252386051E-4</v>
      </c>
      <c r="K68" s="21">
        <f ca="1">(1+G67)*K67*(1-(SUM(K$5:K67)/'Static Parameters'!E$17)^2)</f>
        <v>4.6188146899692742E-6</v>
      </c>
      <c r="L68" s="21">
        <f ca="1">(1+H67)*L67*(1-(SUM(L$5:L67)/'Static Parameters'!F$17)^2)</f>
        <v>2.0990221142279473E-5</v>
      </c>
      <c r="M68" s="21">
        <f ca="1">I68*B68*'Static Parameters'!C$15</f>
        <v>1.0394700266558002E-3</v>
      </c>
      <c r="N68" s="21">
        <f ca="1">J68*C68*'Static Parameters'!D$15</f>
        <v>3.7086723180487916E-5</v>
      </c>
      <c r="O68" s="21">
        <f ca="1">K68*D68*'Static Parameters'!E$15</f>
        <v>1.1085155255926257E-6</v>
      </c>
      <c r="P68" s="63">
        <f t="shared" ca="1" si="11"/>
        <v>2.0990221142279473E-5</v>
      </c>
      <c r="Q68" s="40">
        <f t="shared" ca="1" si="12"/>
        <v>0</v>
      </c>
      <c r="R68" s="40">
        <f t="shared" ca="1" si="13"/>
        <v>0</v>
      </c>
      <c r="S68" s="40">
        <f t="shared" ca="1" si="14"/>
        <v>0</v>
      </c>
      <c r="T68" s="64">
        <f ca="1">I68*'Static Parameters'!C$19/(44/12)/1000</f>
        <v>1.1869679474342319E-4</v>
      </c>
      <c r="U68" s="64">
        <f ca="1">J68*'Static Parameters'!D$19/(44/12)/1000</f>
        <v>3.2234665720906296E-6</v>
      </c>
      <c r="V68" s="64">
        <f ca="1">K68*'Static Parameters'!E$19/(44/12)/1000</f>
        <v>7.0667864756529903E-8</v>
      </c>
      <c r="W68" s="64">
        <f ca="1">MAX(0,AC67*'Model - Scarcity &amp; Growth Rates'!$J67*(1-'Model - Supply'!Z67/'Static Parameters'!C$25)+'Model - Supply'!Z67/'Static Parameters'!C$27)</f>
        <v>1.42994064353913</v>
      </c>
      <c r="X68" s="64">
        <f ca="1">MAX(0,AD67*'Model - Scarcity &amp; Growth Rates'!$J67*(1-'Model - Supply'!AA67/'Static Parameters'!D$25)+'Model - Supply'!AA67/'Static Parameters'!D$27)</f>
        <v>2.7499744761824783</v>
      </c>
      <c r="Y68" s="64">
        <f ca="1">MAX(0,AE67*'Model - Scarcity &amp; Growth Rates'!$J67*(1-'Model - Supply'!AB67/'Static Parameters'!E$25)+'Model - Supply'!AB67/'Static Parameters'!E$27)</f>
        <v>0.57391200252243002</v>
      </c>
      <c r="Z68" s="64">
        <f ca="1">Z67+W68-Z67/'Static Parameters'!C$27</f>
        <v>46.217649190724558</v>
      </c>
      <c r="AA68" s="64">
        <f ca="1">AA67+X68-AA67/'Static Parameters'!D$27</f>
        <v>92.910091388994587</v>
      </c>
      <c r="AB68" s="64">
        <f ca="1">AB67+Y68-AB67/'Static Parameters'!E$27</f>
        <v>46.256534090295972</v>
      </c>
      <c r="AC68" s="64">
        <f ca="1">Z68-W68*'Static Parameters'!C$27/'Static Parameters'!C$26</f>
        <v>43.834414784826009</v>
      </c>
      <c r="AD68" s="64">
        <f ca="1">AA68-X68*'Static Parameters'!D$27/'Static Parameters'!D$26</f>
        <v>89.472623293766489</v>
      </c>
      <c r="AE68" s="64">
        <f ca="1">AB68-Y68*'Static Parameters'!E$27/'Static Parameters'!E$26</f>
        <v>45.641628373307654</v>
      </c>
      <c r="AF68" s="64">
        <f ca="1">AG67*'Model - Scarcity &amp; Growth Rates'!K67*(1-'Model - Supply'!AF67/'Static Parameters'!C$33)+'Model - Supply'!AF67</f>
        <v>50.187692850363405</v>
      </c>
      <c r="AG68" s="64">
        <f ca="1">AF68-AF68/'Static Parameters'!$C$34</f>
        <v>25.093846425181702</v>
      </c>
      <c r="AH68" s="64">
        <f t="shared" ca="1" si="15"/>
        <v>178.94976510738667</v>
      </c>
      <c r="AI68" s="64">
        <f t="shared" ca="1" si="16"/>
        <v>25.093846425181702</v>
      </c>
      <c r="AJ68" s="64">
        <f t="shared" ca="1" si="5"/>
        <v>1.0394700266558002E-3</v>
      </c>
      <c r="AK68" s="64">
        <f t="shared" ca="1" si="6"/>
        <v>3.7086723180487916E-5</v>
      </c>
      <c r="AL68" s="64">
        <f t="shared" ca="1" si="7"/>
        <v>1.1085155255926257E-6</v>
      </c>
      <c r="AM68" s="64">
        <f t="shared" ca="1" si="8"/>
        <v>2.0990221142279473E-5</v>
      </c>
      <c r="AN68" s="64">
        <f t="shared" ca="1" si="9"/>
        <v>178.94866645190012</v>
      </c>
      <c r="AO68" s="64">
        <f t="shared" ca="1" si="10"/>
        <v>25.093846425181702</v>
      </c>
    </row>
    <row r="69" spans="1:41" x14ac:dyDescent="0.35">
      <c r="A69" s="13">
        <v>2087</v>
      </c>
      <c r="B69" s="12">
        <f ca="1">MAX(0,MIN(1,B68*(1+'Model - Scarcity &amp; Growth Rates'!$D68-'Model - Scarcity &amp; Growth Rates'!$E68)))</f>
        <v>1</v>
      </c>
      <c r="C69" s="12">
        <f ca="1">MAX(0,MIN(1,C68*(1+'Model - Scarcity &amp; Growth Rates'!$D68-'Model - Scarcity &amp; Growth Rates'!$E68)))</f>
        <v>1</v>
      </c>
      <c r="D69" s="12">
        <f ca="1">MAX(0,MIN(1,D68*(1+'Model - Scarcity &amp; Growth Rates'!$D68-'Model - Scarcity &amp; Growth Rates'!$E68)))</f>
        <v>1</v>
      </c>
      <c r="E69" s="12">
        <f ca="1">B69*('Model - Scarcity &amp; Growth Rates'!$D69*(1-'Model - Scarcity &amp; Growth Rates'!$I69)-'Model - Scarcity &amp; Growth Rates'!$I69)+(1-'Model - Supply'!B69)*('Model - Scarcity &amp; Growth Rates'!$E69*(1-'Model - Scarcity &amp; Growth Rates'!$I69)-'Model - Scarcity &amp; Growth Rates'!$I69)</f>
        <v>-0.22549193932834627</v>
      </c>
      <c r="F69" s="12">
        <f ca="1">C69*('Model - Scarcity &amp; Growth Rates'!$D69*(1-'Model - Scarcity &amp; Growth Rates'!$I69)-'Model - Scarcity &amp; Growth Rates'!$I69)+(1-'Model - Supply'!C69)*('Model - Scarcity &amp; Growth Rates'!$E69*(1-'Model - Scarcity &amp; Growth Rates'!$I69)-'Model - Scarcity &amp; Growth Rates'!$I69)</f>
        <v>-0.22549193932834627</v>
      </c>
      <c r="G69" s="12">
        <f ca="1">D69*('Model - Scarcity &amp; Growth Rates'!$D69*(1-'Model - Scarcity &amp; Growth Rates'!$I69)-'Model - Scarcity &amp; Growth Rates'!$I69)+(1-'Model - Supply'!D69)*('Model - Scarcity &amp; Growth Rates'!$E69*(1-'Model - Scarcity &amp; Growth Rates'!$I69)-'Model - Scarcity &amp; Growth Rates'!$I69)</f>
        <v>-0.22549193932834627</v>
      </c>
      <c r="H69" s="12">
        <f ca="1">'Model - Scarcity &amp; Growth Rates'!J69</f>
        <v>-1.1700923757435816E-2</v>
      </c>
      <c r="I69" s="21">
        <f ca="1">(1+E68)*I68*(1-(SUM(I$5:I68)/'Static Parameters'!C$17)^2)</f>
        <v>3.1550845622501707E-3</v>
      </c>
      <c r="J69" s="21">
        <f ca="1">(1+F68)*J68*(1-(SUM(J$5:J68)/'Static Parameters'!D$17)^2)</f>
        <v>1.1130864658280646E-4</v>
      </c>
      <c r="K69" s="21">
        <f ca="1">(1+G68)*K68*(1-(SUM(K$5:K68)/'Static Parameters'!E$17)^2)</f>
        <v>2.8557380707632917E-6</v>
      </c>
      <c r="L69" s="21">
        <f ca="1">(1+H68)*L68*(1-(SUM(L$5:L68)/'Static Parameters'!F$17)^2)</f>
        <v>1.3827180176487013E-5</v>
      </c>
      <c r="M69" s="21">
        <f ca="1">I69*B69*'Static Parameters'!C$15</f>
        <v>7.2566944931753931E-4</v>
      </c>
      <c r="N69" s="21">
        <f ca="1">J69*C69*'Static Parameters'!D$15</f>
        <v>2.5600988714045486E-5</v>
      </c>
      <c r="O69" s="21">
        <f ca="1">K69*D69*'Static Parameters'!E$15</f>
        <v>6.8537713698319E-7</v>
      </c>
      <c r="P69" s="63">
        <f t="shared" ca="1" si="11"/>
        <v>1.3827180176487013E-5</v>
      </c>
      <c r="Q69" s="40">
        <f t="shared" ca="1" si="12"/>
        <v>0</v>
      </c>
      <c r="R69" s="40">
        <f t="shared" ca="1" si="13"/>
        <v>0</v>
      </c>
      <c r="S69" s="40">
        <f t="shared" ca="1" si="14"/>
        <v>0</v>
      </c>
      <c r="T69" s="64">
        <f ca="1">I69*'Static Parameters'!C$19/(44/12)/1000</f>
        <v>8.2863993639461315E-5</v>
      </c>
      <c r="U69" s="64">
        <f ca="1">J69*'Static Parameters'!D$19/(44/12)/1000</f>
        <v>2.2251610348690124E-6</v>
      </c>
      <c r="V69" s="64">
        <f ca="1">K69*'Static Parameters'!E$19/(44/12)/1000</f>
        <v>4.3692792482678363E-8</v>
      </c>
      <c r="W69" s="64">
        <f ca="1">MAX(0,AC68*'Model - Scarcity &amp; Growth Rates'!$J68*(1-'Model - Supply'!Z68/'Static Parameters'!C$25)+'Model - Supply'!Z68/'Static Parameters'!C$27)</f>
        <v>1.439974500251012</v>
      </c>
      <c r="X69" s="64">
        <f ca="1">MAX(0,AD68*'Model - Scarcity &amp; Growth Rates'!$J68*(1-'Model - Supply'!AA68/'Static Parameters'!D$25)+'Model - Supply'!AA68/'Static Parameters'!D$27)</f>
        <v>2.7753995756500713</v>
      </c>
      <c r="Y69" s="64">
        <f ca="1">MAX(0,AE68*'Model - Scarcity &amp; Growth Rates'!$J68*(1-'Model - Supply'!AB68/'Static Parameters'!E$25)+'Model - Supply'!AB68/'Static Parameters'!E$27)</f>
        <v>0.57531458712202788</v>
      </c>
      <c r="Z69" s="64">
        <f ca="1">Z68+W69-Z68/'Static Parameters'!C$27</f>
        <v>45.808917723346589</v>
      </c>
      <c r="AA69" s="64">
        <f ca="1">AA68+X69-AA68/'Static Parameters'!D$27</f>
        <v>91.96908730908487</v>
      </c>
      <c r="AB69" s="64">
        <f ca="1">AB68+Y69-AB68/'Static Parameters'!E$27</f>
        <v>46.215094889547387</v>
      </c>
      <c r="AC69" s="64">
        <f ca="1">Z69-W69*'Static Parameters'!C$27/'Static Parameters'!C$26</f>
        <v>43.408960222928236</v>
      </c>
      <c r="AD69" s="64">
        <f ca="1">AA69-X69*'Static Parameters'!D$27/'Static Parameters'!D$26</f>
        <v>88.499837839522286</v>
      </c>
      <c r="AE69" s="64">
        <f ca="1">AB69-Y69*'Static Parameters'!E$27/'Static Parameters'!E$26</f>
        <v>45.598686403345212</v>
      </c>
      <c r="AF69" s="64">
        <f ca="1">AG68*'Model - Scarcity &amp; Growth Rates'!K68*(1-'Model - Supply'!AF68/'Static Parameters'!C$33)+'Model - Supply'!AF68</f>
        <v>49.755792264766505</v>
      </c>
      <c r="AG69" s="64">
        <f ca="1">AF69-AF69/'Static Parameters'!$C$34</f>
        <v>24.877896132383253</v>
      </c>
      <c r="AH69" s="64">
        <f t="shared" ca="1" si="15"/>
        <v>177.50825024879106</v>
      </c>
      <c r="AI69" s="64">
        <f t="shared" ca="1" si="16"/>
        <v>24.877896132383253</v>
      </c>
      <c r="AJ69" s="64">
        <f t="shared" ca="1" si="5"/>
        <v>7.2566944931753931E-4</v>
      </c>
      <c r="AK69" s="64">
        <f t="shared" ca="1" si="6"/>
        <v>2.5600988714045486E-5</v>
      </c>
      <c r="AL69" s="64">
        <f t="shared" ca="1" si="7"/>
        <v>6.8537713698319E-7</v>
      </c>
      <c r="AM69" s="64">
        <f t="shared" ca="1" si="8"/>
        <v>1.3827180176487013E-5</v>
      </c>
      <c r="AN69" s="64">
        <f t="shared" ca="1" si="9"/>
        <v>177.50748446579576</v>
      </c>
      <c r="AO69" s="64">
        <f t="shared" ca="1" si="10"/>
        <v>24.877896132383253</v>
      </c>
    </row>
    <row r="70" spans="1:41" x14ac:dyDescent="0.35">
      <c r="A70" s="13">
        <v>2088</v>
      </c>
      <c r="B70" s="12">
        <f ca="1">MAX(0,MIN(1,B69*(1+'Model - Scarcity &amp; Growth Rates'!$D69-'Model - Scarcity &amp; Growth Rates'!$E69)))</f>
        <v>1</v>
      </c>
      <c r="C70" s="12">
        <f ca="1">MAX(0,MIN(1,C69*(1+'Model - Scarcity &amp; Growth Rates'!$D69-'Model - Scarcity &amp; Growth Rates'!$E69)))</f>
        <v>1</v>
      </c>
      <c r="D70" s="12">
        <f ca="1">MAX(0,MIN(1,D69*(1+'Model - Scarcity &amp; Growth Rates'!$D69-'Model - Scarcity &amp; Growth Rates'!$E69)))</f>
        <v>1</v>
      </c>
      <c r="E70" s="12">
        <f ca="1">B70*('Model - Scarcity &amp; Growth Rates'!$D70*(1-'Model - Scarcity &amp; Growth Rates'!$I70)-'Model - Scarcity &amp; Growth Rates'!$I70)+(1-'Model - Supply'!B70)*('Model - Scarcity &amp; Growth Rates'!$E70*(1-'Model - Scarcity &amp; Growth Rates'!$I70)-'Model - Scarcity &amp; Growth Rates'!$I70)</f>
        <v>-0.22612147043259626</v>
      </c>
      <c r="F70" s="12">
        <f ca="1">C70*('Model - Scarcity &amp; Growth Rates'!$D70*(1-'Model - Scarcity &amp; Growth Rates'!$I70)-'Model - Scarcity &amp; Growth Rates'!$I70)+(1-'Model - Supply'!C70)*('Model - Scarcity &amp; Growth Rates'!$E70*(1-'Model - Scarcity &amp; Growth Rates'!$I70)-'Model - Scarcity &amp; Growth Rates'!$I70)</f>
        <v>-0.22612147043259626</v>
      </c>
      <c r="G70" s="12">
        <f ca="1">D70*('Model - Scarcity &amp; Growth Rates'!$D70*(1-'Model - Scarcity &amp; Growth Rates'!$I70)-'Model - Scarcity &amp; Growth Rates'!$I70)+(1-'Model - Supply'!D70)*('Model - Scarcity &amp; Growth Rates'!$E70*(1-'Model - Scarcity &amp; Growth Rates'!$I70)-'Model - Scarcity &amp; Growth Rates'!$I70)</f>
        <v>-0.22612147043259626</v>
      </c>
      <c r="H70" s="12">
        <f ca="1">'Model - Scarcity &amp; Growth Rates'!J70</f>
        <v>-1.1442241317219768E-2</v>
      </c>
      <c r="I70" s="21">
        <f ca="1">(1+E69)*I69*(1-(SUM(I$5:I69)/'Static Parameters'!C$17)^2)</f>
        <v>2.2011127322085645E-3</v>
      </c>
      <c r="J70" s="21">
        <f ca="1">(1+F69)*J69*(1-(SUM(J$5:J69)/'Static Parameters'!D$17)^2)</f>
        <v>7.6784157831276276E-5</v>
      </c>
      <c r="K70" s="21">
        <f ca="1">(1+G69)*K69*(1-(SUM(K$5:K69)/'Static Parameters'!E$17)^2)</f>
        <v>1.7644552793837998E-6</v>
      </c>
      <c r="L70" s="21">
        <f ca="1">(1+H69)*L69*(1-(SUM(L$5:L69)/'Static Parameters'!F$17)^2)</f>
        <v>9.1124972286999983E-6</v>
      </c>
      <c r="M70" s="21">
        <f ca="1">I70*B70*'Static Parameters'!C$15</f>
        <v>5.062559284079698E-4</v>
      </c>
      <c r="N70" s="21">
        <f ca="1">J70*C70*'Static Parameters'!D$15</f>
        <v>1.7660356301193543E-5</v>
      </c>
      <c r="O70" s="21">
        <f ca="1">K70*D70*'Static Parameters'!E$15</f>
        <v>4.2346926705211196E-7</v>
      </c>
      <c r="P70" s="63">
        <f t="shared" ca="1" si="11"/>
        <v>9.1124972286999983E-6</v>
      </c>
      <c r="Q70" s="40">
        <f t="shared" ca="1" si="12"/>
        <v>0</v>
      </c>
      <c r="R70" s="40">
        <f t="shared" ca="1" si="13"/>
        <v>0</v>
      </c>
      <c r="S70" s="40">
        <f t="shared" ca="1" si="14"/>
        <v>0</v>
      </c>
      <c r="T70" s="64">
        <f ca="1">I70*'Static Parameters'!C$19/(44/12)/1000</f>
        <v>5.7809224394095842E-5</v>
      </c>
      <c r="U70" s="64">
        <f ca="1">J70*'Static Parameters'!D$19/(44/12)/1000</f>
        <v>1.5349851188270592E-6</v>
      </c>
      <c r="V70" s="64">
        <f ca="1">K70*'Static Parameters'!E$19/(44/12)/1000</f>
        <v>2.6996165774572139E-8</v>
      </c>
      <c r="W70" s="64">
        <f ca="1">MAX(0,AC69*'Model - Scarcity &amp; Growth Rates'!$J69*(1-'Model - Supply'!Z69/'Static Parameters'!C$25)+'Model - Supply'!Z69/'Static Parameters'!C$27)</f>
        <v>1.4407692325224184</v>
      </c>
      <c r="X70" s="64">
        <f ca="1">MAX(0,AD69*'Model - Scarcity &amp; Growth Rates'!$J69*(1-'Model - Supply'!AA69/'Static Parameters'!D$25)+'Model - Supply'!AA69/'Static Parameters'!D$27)</f>
        <v>2.7792861167653951</v>
      </c>
      <c r="Y70" s="64">
        <f ca="1">MAX(0,AE69*'Model - Scarcity &amp; Growth Rates'!$J69*(1-'Model - Supply'!AB69/'Static Parameters'!E$25)+'Model - Supply'!AB69/'Static Parameters'!E$27)</f>
        <v>0.57581278854867435</v>
      </c>
      <c r="Z70" s="64">
        <f ca="1">Z69+W70-Z69/'Static Parameters'!C$27</f>
        <v>45.417330246935144</v>
      </c>
      <c r="AA70" s="64">
        <f ca="1">AA69+X70-AA69/'Static Parameters'!D$27</f>
        <v>91.069609933486859</v>
      </c>
      <c r="AB70" s="64">
        <f ca="1">AB69+Y70-AB69/'Static Parameters'!E$27</f>
        <v>46.174706412902097</v>
      </c>
      <c r="AC70" s="64">
        <f ca="1">Z70-W70*'Static Parameters'!C$27/'Static Parameters'!C$26</f>
        <v>43.016048192731112</v>
      </c>
      <c r="AD70" s="64">
        <f ca="1">AA70-X70*'Static Parameters'!D$27/'Static Parameters'!D$26</f>
        <v>87.59550228753011</v>
      </c>
      <c r="AE70" s="64">
        <f ca="1">AB70-Y70*'Static Parameters'!E$27/'Static Parameters'!E$26</f>
        <v>45.557764139457092</v>
      </c>
      <c r="AF70" s="64">
        <f ca="1">AG69*'Model - Scarcity &amp; Growth Rates'!K69*(1-'Model - Supply'!AF69/'Static Parameters'!C$33)+'Model - Supply'!AF69</f>
        <v>49.345020129537367</v>
      </c>
      <c r="AG70" s="64">
        <f ca="1">AF70-AF70/'Static Parameters'!$C$34</f>
        <v>24.672510064768684</v>
      </c>
      <c r="AH70" s="64">
        <f t="shared" ca="1" si="15"/>
        <v>176.16984807196951</v>
      </c>
      <c r="AI70" s="64">
        <f t="shared" ca="1" si="16"/>
        <v>24.672510064768684</v>
      </c>
      <c r="AJ70" s="64">
        <f t="shared" ref="AJ70:AJ81" ca="1" si="17">Q70+M70</f>
        <v>5.062559284079698E-4</v>
      </c>
      <c r="AK70" s="64">
        <f t="shared" ref="AK70:AK81" ca="1" si="18">R70+N70</f>
        <v>1.7660356301193543E-5</v>
      </c>
      <c r="AL70" s="64">
        <f t="shared" ref="AL70:AL81" ca="1" si="19">S70+O70</f>
        <v>4.2346926705211196E-7</v>
      </c>
      <c r="AM70" s="64">
        <f t="shared" ref="AM70:AM81" ca="1" si="20">P70</f>
        <v>9.1124972286999983E-6</v>
      </c>
      <c r="AN70" s="64">
        <f t="shared" ref="AN70:AN81" ca="1" si="21">SUM(AC70:AE70)</f>
        <v>176.16931461971831</v>
      </c>
      <c r="AO70" s="64">
        <f t="shared" ref="AO70:AO81" ca="1" si="22">AG70</f>
        <v>24.672510064768684</v>
      </c>
    </row>
    <row r="71" spans="1:41" x14ac:dyDescent="0.35">
      <c r="A71" s="13">
        <v>2089</v>
      </c>
      <c r="B71" s="12">
        <f ca="1">MAX(0,MIN(1,B70*(1+'Model - Scarcity &amp; Growth Rates'!$D70-'Model - Scarcity &amp; Growth Rates'!$E70)))</f>
        <v>1</v>
      </c>
      <c r="C71" s="12">
        <f ca="1">MAX(0,MIN(1,C70*(1+'Model - Scarcity &amp; Growth Rates'!$D70-'Model - Scarcity &amp; Growth Rates'!$E70)))</f>
        <v>1</v>
      </c>
      <c r="D71" s="12">
        <f ca="1">MAX(0,MIN(1,D70*(1+'Model - Scarcity &amp; Growth Rates'!$D70-'Model - Scarcity &amp; Growth Rates'!$E70)))</f>
        <v>1</v>
      </c>
      <c r="E71" s="12">
        <f ca="1">B71*('Model - Scarcity &amp; Growth Rates'!$D71*(1-'Model - Scarcity &amp; Growth Rates'!$I71)-'Model - Scarcity &amp; Growth Rates'!$I71)+(1-'Model - Supply'!B71)*('Model - Scarcity &amp; Growth Rates'!$E71*(1-'Model - Scarcity &amp; Growth Rates'!$I71)-'Model - Scarcity &amp; Growth Rates'!$I71)</f>
        <v>-0.22668805740576503</v>
      </c>
      <c r="F71" s="12">
        <f ca="1">C71*('Model - Scarcity &amp; Growth Rates'!$D71*(1-'Model - Scarcity &amp; Growth Rates'!$I71)-'Model - Scarcity &amp; Growth Rates'!$I71)+(1-'Model - Supply'!C71)*('Model - Scarcity &amp; Growth Rates'!$E71*(1-'Model - Scarcity &amp; Growth Rates'!$I71)-'Model - Scarcity &amp; Growth Rates'!$I71)</f>
        <v>-0.22668805740576503</v>
      </c>
      <c r="G71" s="12">
        <f ca="1">D71*('Model - Scarcity &amp; Growth Rates'!$D71*(1-'Model - Scarcity &amp; Growth Rates'!$I71)-'Model - Scarcity &amp; Growth Rates'!$I71)+(1-'Model - Supply'!D71)*('Model - Scarcity &amp; Growth Rates'!$E71*(1-'Model - Scarcity &amp; Growth Rates'!$I71)-'Model - Scarcity &amp; Growth Rates'!$I71)</f>
        <v>-0.22668805740576503</v>
      </c>
      <c r="H71" s="12">
        <f ca="1">'Model - Scarcity &amp; Growth Rates'!J71</f>
        <v>-1.1138164329144712E-2</v>
      </c>
      <c r="I71" s="21">
        <f ca="1">(1+E70)*I70*(1-(SUM(I$5:I70)/'Static Parameters'!C$17)^2)</f>
        <v>1.5343357262517451E-3</v>
      </c>
      <c r="J71" s="21">
        <f ca="1">(1+F70)*J70*(1-(SUM(J$5:J70)/'Static Parameters'!D$17)^2)</f>
        <v>5.292504080734518E-5</v>
      </c>
      <c r="K71" s="21">
        <f ca="1">(1+G70)*K70*(1-(SUM(K$5:K70)/'Static Parameters'!E$17)^2)</f>
        <v>1.0893057481924281E-6</v>
      </c>
      <c r="L71" s="21">
        <f ca="1">(1+H70)*L70*(1-(SUM(L$5:L70)/'Static Parameters'!F$17)^2)</f>
        <v>6.0069615300719083E-6</v>
      </c>
      <c r="M71" s="21">
        <f ca="1">I71*B71*'Static Parameters'!C$15</f>
        <v>3.528972170379014E-4</v>
      </c>
      <c r="N71" s="21">
        <f ca="1">J71*C71*'Static Parameters'!D$15</f>
        <v>1.2172759385689393E-5</v>
      </c>
      <c r="O71" s="21">
        <f ca="1">K71*D71*'Static Parameters'!E$15</f>
        <v>2.6143337956618272E-7</v>
      </c>
      <c r="P71" s="63">
        <f t="shared" ref="P71:P82" ca="1" si="23">L71</f>
        <v>6.0069615300719083E-6</v>
      </c>
      <c r="Q71" s="40">
        <f t="shared" ref="Q71:Q82" ca="1" si="24">I71*(1-B71)</f>
        <v>0</v>
      </c>
      <c r="R71" s="40">
        <f t="shared" ref="R71:R82" ca="1" si="25">J71*(1-C71)</f>
        <v>0</v>
      </c>
      <c r="S71" s="40">
        <f t="shared" ref="S71:S82" ca="1" si="26">K71*(1-D71)</f>
        <v>0</v>
      </c>
      <c r="T71" s="64">
        <f ca="1">I71*'Static Parameters'!C$19/(44/12)/1000</f>
        <v>4.0297235574011745E-5</v>
      </c>
      <c r="U71" s="64">
        <f ca="1">J71*'Static Parameters'!D$19/(44/12)/1000</f>
        <v>1.0580196794122914E-6</v>
      </c>
      <c r="V71" s="64">
        <f ca="1">K71*'Static Parameters'!E$19/(44/12)/1000</f>
        <v>1.666637794734415E-8</v>
      </c>
      <c r="W71" s="64">
        <f ca="1">MAX(0,AC70*'Model - Scarcity &amp; Growth Rates'!$J70*(1-'Model - Supply'!Z70/'Static Parameters'!C$25)+'Model - Supply'!Z70/'Static Parameters'!C$27)</f>
        <v>1.4362652565741747</v>
      </c>
      <c r="X71" s="64">
        <f ca="1">MAX(0,AD70*'Model - Scarcity &amp; Growth Rates'!$J70*(1-'Model - Supply'!AA70/'Static Parameters'!D$25)+'Model - Supply'!AA70/'Static Parameters'!D$27)</f>
        <v>2.7708927460487116</v>
      </c>
      <c r="Y71" s="64">
        <f ca="1">MAX(0,AE70*'Model - Scarcity &amp; Growth Rates'!$J70*(1-'Model - Supply'!AB70/'Static Parameters'!E$25)+'Model - Supply'!AB70/'Static Parameters'!E$27)</f>
        <v>0.57578154709968532</v>
      </c>
      <c r="Z71" s="64">
        <f ca="1">Z70+W71-Z70/'Static Parameters'!C$27</f>
        <v>45.036902293631911</v>
      </c>
      <c r="AA71" s="64">
        <f ca="1">AA70+X71-AA70/'Static Parameters'!D$27</f>
        <v>90.197718282196107</v>
      </c>
      <c r="AB71" s="64">
        <f ca="1">AB70+Y71-AB70/'Static Parameters'!E$27</f>
        <v>46.134825207829756</v>
      </c>
      <c r="AC71" s="64">
        <f ca="1">Z71-W71*'Static Parameters'!C$27/'Static Parameters'!C$26</f>
        <v>42.643126866008288</v>
      </c>
      <c r="AD71" s="64">
        <f ca="1">AA71-X71*'Static Parameters'!D$27/'Static Parameters'!D$26</f>
        <v>86.734102349635222</v>
      </c>
      <c r="AE71" s="64">
        <f ca="1">AB71-Y71*'Static Parameters'!E$27/'Static Parameters'!E$26</f>
        <v>45.51791640736581</v>
      </c>
      <c r="AF71" s="64">
        <f ca="1">AG70*'Model - Scarcity &amp; Growth Rates'!K70*(1-'Model - Supply'!AF70/'Static Parameters'!C$33)+'Model - Supply'!AF70</f>
        <v>48.955077821240216</v>
      </c>
      <c r="AG71" s="64">
        <f ca="1">AF71-AF71/'Static Parameters'!$C$34</f>
        <v>24.477538910620108</v>
      </c>
      <c r="AH71" s="64">
        <f t="shared" ref="AH71:AH82" ca="1" si="27">SUM(M71:P71,AC71:AE71)</f>
        <v>174.89551696138065</v>
      </c>
      <c r="AI71" s="64">
        <f t="shared" ref="AI71:AI82" ca="1" si="28">SUM(Q71:S71,AG71)</f>
        <v>24.477538910620108</v>
      </c>
      <c r="AJ71" s="64">
        <f t="shared" ca="1" si="17"/>
        <v>3.528972170379014E-4</v>
      </c>
      <c r="AK71" s="64">
        <f t="shared" ca="1" si="18"/>
        <v>1.2172759385689393E-5</v>
      </c>
      <c r="AL71" s="64">
        <f t="shared" ca="1" si="19"/>
        <v>2.6143337956618272E-7</v>
      </c>
      <c r="AM71" s="64">
        <f t="shared" ca="1" si="20"/>
        <v>6.0069615300719083E-6</v>
      </c>
      <c r="AN71" s="64">
        <f t="shared" ca="1" si="21"/>
        <v>174.89514562300934</v>
      </c>
      <c r="AO71" s="64">
        <f t="shared" ca="1" si="22"/>
        <v>24.477538910620108</v>
      </c>
    </row>
    <row r="72" spans="1:41" x14ac:dyDescent="0.35">
      <c r="A72" s="13">
        <v>2090</v>
      </c>
      <c r="B72" s="12">
        <f ca="1">MAX(0,MIN(1,B71*(1+'Model - Scarcity &amp; Growth Rates'!$D71-'Model - Scarcity &amp; Growth Rates'!$E71)))</f>
        <v>1</v>
      </c>
      <c r="C72" s="12">
        <f ca="1">MAX(0,MIN(1,C71*(1+'Model - Scarcity &amp; Growth Rates'!$D71-'Model - Scarcity &amp; Growth Rates'!$E71)))</f>
        <v>1</v>
      </c>
      <c r="D72" s="12">
        <f ca="1">MAX(0,MIN(1,D71*(1+'Model - Scarcity &amp; Growth Rates'!$D71-'Model - Scarcity &amp; Growth Rates'!$E71)))</f>
        <v>1</v>
      </c>
      <c r="E72" s="12">
        <f ca="1">B72*('Model - Scarcity &amp; Growth Rates'!$D72*(1-'Model - Scarcity &amp; Growth Rates'!$I72)-'Model - Scarcity &amp; Growth Rates'!$I72)+(1-'Model - Supply'!B72)*('Model - Scarcity &amp; Growth Rates'!$E72*(1-'Model - Scarcity &amp; Growth Rates'!$I72)-'Model - Scarcity &amp; Growth Rates'!$I72)</f>
        <v>-0.227075831963964</v>
      </c>
      <c r="F72" s="12">
        <f ca="1">C72*('Model - Scarcity &amp; Growth Rates'!$D72*(1-'Model - Scarcity &amp; Growth Rates'!$I72)-'Model - Scarcity &amp; Growth Rates'!$I72)+(1-'Model - Supply'!C72)*('Model - Scarcity &amp; Growth Rates'!$E72*(1-'Model - Scarcity &amp; Growth Rates'!$I72)-'Model - Scarcity &amp; Growth Rates'!$I72)</f>
        <v>-0.227075831963964</v>
      </c>
      <c r="G72" s="12">
        <f ca="1">D72*('Model - Scarcity &amp; Growth Rates'!$D72*(1-'Model - Scarcity &amp; Growth Rates'!$I72)-'Model - Scarcity &amp; Growth Rates'!$I72)+(1-'Model - Supply'!D72)*('Model - Scarcity &amp; Growth Rates'!$E72*(1-'Model - Scarcity &amp; Growth Rates'!$I72)-'Model - Scarcity &amp; Growth Rates'!$I72)</f>
        <v>-0.227075831963964</v>
      </c>
      <c r="H72" s="12">
        <f ca="1">'Model - Scarcity &amp; Growth Rates'!J72</f>
        <v>-1.0638506071367269E-2</v>
      </c>
      <c r="I72" s="21">
        <f ca="1">(1+E71)*I71*(1-(SUM(I$5:I71)/'Static Parameters'!C$17)^2)</f>
        <v>1.0687605381692578E-3</v>
      </c>
      <c r="J72" s="21">
        <f ca="1">(1+F71)*J71*(1-(SUM(J$5:J71)/'Static Parameters'!D$17)^2)</f>
        <v>3.6452951303078042E-5</v>
      </c>
      <c r="K72" s="21">
        <f ca="1">(1+G71)*K71*(1-(SUM(K$5:K71)/'Static Parameters'!E$17)^2)</f>
        <v>6.7200244719713862E-7</v>
      </c>
      <c r="L72" s="21">
        <f ca="1">(1+H71)*L71*(1-(SUM(L$5:L71)/'Static Parameters'!F$17)^2)</f>
        <v>3.961009239066498E-6</v>
      </c>
      <c r="M72" s="21">
        <f ca="1">I72*B72*'Static Parameters'!C$15</f>
        <v>2.4581492377892929E-4</v>
      </c>
      <c r="N72" s="21">
        <f ca="1">J72*C72*'Static Parameters'!D$15</f>
        <v>8.3841787997079493E-6</v>
      </c>
      <c r="O72" s="21">
        <f ca="1">K72*D72*'Static Parameters'!E$15</f>
        <v>1.6128058732731326E-7</v>
      </c>
      <c r="P72" s="63">
        <f t="shared" ca="1" si="23"/>
        <v>3.961009239066498E-6</v>
      </c>
      <c r="Q72" s="40">
        <f t="shared" ca="1" si="24"/>
        <v>0</v>
      </c>
      <c r="R72" s="40">
        <f t="shared" ca="1" si="25"/>
        <v>0</v>
      </c>
      <c r="S72" s="40">
        <f t="shared" ca="1" si="26"/>
        <v>0</v>
      </c>
      <c r="T72" s="64">
        <f ca="1">I72*'Static Parameters'!C$19/(44/12)/1000</f>
        <v>2.8069538134281692E-5</v>
      </c>
      <c r="U72" s="64">
        <f ca="1">J72*'Static Parameters'!D$19/(44/12)/1000</f>
        <v>7.2872763559516927E-7</v>
      </c>
      <c r="V72" s="64">
        <f ca="1">K72*'Static Parameters'!E$19/(44/12)/1000</f>
        <v>1.0281637442116221E-8</v>
      </c>
      <c r="W72" s="64">
        <f ca="1">MAX(0,AC71*'Model - Scarcity &amp; Growth Rates'!$J71*(1-'Model - Supply'!Z71/'Static Parameters'!C$25)+'Model - Supply'!Z71/'Static Parameters'!C$27)</f>
        <v>1.4334649586775983</v>
      </c>
      <c r="X72" s="64">
        <f ca="1">MAX(0,AD71*'Model - Scarcity &amp; Growth Rates'!$J71*(1-'Model - Supply'!AA71/'Static Parameters'!D$25)+'Model - Supply'!AA71/'Static Parameters'!D$27)</f>
        <v>2.7663304593848643</v>
      </c>
      <c r="Y72" s="64">
        <f ca="1">MAX(0,AE71*'Model - Scarcity &amp; Growth Rates'!$J71*(1-'Model - Supply'!AB71/'Static Parameters'!E$25)+'Model - Supply'!AB71/'Static Parameters'!E$27)</f>
        <v>0.57593921008677984</v>
      </c>
      <c r="Z72" s="64">
        <f ca="1">Z71+W72-Z71/'Static Parameters'!C$27</f>
        <v>44.668891160564229</v>
      </c>
      <c r="AA72" s="64">
        <f ca="1">AA71+X72-AA71/'Static Parameters'!D$27</f>
        <v>89.356140010293117</v>
      </c>
      <c r="AB72" s="64">
        <f ca="1">AB71+Y72-AB71/'Static Parameters'!E$27</f>
        <v>46.095633415145471</v>
      </c>
      <c r="AC72" s="64">
        <f ca="1">Z72-W72*'Static Parameters'!C$27/'Static Parameters'!C$26</f>
        <v>42.279782896101565</v>
      </c>
      <c r="AD72" s="64">
        <f ca="1">AA72-X72*'Static Parameters'!D$27/'Static Parameters'!D$26</f>
        <v>85.898226936062031</v>
      </c>
      <c r="AE72" s="64">
        <f ca="1">AB72-Y72*'Static Parameters'!E$27/'Static Parameters'!E$26</f>
        <v>45.478555690052495</v>
      </c>
      <c r="AF72" s="64">
        <f ca="1">AG71*'Model - Scarcity &amp; Growth Rates'!K71*(1-'Model - Supply'!AF71/'Static Parameters'!C$33)+'Model - Supply'!AF71</f>
        <v>48.585601384620226</v>
      </c>
      <c r="AG72" s="64">
        <f ca="1">AF72-AF72/'Static Parameters'!$C$34</f>
        <v>24.292800692310113</v>
      </c>
      <c r="AH72" s="64">
        <f t="shared" ca="1" si="27"/>
        <v>173.65682384360852</v>
      </c>
      <c r="AI72" s="64">
        <f t="shared" ca="1" si="28"/>
        <v>24.292800692310113</v>
      </c>
      <c r="AJ72" s="64">
        <f t="shared" ca="1" si="17"/>
        <v>2.4581492377892929E-4</v>
      </c>
      <c r="AK72" s="64">
        <f t="shared" ca="1" si="18"/>
        <v>8.3841787997079493E-6</v>
      </c>
      <c r="AL72" s="64">
        <f t="shared" ca="1" si="19"/>
        <v>1.6128058732731326E-7</v>
      </c>
      <c r="AM72" s="64">
        <f t="shared" ca="1" si="20"/>
        <v>3.961009239066498E-6</v>
      </c>
      <c r="AN72" s="64">
        <f t="shared" ca="1" si="21"/>
        <v>173.65656552221608</v>
      </c>
      <c r="AO72" s="64">
        <f t="shared" ca="1" si="22"/>
        <v>24.292800692310113</v>
      </c>
    </row>
    <row r="73" spans="1:41" x14ac:dyDescent="0.35">
      <c r="A73" s="13">
        <v>2091</v>
      </c>
      <c r="B73" s="12">
        <f ca="1">MAX(0,MIN(1,B72*(1+'Model - Scarcity &amp; Growth Rates'!$D72-'Model - Scarcity &amp; Growth Rates'!$E72)))</f>
        <v>1</v>
      </c>
      <c r="C73" s="12">
        <f ca="1">MAX(0,MIN(1,C72*(1+'Model - Scarcity &amp; Growth Rates'!$D72-'Model - Scarcity &amp; Growth Rates'!$E72)))</f>
        <v>1</v>
      </c>
      <c r="D73" s="12">
        <f ca="1">MAX(0,MIN(1,D72*(1+'Model - Scarcity &amp; Growth Rates'!$D72-'Model - Scarcity &amp; Growth Rates'!$E72)))</f>
        <v>1</v>
      </c>
      <c r="E73" s="12">
        <f ca="1">B73*('Model - Scarcity &amp; Growth Rates'!$D73*(1-'Model - Scarcity &amp; Growth Rates'!$I73)-'Model - Scarcity &amp; Growth Rates'!$I73)+(1-'Model - Supply'!B73)*('Model - Scarcity &amp; Growth Rates'!$E73*(1-'Model - Scarcity &amp; Growth Rates'!$I73)-'Model - Scarcity &amp; Growth Rates'!$I73)</f>
        <v>-0.22728565340022283</v>
      </c>
      <c r="F73" s="12">
        <f ca="1">C73*('Model - Scarcity &amp; Growth Rates'!$D73*(1-'Model - Scarcity &amp; Growth Rates'!$I73)-'Model - Scarcity &amp; Growth Rates'!$I73)+(1-'Model - Supply'!C73)*('Model - Scarcity &amp; Growth Rates'!$E73*(1-'Model - Scarcity &amp; Growth Rates'!$I73)-'Model - Scarcity &amp; Growth Rates'!$I73)</f>
        <v>-0.22728565340022283</v>
      </c>
      <c r="G73" s="12">
        <f ca="1">D73*('Model - Scarcity &amp; Growth Rates'!$D73*(1-'Model - Scarcity &amp; Growth Rates'!$I73)-'Model - Scarcity &amp; Growth Rates'!$I73)+(1-'Model - Supply'!D73)*('Model - Scarcity &amp; Growth Rates'!$E73*(1-'Model - Scarcity &amp; Growth Rates'!$I73)-'Model - Scarcity &amp; Growth Rates'!$I73)</f>
        <v>-0.22728565340022283</v>
      </c>
      <c r="H73" s="12">
        <f ca="1">'Model - Scarcity &amp; Growth Rates'!J73</f>
        <v>-9.9421749861797921E-3</v>
      </c>
      <c r="I73" s="21">
        <f ca="1">(1+E72)*I72*(1-(SUM(I$5:I72)/'Static Parameters'!C$17)^2)</f>
        <v>7.4408505111453645E-4</v>
      </c>
      <c r="J73" s="21">
        <f ca="1">(1+F72)*J72*(1-(SUM(J$5:J72)/'Static Parameters'!D$17)^2)</f>
        <v>2.5094951343227639E-5</v>
      </c>
      <c r="K73" s="21">
        <f ca="1">(1+G72)*K72*(1-(SUM(K$5:K72)/'Static Parameters'!E$17)^2)</f>
        <v>4.1435643103738754E-7</v>
      </c>
      <c r="L73" s="21">
        <f ca="1">(1+H72)*L72*(1-(SUM(L$5:L72)/'Static Parameters'!F$17)^2)</f>
        <v>2.6132216368753776E-6</v>
      </c>
      <c r="M73" s="21">
        <f ca="1">I73*B73*'Static Parameters'!C$15</f>
        <v>1.711395617563434E-4</v>
      </c>
      <c r="N73" s="21">
        <f ca="1">J73*C73*'Static Parameters'!D$15</f>
        <v>5.7718388089423569E-6</v>
      </c>
      <c r="O73" s="21">
        <f ca="1">K73*D73*'Static Parameters'!E$15</f>
        <v>9.9445543448973002E-8</v>
      </c>
      <c r="P73" s="63">
        <f t="shared" ca="1" si="23"/>
        <v>2.6132216368753776E-6</v>
      </c>
      <c r="Q73" s="40">
        <f t="shared" ca="1" si="24"/>
        <v>0</v>
      </c>
      <c r="R73" s="40">
        <f t="shared" ca="1" si="25"/>
        <v>0</v>
      </c>
      <c r="S73" s="40">
        <f t="shared" ca="1" si="26"/>
        <v>0</v>
      </c>
      <c r="T73" s="64">
        <f ca="1">I73*'Static Parameters'!C$19/(44/12)/1000</f>
        <v>1.954237920608996E-5</v>
      </c>
      <c r="U73" s="64">
        <f ca="1">J73*'Static Parameters'!D$19/(44/12)/1000</f>
        <v>5.0167089094325077E-7</v>
      </c>
      <c r="V73" s="64">
        <f ca="1">K73*'Static Parameters'!E$19/(44/12)/1000</f>
        <v>6.3396533948720307E-9</v>
      </c>
      <c r="W73" s="64">
        <f ca="1">MAX(0,AC72*'Model - Scarcity &amp; Growth Rates'!$J72*(1-'Model - Supply'!Z72/'Static Parameters'!C$25)+'Model - Supply'!Z72/'Static Parameters'!C$27)</f>
        <v>1.4374208545747402</v>
      </c>
      <c r="X73" s="64">
        <f ca="1">MAX(0,AD72*'Model - Scarcity &amp; Growth Rates'!$J72*(1-'Model - Supply'!AA72/'Static Parameters'!D$25)+'Model - Supply'!AA72/'Static Parameters'!D$27)</f>
        <v>2.7770685273223079</v>
      </c>
      <c r="Y73" s="64">
        <f ca="1">MAX(0,AE72*'Model - Scarcity &amp; Growth Rates'!$J72*(1-'Model - Supply'!AB72/'Static Parameters'!E$25)+'Model - Supply'!AB72/'Static Parameters'!E$27)</f>
        <v>0.57682792888939438</v>
      </c>
      <c r="Z73" s="64">
        <f ca="1">Z72+W73-Z72/'Static Parameters'!C$27</f>
        <v>44.319556368716398</v>
      </c>
      <c r="AA73" s="64">
        <f ca="1">AA72+X73-AA72/'Static Parameters'!D$27</f>
        <v>88.558962937203702</v>
      </c>
      <c r="AB73" s="64">
        <f ca="1">AB72+Y73-AB72/'Static Parameters'!E$27</f>
        <v>46.05785289849959</v>
      </c>
      <c r="AC73" s="64">
        <f ca="1">Z73-W73*'Static Parameters'!C$27/'Static Parameters'!C$26</f>
        <v>41.923854944425166</v>
      </c>
      <c r="AD73" s="64">
        <f ca="1">AA73-X73*'Static Parameters'!D$27/'Static Parameters'!D$26</f>
        <v>85.087627278050817</v>
      </c>
      <c r="AE73" s="64">
        <f ca="1">AB73-Y73*'Static Parameters'!E$27/'Static Parameters'!E$26</f>
        <v>45.439822974689527</v>
      </c>
      <c r="AF73" s="64">
        <f ca="1">AG72*'Model - Scarcity &amp; Growth Rates'!K72*(1-'Model - Supply'!AF72/'Static Parameters'!C$33)+'Model - Supply'!AF72</f>
        <v>48.236062990572734</v>
      </c>
      <c r="AG73" s="64">
        <f ca="1">AF73-AF73/'Static Parameters'!$C$34</f>
        <v>24.118031495286367</v>
      </c>
      <c r="AH73" s="64">
        <f t="shared" ca="1" si="27"/>
        <v>172.45148482123327</v>
      </c>
      <c r="AI73" s="64">
        <f t="shared" ca="1" si="28"/>
        <v>24.118031495286367</v>
      </c>
      <c r="AJ73" s="64">
        <f t="shared" ca="1" si="17"/>
        <v>1.711395617563434E-4</v>
      </c>
      <c r="AK73" s="64">
        <f t="shared" ca="1" si="18"/>
        <v>5.7718388089423569E-6</v>
      </c>
      <c r="AL73" s="64">
        <f t="shared" ca="1" si="19"/>
        <v>9.9445543448973002E-8</v>
      </c>
      <c r="AM73" s="64">
        <f t="shared" ca="1" si="20"/>
        <v>2.6132216368753776E-6</v>
      </c>
      <c r="AN73" s="64">
        <f t="shared" ca="1" si="21"/>
        <v>172.45130519716551</v>
      </c>
      <c r="AO73" s="64">
        <f t="shared" ca="1" si="22"/>
        <v>24.118031495286367</v>
      </c>
    </row>
    <row r="74" spans="1:41" x14ac:dyDescent="0.35">
      <c r="A74" s="13">
        <v>2092</v>
      </c>
      <c r="B74" s="12">
        <f ca="1">MAX(0,MIN(1,B73*(1+'Model - Scarcity &amp; Growth Rates'!$D73-'Model - Scarcity &amp; Growth Rates'!$E73)))</f>
        <v>1</v>
      </c>
      <c r="C74" s="12">
        <f ca="1">MAX(0,MIN(1,C73*(1+'Model - Scarcity &amp; Growth Rates'!$D73-'Model - Scarcity &amp; Growth Rates'!$E73)))</f>
        <v>1</v>
      </c>
      <c r="D74" s="12">
        <f ca="1">MAX(0,MIN(1,D73*(1+'Model - Scarcity &amp; Growth Rates'!$D73-'Model - Scarcity &amp; Growth Rates'!$E73)))</f>
        <v>1</v>
      </c>
      <c r="E74" s="12">
        <f ca="1">B74*('Model - Scarcity &amp; Growth Rates'!$D74*(1-'Model - Scarcity &amp; Growth Rates'!$I74)-'Model - Scarcity &amp; Growth Rates'!$I74)+(1-'Model - Supply'!B74)*('Model - Scarcity &amp; Growth Rates'!$E74*(1-'Model - Scarcity &amp; Growth Rates'!$I74)-'Model - Scarcity &amp; Growth Rates'!$I74)</f>
        <v>-0.22742247705039792</v>
      </c>
      <c r="F74" s="12">
        <f ca="1">C74*('Model - Scarcity &amp; Growth Rates'!$D74*(1-'Model - Scarcity &amp; Growth Rates'!$I74)-'Model - Scarcity &amp; Growth Rates'!$I74)+(1-'Model - Supply'!C74)*('Model - Scarcity &amp; Growth Rates'!$E74*(1-'Model - Scarcity &amp; Growth Rates'!$I74)-'Model - Scarcity &amp; Growth Rates'!$I74)</f>
        <v>-0.22742247705039792</v>
      </c>
      <c r="G74" s="12">
        <f ca="1">D74*('Model - Scarcity &amp; Growth Rates'!$D74*(1-'Model - Scarcity &amp; Growth Rates'!$I74)-'Model - Scarcity &amp; Growth Rates'!$I74)+(1-'Model - Supply'!D74)*('Model - Scarcity &amp; Growth Rates'!$E74*(1-'Model - Scarcity &amp; Growth Rates'!$I74)-'Model - Scarcity &amp; Growth Rates'!$I74)</f>
        <v>-0.22742247705039792</v>
      </c>
      <c r="H74" s="12">
        <f ca="1">'Model - Scarcity &amp; Growth Rates'!J74</f>
        <v>-9.1817167805831584E-3</v>
      </c>
      <c r="I74" s="21">
        <f ca="1">(1+E73)*I73*(1-(SUM(I$5:I73)/'Static Parameters'!C$17)^2)</f>
        <v>5.1790109420285849E-4</v>
      </c>
      <c r="J74" s="21">
        <f ca="1">(1+F73)*J73*(1-(SUM(J$5:J73)/'Static Parameters'!D$17)^2)</f>
        <v>1.7271183885761853E-5</v>
      </c>
      <c r="K74" s="21">
        <f ca="1">(1+G73)*K73*(1-(SUM(K$5:K73)/'Static Parameters'!E$17)^2)</f>
        <v>2.5542264700778186E-7</v>
      </c>
      <c r="L74" s="21">
        <f ca="1">(1+H73)*L73*(1-(SUM(L$5:L73)/'Static Parameters'!F$17)^2)</f>
        <v>1.7252506149203695E-6</v>
      </c>
      <c r="M74" s="21">
        <f ca="1">I74*B74*'Static Parameters'!C$15</f>
        <v>1.1911725166665746E-4</v>
      </c>
      <c r="N74" s="21">
        <f ca="1">J74*C74*'Static Parameters'!D$15</f>
        <v>3.9723722937252267E-6</v>
      </c>
      <c r="O74" s="21">
        <f ca="1">K74*D74*'Static Parameters'!E$15</f>
        <v>6.1301435281867647E-8</v>
      </c>
      <c r="P74" s="63">
        <f t="shared" ca="1" si="23"/>
        <v>1.7252506149203695E-6</v>
      </c>
      <c r="Q74" s="40">
        <f t="shared" ca="1" si="24"/>
        <v>0</v>
      </c>
      <c r="R74" s="40">
        <f t="shared" ca="1" si="25"/>
        <v>0</v>
      </c>
      <c r="S74" s="40">
        <f t="shared" ca="1" si="26"/>
        <v>0</v>
      </c>
      <c r="T74" s="64">
        <f ca="1">I74*'Static Parameters'!C$19/(44/12)/1000</f>
        <v>1.3601966010473256E-5</v>
      </c>
      <c r="U74" s="64">
        <f ca="1">J74*'Static Parameters'!D$19/(44/12)/1000</f>
        <v>3.4526666695263926E-7</v>
      </c>
      <c r="V74" s="64">
        <f ca="1">K74*'Static Parameters'!E$19/(44/12)/1000</f>
        <v>3.9079664992190623E-9</v>
      </c>
      <c r="W74" s="64">
        <f ca="1">MAX(0,AC73*'Model - Scarcity &amp; Growth Rates'!$J73*(1-'Model - Supply'!Z73/'Static Parameters'!C$25)+'Model - Supply'!Z73/'Static Parameters'!C$27)</f>
        <v>1.4483330775493601</v>
      </c>
      <c r="X74" s="64">
        <f ca="1">MAX(0,AD73*'Model - Scarcity &amp; Growth Rates'!$J73*(1-'Model - Supply'!AA73/'Static Parameters'!D$25)+'Model - Supply'!AA73/'Static Parameters'!D$27)</f>
        <v>2.8034267137823656</v>
      </c>
      <c r="Y74" s="64">
        <f ca="1">MAX(0,AE73*'Model - Scarcity &amp; Growth Rates'!$J73*(1-'Model - Supply'!AB73/'Static Parameters'!E$25)+'Model - Supply'!AB73/'Static Parameters'!E$27)</f>
        <v>0.57848577646079646</v>
      </c>
      <c r="Z74" s="64">
        <f ca="1">Z73+W74-Z73/'Static Parameters'!C$27</f>
        <v>43.9951071915171</v>
      </c>
      <c r="AA74" s="64">
        <f ca="1">AA73+X74-AA73/'Static Parameters'!D$27</f>
        <v>87.82003113349792</v>
      </c>
      <c r="AB74" s="64">
        <f ca="1">AB73+Y74-AB73/'Static Parameters'!E$27</f>
        <v>46.022233969647054</v>
      </c>
      <c r="AC74" s="64">
        <f ca="1">Z74-W74*'Static Parameters'!C$27/'Static Parameters'!C$26</f>
        <v>41.581218728934836</v>
      </c>
      <c r="AD74" s="64">
        <f ca="1">AA74-X74*'Static Parameters'!D$27/'Static Parameters'!D$26</f>
        <v>84.315747741269959</v>
      </c>
      <c r="AE74" s="64">
        <f ca="1">AB74-Y74*'Static Parameters'!E$27/'Static Parameters'!E$26</f>
        <v>45.402427780581917</v>
      </c>
      <c r="AF74" s="64">
        <f ca="1">AG73*'Model - Scarcity &amp; Growth Rates'!K73*(1-'Model - Supply'!AF73/'Static Parameters'!C$33)+'Model - Supply'!AF73</f>
        <v>47.905841963288971</v>
      </c>
      <c r="AG74" s="64">
        <f ca="1">AF74-AF74/'Static Parameters'!$C$34</f>
        <v>23.952920981644485</v>
      </c>
      <c r="AH74" s="64">
        <f t="shared" ca="1" si="27"/>
        <v>171.29951912696271</v>
      </c>
      <c r="AI74" s="64">
        <f t="shared" ca="1" si="28"/>
        <v>23.952920981644485</v>
      </c>
      <c r="AJ74" s="64">
        <f t="shared" ca="1" si="17"/>
        <v>1.1911725166665746E-4</v>
      </c>
      <c r="AK74" s="64">
        <f t="shared" ca="1" si="18"/>
        <v>3.9723722937252267E-6</v>
      </c>
      <c r="AL74" s="64">
        <f t="shared" ca="1" si="19"/>
        <v>6.1301435281867647E-8</v>
      </c>
      <c r="AM74" s="64">
        <f t="shared" ca="1" si="20"/>
        <v>1.7252506149203695E-6</v>
      </c>
      <c r="AN74" s="64">
        <f t="shared" ca="1" si="21"/>
        <v>171.29939425078672</v>
      </c>
      <c r="AO74" s="64">
        <f t="shared" ca="1" si="22"/>
        <v>23.952920981644485</v>
      </c>
    </row>
    <row r="75" spans="1:41" x14ac:dyDescent="0.35">
      <c r="A75" s="13">
        <v>2093</v>
      </c>
      <c r="B75" s="12">
        <f ca="1">MAX(0,MIN(1,B74*(1+'Model - Scarcity &amp; Growth Rates'!$D74-'Model - Scarcity &amp; Growth Rates'!$E74)))</f>
        <v>1</v>
      </c>
      <c r="C75" s="12">
        <f ca="1">MAX(0,MIN(1,C74*(1+'Model - Scarcity &amp; Growth Rates'!$D74-'Model - Scarcity &amp; Growth Rates'!$E74)))</f>
        <v>1</v>
      </c>
      <c r="D75" s="12">
        <f ca="1">MAX(0,MIN(1,D74*(1+'Model - Scarcity &amp; Growth Rates'!$D74-'Model - Scarcity &amp; Growth Rates'!$E74)))</f>
        <v>1</v>
      </c>
      <c r="E75" s="12">
        <f ca="1">B75*('Model - Scarcity &amp; Growth Rates'!$D75*(1-'Model - Scarcity &amp; Growth Rates'!$I75)-'Model - Scarcity &amp; Growth Rates'!$I75)+(1-'Model - Supply'!B75)*('Model - Scarcity &amp; Growth Rates'!$E75*(1-'Model - Scarcity &amp; Growth Rates'!$I75)-'Model - Scarcity &amp; Growth Rates'!$I75)</f>
        <v>-0.22762002656269117</v>
      </c>
      <c r="F75" s="12">
        <f ca="1">C75*('Model - Scarcity &amp; Growth Rates'!$D75*(1-'Model - Scarcity &amp; Growth Rates'!$I75)-'Model - Scarcity &amp; Growth Rates'!$I75)+(1-'Model - Supply'!C75)*('Model - Scarcity &amp; Growth Rates'!$E75*(1-'Model - Scarcity &amp; Growth Rates'!$I75)-'Model - Scarcity &amp; Growth Rates'!$I75)</f>
        <v>-0.22762002656269117</v>
      </c>
      <c r="G75" s="12">
        <f ca="1">D75*('Model - Scarcity &amp; Growth Rates'!$D75*(1-'Model - Scarcity &amp; Growth Rates'!$I75)-'Model - Scarcity &amp; Growth Rates'!$I75)+(1-'Model - Supply'!D75)*('Model - Scarcity &amp; Growth Rates'!$E75*(1-'Model - Scarcity &amp; Growth Rates'!$I75)-'Model - Scarcity &amp; Growth Rates'!$I75)</f>
        <v>-0.22762002656269117</v>
      </c>
      <c r="H75" s="12">
        <f ca="1">'Model - Scarcity &amp; Growth Rates'!J75</f>
        <v>-8.5272210334448283E-3</v>
      </c>
      <c r="I75" s="21">
        <f ca="1">(1+E74)*I74*(1-(SUM(I$5:I74)/'Static Parameters'!C$17)^2)</f>
        <v>3.6040778596120284E-4</v>
      </c>
      <c r="J75" s="21">
        <f ca="1">(1+F74)*J74*(1-(SUM(J$5:J74)/'Static Parameters'!D$17)^2)</f>
        <v>1.1884500981247457E-5</v>
      </c>
      <c r="K75" s="21">
        <f ca="1">(1+G74)*K74*(1-(SUM(K$5:K74)/'Static Parameters'!E$17)^2)</f>
        <v>1.5742286498818255E-7</v>
      </c>
      <c r="L75" s="21">
        <f ca="1">(1+H74)*L74*(1-(SUM(L$5:L74)/'Static Parameters'!F$17)^2)</f>
        <v>1.1398864379707535E-6</v>
      </c>
      <c r="M75" s="21">
        <f ca="1">I75*B75*'Static Parameters'!C$15</f>
        <v>8.2893790771076652E-5</v>
      </c>
      <c r="N75" s="21">
        <f ca="1">J75*C75*'Static Parameters'!D$15</f>
        <v>2.7334352256869151E-6</v>
      </c>
      <c r="O75" s="21">
        <f ca="1">K75*D75*'Static Parameters'!E$15</f>
        <v>3.7781487597163812E-8</v>
      </c>
      <c r="P75" s="63">
        <f t="shared" ca="1" si="23"/>
        <v>1.1398864379707535E-6</v>
      </c>
      <c r="Q75" s="40">
        <f t="shared" ca="1" si="24"/>
        <v>0</v>
      </c>
      <c r="R75" s="40">
        <f t="shared" ca="1" si="25"/>
        <v>0</v>
      </c>
      <c r="S75" s="40">
        <f t="shared" ca="1" si="26"/>
        <v>0</v>
      </c>
      <c r="T75" s="64">
        <f ca="1">I75*'Static Parameters'!C$19/(44/12)/1000</f>
        <v>9.465619033108319E-6</v>
      </c>
      <c r="U75" s="64">
        <f ca="1">J75*'Static Parameters'!D$19/(44/12)/1000</f>
        <v>2.3758197870693779E-7</v>
      </c>
      <c r="V75" s="64">
        <f ca="1">K75*'Static Parameters'!E$19/(44/12)/1000</f>
        <v>2.408569834319193E-9</v>
      </c>
      <c r="W75" s="64">
        <f ca="1">MAX(0,AC74*'Model - Scarcity &amp; Growth Rates'!$J74*(1-'Model - Supply'!Z74/'Static Parameters'!C$25)+'Model - Supply'!Z74/'Static Parameters'!C$27)</f>
        <v>1.4620011080747282</v>
      </c>
      <c r="X75" s="64">
        <f ca="1">MAX(0,AD74*'Model - Scarcity &amp; Growth Rates'!$J74*(1-'Model - Supply'!AA74/'Static Parameters'!D$25)+'Model - Supply'!AA74/'Static Parameters'!D$27)</f>
        <v>2.8357622815865557</v>
      </c>
      <c r="Y75" s="64">
        <f ca="1">MAX(0,AE74*'Model - Scarcity &amp; Growth Rates'!$J74*(1-'Model - Supply'!AB74/'Static Parameters'!E$25)+'Model - Supply'!AB74/'Static Parameters'!E$27)</f>
        <v>0.5804653821109047</v>
      </c>
      <c r="Z75" s="64">
        <f ca="1">Z74+W75-Z74/'Static Parameters'!C$27</f>
        <v>43.697304011931145</v>
      </c>
      <c r="AA75" s="64">
        <f ca="1">AA74+X75-AA74/'Static Parameters'!D$27</f>
        <v>87.142992169744559</v>
      </c>
      <c r="AB75" s="64">
        <f ca="1">AB74+Y75-AB74/'Static Parameters'!E$27</f>
        <v>45.989069565495996</v>
      </c>
      <c r="AC75" s="64">
        <f ca="1">Z75-W75*'Static Parameters'!C$27/'Static Parameters'!C$26</f>
        <v>41.260635498473263</v>
      </c>
      <c r="AD75" s="64">
        <f ca="1">AA75-X75*'Static Parameters'!D$27/'Static Parameters'!D$26</f>
        <v>83.59828931776137</v>
      </c>
      <c r="AE75" s="64">
        <f ca="1">AB75-Y75*'Static Parameters'!E$27/'Static Parameters'!E$26</f>
        <v>45.367142370377167</v>
      </c>
      <c r="AF75" s="64">
        <f ca="1">AG74*'Model - Scarcity &amp; Growth Rates'!K74*(1-'Model - Supply'!AF74/'Static Parameters'!C$33)+'Model - Supply'!AF74</f>
        <v>47.594227868465225</v>
      </c>
      <c r="AG75" s="64">
        <f ca="1">AF75-AF75/'Static Parameters'!$C$34</f>
        <v>23.797113934232613</v>
      </c>
      <c r="AH75" s="64">
        <f t="shared" ca="1" si="27"/>
        <v>170.22615399150573</v>
      </c>
      <c r="AI75" s="64">
        <f t="shared" ca="1" si="28"/>
        <v>23.797113934232613</v>
      </c>
      <c r="AJ75" s="64">
        <f t="shared" ca="1" si="17"/>
        <v>8.2893790771076652E-5</v>
      </c>
      <c r="AK75" s="64">
        <f t="shared" ca="1" si="18"/>
        <v>2.7334352256869151E-6</v>
      </c>
      <c r="AL75" s="64">
        <f t="shared" ca="1" si="19"/>
        <v>3.7781487597163812E-8</v>
      </c>
      <c r="AM75" s="64">
        <f t="shared" ca="1" si="20"/>
        <v>1.1398864379707535E-6</v>
      </c>
      <c r="AN75" s="64">
        <f t="shared" ca="1" si="21"/>
        <v>170.2260671866118</v>
      </c>
      <c r="AO75" s="64">
        <f t="shared" ca="1" si="22"/>
        <v>23.797113934232613</v>
      </c>
    </row>
    <row r="76" spans="1:41" x14ac:dyDescent="0.35">
      <c r="A76" s="13">
        <v>2094</v>
      </c>
      <c r="B76" s="12">
        <f ca="1">MAX(0,MIN(1,B75*(1+'Model - Scarcity &amp; Growth Rates'!$D75-'Model - Scarcity &amp; Growth Rates'!$E75)))</f>
        <v>1</v>
      </c>
      <c r="C76" s="12">
        <f ca="1">MAX(0,MIN(1,C75*(1+'Model - Scarcity &amp; Growth Rates'!$D75-'Model - Scarcity &amp; Growth Rates'!$E75)))</f>
        <v>1</v>
      </c>
      <c r="D76" s="12">
        <f ca="1">MAX(0,MIN(1,D75*(1+'Model - Scarcity &amp; Growth Rates'!$D75-'Model - Scarcity &amp; Growth Rates'!$E75)))</f>
        <v>1</v>
      </c>
      <c r="E76" s="12">
        <f ca="1">B76*('Model - Scarcity &amp; Growth Rates'!$D76*(1-'Model - Scarcity &amp; Growth Rates'!$I76)-'Model - Scarcity &amp; Growth Rates'!$I76)+(1-'Model - Supply'!B76)*('Model - Scarcity &amp; Growth Rates'!$E76*(1-'Model - Scarcity &amp; Growth Rates'!$I76)-'Model - Scarcity &amp; Growth Rates'!$I76)</f>
        <v>-0.22795610253108001</v>
      </c>
      <c r="F76" s="12">
        <f ca="1">C76*('Model - Scarcity &amp; Growth Rates'!$D76*(1-'Model - Scarcity &amp; Growth Rates'!$I76)-'Model - Scarcity &amp; Growth Rates'!$I76)+(1-'Model - Supply'!C76)*('Model - Scarcity &amp; Growth Rates'!$E76*(1-'Model - Scarcity &amp; Growth Rates'!$I76)-'Model - Scarcity &amp; Growth Rates'!$I76)</f>
        <v>-0.22795610253108001</v>
      </c>
      <c r="G76" s="12">
        <f ca="1">D76*('Model - Scarcity &amp; Growth Rates'!$D76*(1-'Model - Scarcity &amp; Growth Rates'!$I76)-'Model - Scarcity &amp; Growth Rates'!$I76)+(1-'Model - Supply'!D76)*('Model - Scarcity &amp; Growth Rates'!$E76*(1-'Model - Scarcity &amp; Growth Rates'!$I76)-'Model - Scarcity &amp; Growth Rates'!$I76)</f>
        <v>-0.22795610253108001</v>
      </c>
      <c r="H76" s="12">
        <f ca="1">'Model - Scarcity &amp; Growth Rates'!J76</f>
        <v>-8.0776290104292905E-3</v>
      </c>
      <c r="I76" s="21">
        <f ca="1">(1+E75)*I75*(1-(SUM(I$5:I75)/'Static Parameters'!C$17)^2)</f>
        <v>2.5074393210735673E-4</v>
      </c>
      <c r="J76" s="21">
        <f ca="1">(1+F75)*J75*(1-(SUM(J$5:J75)/'Static Parameters'!D$17)^2)</f>
        <v>8.1757711974872101E-6</v>
      </c>
      <c r="K76" s="21">
        <f ca="1">(1+G75)*K75*(1-(SUM(K$5:K75)/'Static Parameters'!E$17)^2)</f>
        <v>9.6998531327386413E-8</v>
      </c>
      <c r="L76" s="21">
        <f ca="1">(1+H75)*L75*(1-(SUM(L$5:L75)/'Static Parameters'!F$17)^2)</f>
        <v>7.5362928262027471E-7</v>
      </c>
      <c r="M76" s="21">
        <f ca="1">I76*B76*'Static Parameters'!C$15</f>
        <v>5.7671104384692049E-5</v>
      </c>
      <c r="N76" s="21">
        <f ca="1">J76*C76*'Static Parameters'!D$15</f>
        <v>1.8804273754220584E-6</v>
      </c>
      <c r="O76" s="21">
        <f ca="1">K76*D76*'Static Parameters'!E$15</f>
        <v>2.3279647518572738E-8</v>
      </c>
      <c r="P76" s="63">
        <f t="shared" ca="1" si="23"/>
        <v>7.5362928262027471E-7</v>
      </c>
      <c r="Q76" s="40">
        <f t="shared" ca="1" si="24"/>
        <v>0</v>
      </c>
      <c r="R76" s="40">
        <f t="shared" ca="1" si="25"/>
        <v>0</v>
      </c>
      <c r="S76" s="40">
        <f t="shared" ca="1" si="26"/>
        <v>0</v>
      </c>
      <c r="T76" s="64">
        <f ca="1">I76*'Static Parameters'!C$19/(44/12)/1000</f>
        <v>6.5854474532559418E-6</v>
      </c>
      <c r="U76" s="64">
        <f ca="1">J76*'Static Parameters'!D$19/(44/12)/1000</f>
        <v>1.6344109875703977E-7</v>
      </c>
      <c r="V76" s="64">
        <f ca="1">K76*'Static Parameters'!E$19/(44/12)/1000</f>
        <v>1.4840775293090123E-9</v>
      </c>
      <c r="W76" s="64">
        <f ca="1">MAX(0,AC75*'Model - Scarcity &amp; Growth Rates'!$J75*(1-'Model - Supply'!Z75/'Static Parameters'!C$25)+'Model - Supply'!Z75/'Static Parameters'!C$27)</f>
        <v>1.4729255839529598</v>
      </c>
      <c r="X76" s="64">
        <f ca="1">MAX(0,AD75*'Model - Scarcity &amp; Growth Rates'!$J75*(1-'Model - Supply'!AA75/'Static Parameters'!D$25)+'Model - Supply'!AA75/'Static Parameters'!D$27)</f>
        <v>2.8616026650076183</v>
      </c>
      <c r="Y76" s="64">
        <f ca="1">MAX(0,AE75*'Model - Scarcity &amp; Growth Rates'!$J75*(1-'Model - Supply'!AB75/'Static Parameters'!E$25)+'Model - Supply'!AB75/'Static Parameters'!E$27)</f>
        <v>0.58215457214773769</v>
      </c>
      <c r="Z76" s="64">
        <f ca="1">Z75+W76-Z75/'Static Parameters'!C$27</f>
        <v>43.42233743540686</v>
      </c>
      <c r="AA76" s="64">
        <f ca="1">AA75+X76-AA75/'Static Parameters'!D$27</f>
        <v>86.518875147962405</v>
      </c>
      <c r="AB76" s="64">
        <f ca="1">AB75+Y76-AB75/'Static Parameters'!E$27</f>
        <v>45.958036543437117</v>
      </c>
      <c r="AC76" s="64">
        <f ca="1">Z76-W76*'Static Parameters'!C$27/'Static Parameters'!C$26</f>
        <v>40.967461462151924</v>
      </c>
      <c r="AD76" s="64">
        <f ca="1">AA76-X76*'Static Parameters'!D$27/'Static Parameters'!D$26</f>
        <v>82.941871816702886</v>
      </c>
      <c r="AE76" s="64">
        <f ca="1">AB76-Y76*'Static Parameters'!E$27/'Static Parameters'!E$26</f>
        <v>45.334299501850253</v>
      </c>
      <c r="AF76" s="64">
        <f ca="1">AG75*'Model - Scarcity &amp; Growth Rates'!K75*(1-'Model - Supply'!AF75/'Static Parameters'!C$33)+'Model - Supply'!AF75</f>
        <v>47.300396001326703</v>
      </c>
      <c r="AG76" s="64">
        <f ca="1">AF76-AF76/'Static Parameters'!$C$34</f>
        <v>23.650198000663352</v>
      </c>
      <c r="AH76" s="64">
        <f t="shared" ca="1" si="27"/>
        <v>169.24369310914574</v>
      </c>
      <c r="AI76" s="64">
        <f t="shared" ca="1" si="28"/>
        <v>23.650198000663352</v>
      </c>
      <c r="AJ76" s="64">
        <f t="shared" ca="1" si="17"/>
        <v>5.7671104384692049E-5</v>
      </c>
      <c r="AK76" s="64">
        <f t="shared" ca="1" si="18"/>
        <v>1.8804273754220584E-6</v>
      </c>
      <c r="AL76" s="64">
        <f t="shared" ca="1" si="19"/>
        <v>2.3279647518572738E-8</v>
      </c>
      <c r="AM76" s="64">
        <f t="shared" ca="1" si="20"/>
        <v>7.5362928262027471E-7</v>
      </c>
      <c r="AN76" s="64">
        <f t="shared" ca="1" si="21"/>
        <v>169.24363278070507</v>
      </c>
      <c r="AO76" s="64">
        <f t="shared" ca="1" si="22"/>
        <v>23.650198000663352</v>
      </c>
    </row>
    <row r="77" spans="1:41" x14ac:dyDescent="0.35">
      <c r="A77" s="13">
        <v>2095</v>
      </c>
      <c r="B77" s="12">
        <f ca="1">MAX(0,MIN(1,B76*(1+'Model - Scarcity &amp; Growth Rates'!$D76-'Model - Scarcity &amp; Growth Rates'!$E76)))</f>
        <v>1</v>
      </c>
      <c r="C77" s="12">
        <f ca="1">MAX(0,MIN(1,C76*(1+'Model - Scarcity &amp; Growth Rates'!$D76-'Model - Scarcity &amp; Growth Rates'!$E76)))</f>
        <v>1</v>
      </c>
      <c r="D77" s="12">
        <f ca="1">MAX(0,MIN(1,D76*(1+'Model - Scarcity &amp; Growth Rates'!$D76-'Model - Scarcity &amp; Growth Rates'!$E76)))</f>
        <v>1</v>
      </c>
      <c r="E77" s="12">
        <f ca="1">B77*('Model - Scarcity &amp; Growth Rates'!$D77*(1-'Model - Scarcity &amp; Growth Rates'!$I77)-'Model - Scarcity &amp; Growth Rates'!$I77)+(1-'Model - Supply'!B77)*('Model - Scarcity &amp; Growth Rates'!$E77*(1-'Model - Scarcity &amp; Growth Rates'!$I77)-'Model - Scarcity &amp; Growth Rates'!$I77)</f>
        <v>-0.22840927577764752</v>
      </c>
      <c r="F77" s="12">
        <f ca="1">C77*('Model - Scarcity &amp; Growth Rates'!$D77*(1-'Model - Scarcity &amp; Growth Rates'!$I77)-'Model - Scarcity &amp; Growth Rates'!$I77)+(1-'Model - Supply'!C77)*('Model - Scarcity &amp; Growth Rates'!$E77*(1-'Model - Scarcity &amp; Growth Rates'!$I77)-'Model - Scarcity &amp; Growth Rates'!$I77)</f>
        <v>-0.22840927577764752</v>
      </c>
      <c r="G77" s="12">
        <f ca="1">D77*('Model - Scarcity &amp; Growth Rates'!$D77*(1-'Model - Scarcity &amp; Growth Rates'!$I77)-'Model - Scarcity &amp; Growth Rates'!$I77)+(1-'Model - Supply'!D77)*('Model - Scarcity &amp; Growth Rates'!$E77*(1-'Model - Scarcity &amp; Growth Rates'!$I77)-'Model - Scarcity &amp; Growth Rates'!$I77)</f>
        <v>-0.22840927577764752</v>
      </c>
      <c r="H77" s="12">
        <f ca="1">'Model - Scarcity &amp; Growth Rates'!J77</f>
        <v>-7.8046848734929048E-3</v>
      </c>
      <c r="I77" s="21">
        <f ca="1">(1+E76)*I76*(1-(SUM(I$5:I76)/'Static Parameters'!C$17)^2)</f>
        <v>1.7437237643566473E-4</v>
      </c>
      <c r="J77" s="21">
        <f ca="1">(1+F76)*J76*(1-(SUM(J$5:J76)/'Static Parameters'!D$17)^2)</f>
        <v>5.6219567048605357E-6</v>
      </c>
      <c r="K77" s="21">
        <f ca="1">(1+G76)*K76*(1-(SUM(K$5:K76)/'Static Parameters'!E$17)^2)</f>
        <v>5.9741138522379131E-8</v>
      </c>
      <c r="L77" s="21">
        <f ca="1">(1+H76)*L76*(1-(SUM(L$5:L76)/'Static Parameters'!F$17)^2)</f>
        <v>4.9848355172093676E-7</v>
      </c>
      <c r="M77" s="21">
        <f ca="1">I77*B77*'Static Parameters'!C$15</f>
        <v>4.0105646580202888E-5</v>
      </c>
      <c r="N77" s="21">
        <f ca="1">J77*C77*'Static Parameters'!D$15</f>
        <v>1.2930500421179233E-6</v>
      </c>
      <c r="O77" s="21">
        <f ca="1">K77*D77*'Static Parameters'!E$15</f>
        <v>1.4337873245370991E-8</v>
      </c>
      <c r="P77" s="63">
        <f t="shared" ca="1" si="23"/>
        <v>4.9848355172093676E-7</v>
      </c>
      <c r="Q77" s="40">
        <f t="shared" ca="1" si="24"/>
        <v>0</v>
      </c>
      <c r="R77" s="40">
        <f t="shared" ca="1" si="25"/>
        <v>0</v>
      </c>
      <c r="S77" s="40">
        <f t="shared" ca="1" si="26"/>
        <v>0</v>
      </c>
      <c r="T77" s="64">
        <f ca="1">I77*'Static Parameters'!C$19/(44/12)/1000</f>
        <v>4.5796526865694137E-6</v>
      </c>
      <c r="U77" s="64">
        <f ca="1">J77*'Static Parameters'!D$19/(44/12)/1000</f>
        <v>1.123880253998938E-7</v>
      </c>
      <c r="V77" s="64">
        <f ca="1">K77*'Static Parameters'!E$19/(44/12)/1000</f>
        <v>9.1403941939240087E-10</v>
      </c>
      <c r="W77" s="64">
        <f ca="1">MAX(0,AC76*'Model - Scarcity &amp; Growth Rates'!$J76*(1-'Model - Supply'!Z76/'Static Parameters'!C$25)+'Model - Supply'!Z76/'Static Parameters'!C$27)</f>
        <v>1.4778201320178717</v>
      </c>
      <c r="X77" s="64">
        <f ca="1">MAX(0,AD76*'Model - Scarcity &amp; Growth Rates'!$J76*(1-'Model - Supply'!AA76/'Static Parameters'!D$25)+'Model - Supply'!AA76/'Static Parameters'!D$27)</f>
        <v>2.873589004958593</v>
      </c>
      <c r="Y77" s="64">
        <f ca="1">MAX(0,AE76*'Model - Scarcity &amp; Growth Rates'!$J76*(1-'Model - Supply'!AB76/'Static Parameters'!E$25)+'Model - Supply'!AB76/'Static Parameters'!E$27)</f>
        <v>0.58317099332439337</v>
      </c>
      <c r="Z77" s="64">
        <f ca="1">Z76+W77-Z76/'Static Parameters'!C$27</f>
        <v>43.163264070008452</v>
      </c>
      <c r="AA77" s="64">
        <f ca="1">AA76+X77-AA76/'Static Parameters'!D$27</f>
        <v>85.931709147002493</v>
      </c>
      <c r="AB77" s="64">
        <f ca="1">AB76+Y77-AB76/'Static Parameters'!E$27</f>
        <v>45.928433716182347</v>
      </c>
      <c r="AC77" s="64">
        <f ca="1">Z77-W77*'Static Parameters'!C$27/'Static Parameters'!C$26</f>
        <v>40.700230516645334</v>
      </c>
      <c r="AD77" s="64">
        <f ca="1">AA77-X77*'Static Parameters'!D$27/'Static Parameters'!D$26</f>
        <v>82.339722890804254</v>
      </c>
      <c r="AE77" s="64">
        <f ca="1">AB77-Y77*'Static Parameters'!E$27/'Static Parameters'!E$26</f>
        <v>45.303607651906212</v>
      </c>
      <c r="AF77" s="64">
        <f ca="1">AG76*'Model - Scarcity &amp; Growth Rates'!K76*(1-'Model - Supply'!AF76/'Static Parameters'!C$33)+'Model - Supply'!AF76</f>
        <v>47.02341455778673</v>
      </c>
      <c r="AG77" s="64">
        <f ca="1">AF77-AF77/'Static Parameters'!$C$34</f>
        <v>23.511707278893365</v>
      </c>
      <c r="AH77" s="64">
        <f t="shared" ca="1" si="27"/>
        <v>168.34360297087386</v>
      </c>
      <c r="AI77" s="64">
        <f t="shared" ca="1" si="28"/>
        <v>23.511707278893365</v>
      </c>
      <c r="AJ77" s="64">
        <f t="shared" ca="1" si="17"/>
        <v>4.0105646580202888E-5</v>
      </c>
      <c r="AK77" s="64">
        <f t="shared" ca="1" si="18"/>
        <v>1.2930500421179233E-6</v>
      </c>
      <c r="AL77" s="64">
        <f t="shared" ca="1" si="19"/>
        <v>1.4337873245370991E-8</v>
      </c>
      <c r="AM77" s="64">
        <f t="shared" ca="1" si="20"/>
        <v>4.9848355172093676E-7</v>
      </c>
      <c r="AN77" s="64">
        <f t="shared" ca="1" si="21"/>
        <v>168.34356105935581</v>
      </c>
      <c r="AO77" s="64">
        <f t="shared" ca="1" si="22"/>
        <v>23.511707278893365</v>
      </c>
    </row>
    <row r="78" spans="1:41" x14ac:dyDescent="0.35">
      <c r="A78" s="13">
        <v>2096</v>
      </c>
      <c r="B78" s="12">
        <f ca="1">MAX(0,MIN(1,B77*(1+'Model - Scarcity &amp; Growth Rates'!$D77-'Model - Scarcity &amp; Growth Rates'!$E77)))</f>
        <v>1</v>
      </c>
      <c r="C78" s="12">
        <f ca="1">MAX(0,MIN(1,C77*(1+'Model - Scarcity &amp; Growth Rates'!$D77-'Model - Scarcity &amp; Growth Rates'!$E77)))</f>
        <v>1</v>
      </c>
      <c r="D78" s="12">
        <f ca="1">MAX(0,MIN(1,D77*(1+'Model - Scarcity &amp; Growth Rates'!$D77-'Model - Scarcity &amp; Growth Rates'!$E77)))</f>
        <v>1</v>
      </c>
      <c r="E78" s="12">
        <f ca="1">B78*('Model - Scarcity &amp; Growth Rates'!$D78*(1-'Model - Scarcity &amp; Growth Rates'!$I78)-'Model - Scarcity &amp; Growth Rates'!$I78)+(1-'Model - Supply'!B78)*('Model - Scarcity &amp; Growth Rates'!$E78*(1-'Model - Scarcity &amp; Growth Rates'!$I78)-'Model - Scarcity &amp; Growth Rates'!$I78)</f>
        <v>-0.22889096767642952</v>
      </c>
      <c r="F78" s="12">
        <f ca="1">C78*('Model - Scarcity &amp; Growth Rates'!$D78*(1-'Model - Scarcity &amp; Growth Rates'!$I78)-'Model - Scarcity &amp; Growth Rates'!$I78)+(1-'Model - Supply'!C78)*('Model - Scarcity &amp; Growth Rates'!$E78*(1-'Model - Scarcity &amp; Growth Rates'!$I78)-'Model - Scarcity &amp; Growth Rates'!$I78)</f>
        <v>-0.22889096767642952</v>
      </c>
      <c r="G78" s="12">
        <f ca="1">D78*('Model - Scarcity &amp; Growth Rates'!$D78*(1-'Model - Scarcity &amp; Growth Rates'!$I78)-'Model - Scarcity &amp; Growth Rates'!$I78)+(1-'Model - Supply'!D78)*('Model - Scarcity &amp; Growth Rates'!$E78*(1-'Model - Scarcity &amp; Growth Rates'!$I78)-'Model - Scarcity &amp; Growth Rates'!$I78)</f>
        <v>-0.22889096767642952</v>
      </c>
      <c r="H78" s="12">
        <f ca="1">'Model - Scarcity &amp; Growth Rates'!J78</f>
        <v>-7.5936597229266083E-3</v>
      </c>
      <c r="I78" s="21">
        <f ca="1">(1+E77)*I77*(1-(SUM(I$5:I77)/'Static Parameters'!C$17)^2)</f>
        <v>1.2119088087632152E-4</v>
      </c>
      <c r="J78" s="21">
        <f ca="1">(1+F77)*J77*(1-(SUM(J$5:J77)/'Static Parameters'!D$17)^2)</f>
        <v>3.8635920863456666E-6</v>
      </c>
      <c r="K78" s="21">
        <f ca="1">(1+G77)*K77*(1-(SUM(K$5:K77)/'Static Parameters'!E$17)^2)</f>
        <v>3.6772811447208082E-8</v>
      </c>
      <c r="L78" s="21">
        <f ca="1">(1+H77)*L77*(1-(SUM(L$5:L77)/'Static Parameters'!F$17)^2)</f>
        <v>3.2980967162864566E-7</v>
      </c>
      <c r="M78" s="21">
        <f ca="1">I78*B78*'Static Parameters'!C$15</f>
        <v>2.7873902601553952E-5</v>
      </c>
      <c r="N78" s="21">
        <f ca="1">J78*C78*'Static Parameters'!D$15</f>
        <v>8.8862617985950333E-7</v>
      </c>
      <c r="O78" s="21">
        <f ca="1">K78*D78*'Static Parameters'!E$15</f>
        <v>8.82547474732994E-9</v>
      </c>
      <c r="P78" s="63">
        <f t="shared" ca="1" si="23"/>
        <v>3.2980967162864566E-7</v>
      </c>
      <c r="Q78" s="40">
        <f t="shared" ca="1" si="24"/>
        <v>0</v>
      </c>
      <c r="R78" s="40">
        <f t="shared" ca="1" si="25"/>
        <v>0</v>
      </c>
      <c r="S78" s="40">
        <f t="shared" ca="1" si="26"/>
        <v>0</v>
      </c>
      <c r="T78" s="64">
        <f ca="1">I78*'Static Parameters'!C$19/(44/12)/1000</f>
        <v>3.1829132259244802E-6</v>
      </c>
      <c r="U78" s="64">
        <f ca="1">J78*'Static Parameters'!D$19/(44/12)/1000</f>
        <v>7.7236718162492023E-8</v>
      </c>
      <c r="V78" s="64">
        <f ca="1">K78*'Static Parameters'!E$19/(44/12)/1000</f>
        <v>5.6262401514228371E-10</v>
      </c>
      <c r="W78" s="64">
        <f ca="1">MAX(0,AC77*'Model - Scarcity &amp; Growth Rates'!$J77*(1-'Model - Supply'!Z77/'Static Parameters'!C$25)+'Model - Supply'!Z77/'Static Parameters'!C$27)</f>
        <v>1.4774326773118305</v>
      </c>
      <c r="X78" s="64">
        <f ca="1">MAX(0,AD77*'Model - Scarcity &amp; Growth Rates'!$J77*(1-'Model - Supply'!AA77/'Static Parameters'!D$25)+'Model - Supply'!AA77/'Static Parameters'!D$27)</f>
        <v>2.8735224541244819</v>
      </c>
      <c r="Y78" s="64">
        <f ca="1">MAX(0,AE77*'Model - Scarcity &amp; Growth Rates'!$J77*(1-'Model - Supply'!AB77/'Static Parameters'!E$25)+'Model - Supply'!AB77/'Static Parameters'!E$27)</f>
        <v>0.58358659702883664</v>
      </c>
      <c r="Z78" s="64">
        <f ca="1">Z77+W78-Z77/'Static Parameters'!C$27</f>
        <v>42.914166184519949</v>
      </c>
      <c r="AA78" s="64">
        <f ca="1">AA77+X78-AA77/'Static Parameters'!D$27</f>
        <v>85.367963235246876</v>
      </c>
      <c r="AB78" s="64">
        <f ca="1">AB77+Y78-AB77/'Static Parameters'!E$27</f>
        <v>45.899641196995418</v>
      </c>
      <c r="AC78" s="64">
        <f ca="1">Z78-W78*'Static Parameters'!C$27/'Static Parameters'!C$26</f>
        <v>40.451778389000232</v>
      </c>
      <c r="AD78" s="64">
        <f ca="1">AA78-X78*'Static Parameters'!D$27/'Static Parameters'!D$26</f>
        <v>81.776060167591268</v>
      </c>
      <c r="AE78" s="64">
        <f ca="1">AB78-Y78*'Static Parameters'!E$27/'Static Parameters'!E$26</f>
        <v>45.274369843035949</v>
      </c>
      <c r="AF78" s="64">
        <f ca="1">AG77*'Model - Scarcity &amp; Growth Rates'!K77*(1-'Model - Supply'!AF77/'Static Parameters'!C$33)+'Model - Supply'!AF77</f>
        <v>46.762363575502057</v>
      </c>
      <c r="AG78" s="64">
        <f ca="1">AF78-AF78/'Static Parameters'!$C$34</f>
        <v>23.381181787751029</v>
      </c>
      <c r="AH78" s="64">
        <f t="shared" ca="1" si="27"/>
        <v>167.50223750079138</v>
      </c>
      <c r="AI78" s="64">
        <f t="shared" ca="1" si="28"/>
        <v>23.381181787751029</v>
      </c>
      <c r="AJ78" s="64">
        <f t="shared" ca="1" si="17"/>
        <v>2.7873902601553952E-5</v>
      </c>
      <c r="AK78" s="64">
        <f t="shared" ca="1" si="18"/>
        <v>8.8862617985950333E-7</v>
      </c>
      <c r="AL78" s="64">
        <f t="shared" ca="1" si="19"/>
        <v>8.82547474732994E-9</v>
      </c>
      <c r="AM78" s="64">
        <f t="shared" ca="1" si="20"/>
        <v>3.2980967162864566E-7</v>
      </c>
      <c r="AN78" s="64">
        <f t="shared" ca="1" si="21"/>
        <v>167.50220839962745</v>
      </c>
      <c r="AO78" s="64">
        <f t="shared" ca="1" si="22"/>
        <v>23.381181787751029</v>
      </c>
    </row>
    <row r="79" spans="1:41" x14ac:dyDescent="0.35">
      <c r="A79" s="13">
        <v>2097</v>
      </c>
      <c r="B79" s="12">
        <f ca="1">MAX(0,MIN(1,B78*(1+'Model - Scarcity &amp; Growth Rates'!$D78-'Model - Scarcity &amp; Growth Rates'!$E78)))</f>
        <v>1</v>
      </c>
      <c r="C79" s="12">
        <f ca="1">MAX(0,MIN(1,C78*(1+'Model - Scarcity &amp; Growth Rates'!$D78-'Model - Scarcity &amp; Growth Rates'!$E78)))</f>
        <v>1</v>
      </c>
      <c r="D79" s="12">
        <f ca="1">MAX(0,MIN(1,D78*(1+'Model - Scarcity &amp; Growth Rates'!$D78-'Model - Scarcity &amp; Growth Rates'!$E78)))</f>
        <v>1</v>
      </c>
      <c r="E79" s="12">
        <f ca="1">B79*('Model - Scarcity &amp; Growth Rates'!$D79*(1-'Model - Scarcity &amp; Growth Rates'!$I79)-'Model - Scarcity &amp; Growth Rates'!$I79)+(1-'Model - Supply'!B79)*('Model - Scarcity &amp; Growth Rates'!$E79*(1-'Model - Scarcity &amp; Growth Rates'!$I79)-'Model - Scarcity &amp; Growth Rates'!$I79)</f>
        <v>-0.22930358739963425</v>
      </c>
      <c r="F79" s="12">
        <f ca="1">C79*('Model - Scarcity &amp; Growth Rates'!$D79*(1-'Model - Scarcity &amp; Growth Rates'!$I79)-'Model - Scarcity &amp; Growth Rates'!$I79)+(1-'Model - Supply'!C79)*('Model - Scarcity &amp; Growth Rates'!$E79*(1-'Model - Scarcity &amp; Growth Rates'!$I79)-'Model - Scarcity &amp; Growth Rates'!$I79)</f>
        <v>-0.22930358739963425</v>
      </c>
      <c r="G79" s="12">
        <f ca="1">D79*('Model - Scarcity &amp; Growth Rates'!$D79*(1-'Model - Scarcity &amp; Growth Rates'!$I79)-'Model - Scarcity &amp; Growth Rates'!$I79)+(1-'Model - Supply'!D79)*('Model - Scarcity &amp; Growth Rates'!$E79*(1-'Model - Scarcity &amp; Growth Rates'!$I79)-'Model - Scarcity &amp; Growth Rates'!$I79)</f>
        <v>-0.22930358739963425</v>
      </c>
      <c r="H79" s="12">
        <f ca="1">'Model - Scarcity &amp; Growth Rates'!J79</f>
        <v>-7.3178864713222868E-3</v>
      </c>
      <c r="I79" s="21">
        <f ca="1">(1+E78)*I78*(1-(SUM(I$5:I78)/'Static Parameters'!C$17)^2)</f>
        <v>8.4176524131001731E-5</v>
      </c>
      <c r="J79" s="21">
        <f ca="1">(1+F78)*J78*(1-(SUM(J$5:J78)/'Static Parameters'!D$17)^2)</f>
        <v>2.6535289550131411E-6</v>
      </c>
      <c r="K79" s="21">
        <f ca="1">(1+G78)*K78*(1-(SUM(K$5:K78)/'Static Parameters'!E$17)^2)</f>
        <v>2.2620852452633506E-8</v>
      </c>
      <c r="L79" s="21">
        <f ca="1">(1+H78)*L78*(1-(SUM(L$5:L78)/'Static Parameters'!F$17)^2)</f>
        <v>2.18257059379716E-7</v>
      </c>
      <c r="M79" s="21">
        <f ca="1">I79*B79*'Static Parameters'!C$15</f>
        <v>1.9360600550130398E-5</v>
      </c>
      <c r="N79" s="21">
        <f ca="1">J79*C79*'Static Parameters'!D$15</f>
        <v>6.1031165965302243E-7</v>
      </c>
      <c r="O79" s="21">
        <f ca="1">K79*D79*'Static Parameters'!E$15</f>
        <v>5.4290045886320411E-9</v>
      </c>
      <c r="P79" s="63">
        <f t="shared" ca="1" si="23"/>
        <v>2.18257059379716E-7</v>
      </c>
      <c r="Q79" s="40">
        <f t="shared" ca="1" si="24"/>
        <v>0</v>
      </c>
      <c r="R79" s="40">
        <f t="shared" ca="1" si="25"/>
        <v>0</v>
      </c>
      <c r="S79" s="40">
        <f t="shared" ca="1" si="26"/>
        <v>0</v>
      </c>
      <c r="T79" s="64">
        <f ca="1">I79*'Static Parameters'!C$19/(44/12)/1000</f>
        <v>2.2107816201314912E-6</v>
      </c>
      <c r="U79" s="64">
        <f ca="1">J79*'Static Parameters'!D$19/(44/12)/1000</f>
        <v>5.3046456109762695E-8</v>
      </c>
      <c r="V79" s="64">
        <f ca="1">K79*'Static Parameters'!E$19/(44/12)/1000</f>
        <v>3.4609904252529265E-10</v>
      </c>
      <c r="W79" s="64">
        <f ca="1">MAX(0,AC78*'Model - Scarcity &amp; Growth Rates'!$J78*(1-'Model - Supply'!Z78/'Static Parameters'!C$25)+'Model - Supply'!Z78/'Static Parameters'!C$27)</f>
        <v>1.4753008398792815</v>
      </c>
      <c r="X79" s="64">
        <f ca="1">MAX(0,AD78*'Model - Scarcity &amp; Growth Rates'!$J78*(1-'Model - Supply'!AA78/'Static Parameters'!D$25)+'Model - Supply'!AA78/'Static Parameters'!D$27)</f>
        <v>2.8694700428395121</v>
      </c>
      <c r="Y79" s="64">
        <f ca="1">MAX(0,AE78*'Model - Scarcity &amp; Growth Rates'!$J78*(1-'Model - Supply'!AB78/'Static Parameters'!E$25)+'Model - Supply'!AB78/'Static Parameters'!E$27)</f>
        <v>0.58380129982554074</v>
      </c>
      <c r="Z79" s="64">
        <f ca="1">Z78+W79-Z78/'Static Parameters'!C$27</f>
        <v>42.672900377018436</v>
      </c>
      <c r="AA79" s="64">
        <f ca="1">AA78+X79-AA78/'Static Parameters'!D$27</f>
        <v>84.822714748676503</v>
      </c>
      <c r="AB79" s="64">
        <f ca="1">AB78+Y79-AB78/'Static Parameters'!E$27</f>
        <v>45.87144728086102</v>
      </c>
      <c r="AC79" s="64">
        <f ca="1">Z79-W79*'Static Parameters'!C$27/'Static Parameters'!C$26</f>
        <v>40.2140656438863</v>
      </c>
      <c r="AD79" s="64">
        <f ca="1">AA79-X79*'Static Parameters'!D$27/'Static Parameters'!D$26</f>
        <v>81.235877195127117</v>
      </c>
      <c r="AE79" s="64">
        <f ca="1">AB79-Y79*'Static Parameters'!E$27/'Static Parameters'!E$26</f>
        <v>45.245945888190796</v>
      </c>
      <c r="AF79" s="64">
        <f ca="1">AG78*'Model - Scarcity &amp; Growth Rates'!K78*(1-'Model - Supply'!AF78/'Static Parameters'!C$33)+'Model - Supply'!AF78</f>
        <v>46.516234248970711</v>
      </c>
      <c r="AG79" s="64">
        <f ca="1">AF79-AF79/'Static Parameters'!$C$34</f>
        <v>23.258117124485356</v>
      </c>
      <c r="AH79" s="64">
        <f t="shared" ca="1" si="27"/>
        <v>166.69590892180247</v>
      </c>
      <c r="AI79" s="64">
        <f t="shared" ca="1" si="28"/>
        <v>23.258117124485356</v>
      </c>
      <c r="AJ79" s="64">
        <f t="shared" ca="1" si="17"/>
        <v>1.9360600550130398E-5</v>
      </c>
      <c r="AK79" s="64">
        <f t="shared" ca="1" si="18"/>
        <v>6.1031165965302243E-7</v>
      </c>
      <c r="AL79" s="64">
        <f t="shared" ca="1" si="19"/>
        <v>5.4290045886320411E-9</v>
      </c>
      <c r="AM79" s="64">
        <f t="shared" ca="1" si="20"/>
        <v>2.18257059379716E-7</v>
      </c>
      <c r="AN79" s="64">
        <f t="shared" ca="1" si="21"/>
        <v>166.69588872720422</v>
      </c>
      <c r="AO79" s="64">
        <f t="shared" ca="1" si="22"/>
        <v>23.258117124485356</v>
      </c>
    </row>
    <row r="80" spans="1:41" x14ac:dyDescent="0.35">
      <c r="A80" s="13">
        <v>2098</v>
      </c>
      <c r="B80" s="12">
        <f ca="1">MAX(0,MIN(1,B79*(1+'Model - Scarcity &amp; Growth Rates'!$D79-'Model - Scarcity &amp; Growth Rates'!$E79)))</f>
        <v>1</v>
      </c>
      <c r="C80" s="12">
        <f ca="1">MAX(0,MIN(1,C79*(1+'Model - Scarcity &amp; Growth Rates'!$D79-'Model - Scarcity &amp; Growth Rates'!$E79)))</f>
        <v>1</v>
      </c>
      <c r="D80" s="12">
        <f ca="1">MAX(0,MIN(1,D79*(1+'Model - Scarcity &amp; Growth Rates'!$D79-'Model - Scarcity &amp; Growth Rates'!$E79)))</f>
        <v>1</v>
      </c>
      <c r="E80" s="12">
        <f ca="1">B80*('Model - Scarcity &amp; Growth Rates'!$D80*(1-'Model - Scarcity &amp; Growth Rates'!$I80)-'Model - Scarcity &amp; Growth Rates'!$I80)+(1-'Model - Supply'!B80)*('Model - Scarcity &amp; Growth Rates'!$E80*(1-'Model - Scarcity &amp; Growth Rates'!$I80)-'Model - Scarcity &amp; Growth Rates'!$I80)</f>
        <v>-0.22960907475032746</v>
      </c>
      <c r="F80" s="12">
        <f ca="1">C80*('Model - Scarcity &amp; Growth Rates'!$D80*(1-'Model - Scarcity &amp; Growth Rates'!$I80)-'Model - Scarcity &amp; Growth Rates'!$I80)+(1-'Model - Supply'!C80)*('Model - Scarcity &amp; Growth Rates'!$E80*(1-'Model - Scarcity &amp; Growth Rates'!$I80)-'Model - Scarcity &amp; Growth Rates'!$I80)</f>
        <v>-0.22960907475032746</v>
      </c>
      <c r="G80" s="12">
        <f ca="1">D80*('Model - Scarcity &amp; Growth Rates'!$D80*(1-'Model - Scarcity &amp; Growth Rates'!$I80)-'Model - Scarcity &amp; Growth Rates'!$I80)+(1-'Model - Supply'!D80)*('Model - Scarcity &amp; Growth Rates'!$E80*(1-'Model - Scarcity &amp; Growth Rates'!$I80)-'Model - Scarcity &amp; Growth Rates'!$I80)</f>
        <v>-0.22960907475032746</v>
      </c>
      <c r="H80" s="12">
        <f ca="1">'Model - Scarcity &amp; Growth Rates'!J80</f>
        <v>-6.9270918952887128E-3</v>
      </c>
      <c r="I80" s="21">
        <f ca="1">(1+E79)*I79*(1-(SUM(I$5:I79)/'Static Parameters'!C$17)^2)</f>
        <v>5.8435879023354369E-5</v>
      </c>
      <c r="J80" s="21">
        <f ca="1">(1+F79)*J79*(1-(SUM(J$5:J79)/'Static Parameters'!D$17)^2)</f>
        <v>1.8214780464052644E-6</v>
      </c>
      <c r="K80" s="21">
        <f ca="1">(1+G79)*K79*(1-(SUM(K$5:K79)/'Static Parameters'!E$17)^2)</f>
        <v>1.3907806713038766E-8</v>
      </c>
      <c r="L80" s="21">
        <f ca="1">(1+H79)*L79*(1-(SUM(L$5:L79)/'Static Parameters'!F$17)^2)</f>
        <v>1.4447539095295117E-7</v>
      </c>
      <c r="M80" s="21">
        <f ca="1">I80*B80*'Static Parameters'!C$15</f>
        <v>1.3440252175371505E-5</v>
      </c>
      <c r="N80" s="21">
        <f ca="1">J80*C80*'Static Parameters'!D$15</f>
        <v>4.1893995067321082E-7</v>
      </c>
      <c r="O80" s="21">
        <f ca="1">K80*D80*'Static Parameters'!E$15</f>
        <v>3.3378736111293037E-9</v>
      </c>
      <c r="P80" s="63">
        <f t="shared" ca="1" si="23"/>
        <v>1.4447539095295117E-7</v>
      </c>
      <c r="Q80" s="40">
        <f t="shared" ca="1" si="24"/>
        <v>0</v>
      </c>
      <c r="R80" s="40">
        <f t="shared" ca="1" si="25"/>
        <v>0</v>
      </c>
      <c r="S80" s="40">
        <f t="shared" ca="1" si="26"/>
        <v>0</v>
      </c>
      <c r="T80" s="64">
        <f ca="1">I80*'Static Parameters'!C$19/(44/12)/1000</f>
        <v>1.5347386772588252E-6</v>
      </c>
      <c r="U80" s="64">
        <f ca="1">J80*'Static Parameters'!D$19/(44/12)/1000</f>
        <v>3.641300203677433E-8</v>
      </c>
      <c r="V80" s="64">
        <f ca="1">K80*'Static Parameters'!E$19/(44/12)/1000</f>
        <v>2.1278944270949313E-10</v>
      </c>
      <c r="W80" s="64">
        <f ca="1">MAX(0,AC79*'Model - Scarcity &amp; Growth Rates'!$J79*(1-'Model - Supply'!Z79/'Static Parameters'!C$25)+'Model - Supply'!Z79/'Static Parameters'!C$27)</f>
        <v>1.4754233734367428</v>
      </c>
      <c r="X80" s="64">
        <f ca="1">MAX(0,AD79*'Model - Scarcity &amp; Growth Rates'!$J79*(1-'Model - Supply'!AA79/'Static Parameters'!D$25)+'Model - Supply'!AA79/'Static Parameters'!D$27)</f>
        <v>2.8704693448544853</v>
      </c>
      <c r="Y80" s="64">
        <f ca="1">MAX(0,AE79*'Model - Scarcity &amp; Growth Rates'!$J79*(1-'Model - Supply'!AB79/'Static Parameters'!E$25)+'Model - Supply'!AB79/'Static Parameters'!E$27)</f>
        <v>0.5842796332763539</v>
      </c>
      <c r="Z80" s="64">
        <f ca="1">Z79+W80-Z79/'Static Parameters'!C$27</f>
        <v>42.44140773537444</v>
      </c>
      <c r="AA80" s="64">
        <f ca="1">AA79+X80-AA79/'Static Parameters'!D$27</f>
        <v>84.300275503583933</v>
      </c>
      <c r="AB80" s="64">
        <f ca="1">AB79+Y80-AB79/'Static Parameters'!E$27</f>
        <v>45.844107617059223</v>
      </c>
      <c r="AC80" s="64">
        <f ca="1">Z80-W80*'Static Parameters'!C$27/'Static Parameters'!C$26</f>
        <v>39.982368779646535</v>
      </c>
      <c r="AD80" s="64">
        <f ca="1">AA80-X80*'Static Parameters'!D$27/'Static Parameters'!D$26</f>
        <v>80.712188822515827</v>
      </c>
      <c r="AE80" s="64">
        <f ca="1">AB80-Y80*'Static Parameters'!E$27/'Static Parameters'!E$26</f>
        <v>45.218093724263127</v>
      </c>
      <c r="AF80" s="64">
        <f ca="1">AG79*'Model - Scarcity &amp; Growth Rates'!K79*(1-'Model - Supply'!AF79/'Static Parameters'!C$33)+'Model - Supply'!AF79</f>
        <v>46.284130953916737</v>
      </c>
      <c r="AG80" s="64">
        <f ca="1">AF80-AF80/'Static Parameters'!$C$34</f>
        <v>23.142065476958368</v>
      </c>
      <c r="AH80" s="64">
        <f t="shared" ca="1" si="27"/>
        <v>165.91266533343088</v>
      </c>
      <c r="AI80" s="64">
        <f t="shared" ca="1" si="28"/>
        <v>23.142065476958368</v>
      </c>
      <c r="AJ80" s="64">
        <f t="shared" ca="1" si="17"/>
        <v>1.3440252175371505E-5</v>
      </c>
      <c r="AK80" s="64">
        <f t="shared" ca="1" si="18"/>
        <v>4.1893995067321082E-7</v>
      </c>
      <c r="AL80" s="64">
        <f t="shared" ca="1" si="19"/>
        <v>3.3378736111293037E-9</v>
      </c>
      <c r="AM80" s="64">
        <f t="shared" ca="1" si="20"/>
        <v>1.4447539095295117E-7</v>
      </c>
      <c r="AN80" s="64">
        <f t="shared" ca="1" si="21"/>
        <v>165.91265132642548</v>
      </c>
      <c r="AO80" s="64">
        <f t="shared" ca="1" si="22"/>
        <v>23.142065476958368</v>
      </c>
    </row>
    <row r="81" spans="1:41" x14ac:dyDescent="0.35">
      <c r="A81" s="13">
        <v>2099</v>
      </c>
      <c r="B81" s="12">
        <f ca="1">MAX(0,MIN(1,B80*(1+'Model - Scarcity &amp; Growth Rates'!$D80-'Model - Scarcity &amp; Growth Rates'!$E80)))</f>
        <v>1</v>
      </c>
      <c r="C81" s="12">
        <f ca="1">MAX(0,MIN(1,C80*(1+'Model - Scarcity &amp; Growth Rates'!$D80-'Model - Scarcity &amp; Growth Rates'!$E80)))</f>
        <v>1</v>
      </c>
      <c r="D81" s="12">
        <f ca="1">MAX(0,MIN(1,D80*(1+'Model - Scarcity &amp; Growth Rates'!$D80-'Model - Scarcity &amp; Growth Rates'!$E80)))</f>
        <v>1</v>
      </c>
      <c r="E81" s="12">
        <f ca="1">B81*('Model - Scarcity &amp; Growth Rates'!$D81*(1-'Model - Scarcity &amp; Growth Rates'!$I81)-'Model - Scarcity &amp; Growth Rates'!$I81)+(1-'Model - Supply'!B81)*('Model - Scarcity &amp; Growth Rates'!$E81*(1-'Model - Scarcity &amp; Growth Rates'!$I81)-'Model - Scarcity &amp; Growth Rates'!$I81)</f>
        <v>-0.22984376986165703</v>
      </c>
      <c r="F81" s="12">
        <f ca="1">C81*('Model - Scarcity &amp; Growth Rates'!$D81*(1-'Model - Scarcity &amp; Growth Rates'!$I81)-'Model - Scarcity &amp; Growth Rates'!$I81)+(1-'Model - Supply'!C81)*('Model - Scarcity &amp; Growth Rates'!$E81*(1-'Model - Scarcity &amp; Growth Rates'!$I81)-'Model - Scarcity &amp; Growth Rates'!$I81)</f>
        <v>-0.22984376986165703</v>
      </c>
      <c r="G81" s="12">
        <f ca="1">D81*('Model - Scarcity &amp; Growth Rates'!$D81*(1-'Model - Scarcity &amp; Growth Rates'!$I81)-'Model - Scarcity &amp; Growth Rates'!$I81)+(1-'Model - Supply'!D81)*('Model - Scarcity &amp; Growth Rates'!$E81*(1-'Model - Scarcity &amp; Growth Rates'!$I81)-'Model - Scarcity &amp; Growth Rates'!$I81)</f>
        <v>-0.22984376986165703</v>
      </c>
      <c r="H81" s="12">
        <f ca="1">'Model - Scarcity &amp; Growth Rates'!J81</f>
        <v>-6.4668973202110592E-3</v>
      </c>
      <c r="I81" s="21">
        <f ca="1">(1+E80)*I80*(1-(SUM(I$5:I80)/'Static Parameters'!C$17)^2)</f>
        <v>4.0550479522468577E-5</v>
      </c>
      <c r="J81" s="21">
        <f ca="1">(1+F80)*J80*(1-(SUM(J$5:J80)/'Static Parameters'!D$17)^2)</f>
        <v>1.2498326689895774E-6</v>
      </c>
      <c r="K81" s="21">
        <f ca="1">(1+G80)*K80*(1-(SUM(K$5:K80)/'Static Parameters'!E$17)^2)</f>
        <v>8.5474416875889545E-9</v>
      </c>
      <c r="L81" s="21">
        <f ca="1">(1+H80)*L80*(1-(SUM(L$5:L80)/'Static Parameters'!F$17)^2)</f>
        <v>9.5673220781033308E-8</v>
      </c>
      <c r="M81" s="21">
        <f ca="1">I81*B81*'Static Parameters'!C$15</f>
        <v>9.3266102901677723E-6</v>
      </c>
      <c r="N81" s="21">
        <f ca="1">J81*C81*'Static Parameters'!D$15</f>
        <v>2.8746151386760282E-7</v>
      </c>
      <c r="O81" s="21">
        <f ca="1">K81*D81*'Static Parameters'!E$15</f>
        <v>2.0513860050213489E-9</v>
      </c>
      <c r="P81" s="63">
        <f t="shared" ca="1" si="23"/>
        <v>9.5673220781033308E-8</v>
      </c>
      <c r="Q81" s="40">
        <f t="shared" ca="1" si="24"/>
        <v>0</v>
      </c>
      <c r="R81" s="40">
        <f t="shared" ca="1" si="25"/>
        <v>0</v>
      </c>
      <c r="S81" s="40">
        <f t="shared" ca="1" si="26"/>
        <v>0</v>
      </c>
      <c r="T81" s="64">
        <f ca="1">I81*'Static Parameters'!C$19/(44/12)/1000</f>
        <v>1.0650030485491975E-6</v>
      </c>
      <c r="U81" s="64">
        <f ca="1">J81*'Static Parameters'!D$19/(44/12)/1000</f>
        <v>2.4985291264618915E-8</v>
      </c>
      <c r="V81" s="64">
        <f ca="1">K81*'Static Parameters'!E$19/(44/12)/1000</f>
        <v>1.30775857820111E-10</v>
      </c>
      <c r="W81" s="64">
        <f ca="1">MAX(0,AC80*'Model - Scarcity &amp; Growth Rates'!$J80*(1-'Model - Supply'!Z80/'Static Parameters'!C$25)+'Model - Supply'!Z80/'Static Parameters'!C$27)</f>
        <v>1.4794679554967165</v>
      </c>
      <c r="X81" s="64">
        <f ca="1">MAX(0,AD80*'Model - Scarcity &amp; Growth Rates'!$J80*(1-'Model - Supply'!AA80/'Static Parameters'!D$25)+'Model - Supply'!AA80/'Static Parameters'!D$27)</f>
        <v>2.8802421956407871</v>
      </c>
      <c r="Y81" s="64">
        <f ca="1">MAX(0,AE80*'Model - Scarcity &amp; Growth Rates'!$J80*(1-'Model - Supply'!AB80/'Static Parameters'!E$25)+'Model - Supply'!AB80/'Static Parameters'!E$27)</f>
        <v>0.58521977390188984</v>
      </c>
      <c r="Z81" s="64">
        <f ca="1">Z80+W81-Z80/'Static Parameters'!C$27</f>
        <v>42.223219381456175</v>
      </c>
      <c r="AA81" s="64">
        <f ca="1">AA80+X81-AA80/'Static Parameters'!D$27</f>
        <v>83.808506679081361</v>
      </c>
      <c r="AB81" s="64">
        <f ca="1">AB80+Y81-AB80/'Static Parameters'!E$27</f>
        <v>45.818072622733659</v>
      </c>
      <c r="AC81" s="64">
        <f ca="1">Z81-W81*'Static Parameters'!C$27/'Static Parameters'!C$26</f>
        <v>39.757439455628315</v>
      </c>
      <c r="AD81" s="64">
        <f ca="1">AA81-X81*'Static Parameters'!D$27/'Static Parameters'!D$26</f>
        <v>80.208203934530374</v>
      </c>
      <c r="AE81" s="64">
        <f ca="1">AB81-Y81*'Static Parameters'!E$27/'Static Parameters'!E$26</f>
        <v>45.191051436410206</v>
      </c>
      <c r="AF81" s="64">
        <f ca="1">AG80*'Model - Scarcity &amp; Growth Rates'!K80*(1-'Model - Supply'!AF80/'Static Parameters'!C$33)+'Model - Supply'!AF80</f>
        <v>46.065094167468708</v>
      </c>
      <c r="AG81" s="64">
        <f ca="1">AF81-AF81/'Static Parameters'!$C$34</f>
        <v>23.032547083734354</v>
      </c>
      <c r="AH81" s="64">
        <f t="shared" ca="1" si="27"/>
        <v>165.15670453836532</v>
      </c>
      <c r="AI81" s="64">
        <f t="shared" ca="1" si="28"/>
        <v>23.032547083734354</v>
      </c>
      <c r="AJ81" s="64">
        <f t="shared" ca="1" si="17"/>
        <v>9.3266102901677723E-6</v>
      </c>
      <c r="AK81" s="64">
        <f t="shared" ca="1" si="18"/>
        <v>2.8746151386760282E-7</v>
      </c>
      <c r="AL81" s="64">
        <f t="shared" ca="1" si="19"/>
        <v>2.0513860050213489E-9</v>
      </c>
      <c r="AM81" s="64">
        <f t="shared" ca="1" si="20"/>
        <v>9.5673220781033308E-8</v>
      </c>
      <c r="AN81" s="64">
        <f t="shared" ca="1" si="21"/>
        <v>165.15669482656889</v>
      </c>
      <c r="AO81" s="64">
        <f t="shared" ca="1" si="22"/>
        <v>23.032547083734354</v>
      </c>
    </row>
    <row r="82" spans="1:41" x14ac:dyDescent="0.35">
      <c r="A82" s="13">
        <v>2100</v>
      </c>
      <c r="B82" s="12">
        <f ca="1">MAX(0,MIN(1,B81*(1+'Model - Scarcity &amp; Growth Rates'!$D81-'Model - Scarcity &amp; Growth Rates'!$E81)))</f>
        <v>1</v>
      </c>
      <c r="C82" s="12">
        <f ca="1">MAX(0,MIN(1,C81*(1+'Model - Scarcity &amp; Growth Rates'!$D81-'Model - Scarcity &amp; Growth Rates'!$E81)))</f>
        <v>1</v>
      </c>
      <c r="D82" s="12">
        <f ca="1">MAX(0,MIN(1,D81*(1+'Model - Scarcity &amp; Growth Rates'!$D81-'Model - Scarcity &amp; Growth Rates'!$E81)))</f>
        <v>1</v>
      </c>
      <c r="E82" s="12">
        <f ca="1">B82*('Model - Scarcity &amp; Growth Rates'!$D82*(1-'Model - Scarcity &amp; Growth Rates'!$I82)-'Model - Scarcity &amp; Growth Rates'!$I82)+(1-'Model - Supply'!B82)*('Model - Scarcity &amp; Growth Rates'!$E82*(1-'Model - Scarcity &amp; Growth Rates'!$I82)-'Model - Scarcity &amp; Growth Rates'!$I82)</f>
        <v>-0.23008330245124503</v>
      </c>
      <c r="F82" s="12">
        <f ca="1">C82*('Model - Scarcity &amp; Growth Rates'!$D82*(1-'Model - Scarcity &amp; Growth Rates'!$I82)-'Model - Scarcity &amp; Growth Rates'!$I82)+(1-'Model - Supply'!C82)*('Model - Scarcity &amp; Growth Rates'!$E82*(1-'Model - Scarcity &amp; Growth Rates'!$I82)-'Model - Scarcity &amp; Growth Rates'!$I82)</f>
        <v>-0.23008330245124503</v>
      </c>
      <c r="G82" s="12">
        <f ca="1">D82*('Model - Scarcity &amp; Growth Rates'!$D82*(1-'Model - Scarcity &amp; Growth Rates'!$I82)-'Model - Scarcity &amp; Growth Rates'!$I82)+(1-'Model - Supply'!D82)*('Model - Scarcity &amp; Growth Rates'!$E82*(1-'Model - Scarcity &amp; Growth Rates'!$I82)-'Model - Scarcity &amp; Growth Rates'!$I82)</f>
        <v>-0.23008330245124503</v>
      </c>
      <c r="H82" s="12">
        <f ca="1">'Model - Scarcity &amp; Growth Rates'!J82</f>
        <v>-6.0338547103344631E-3</v>
      </c>
      <c r="I82" s="21">
        <f ca="1">(1+E81)*I81*(1-SUM(I$5:I81)/'Static Parameters'!$C$17)</f>
        <v>2.1391551904370535E-5</v>
      </c>
      <c r="J82" s="21">
        <f ca="1">(1+F81)*J81*(1-SUM(J$5:J81)/'Static Parameters'!$C$17)</f>
        <v>8.4489306802293744E-7</v>
      </c>
      <c r="K82" s="21">
        <f ca="1">(1+G81)*K81*(1-SUM(K$5:K81)/'Static Parameters'!$C$17)</f>
        <v>5.7638280807462349E-9</v>
      </c>
      <c r="L82" s="21">
        <f ca="1">(1+H81)*L81*(1-SUM(L$5:L81)/'Static Parameters'!$C$17)</f>
        <v>9.2312069053004329E-8</v>
      </c>
      <c r="M82" s="21">
        <f ca="1">I82*B82*'Static Parameters'!C$15</f>
        <v>4.9200569380052236E-6</v>
      </c>
      <c r="N82" s="21">
        <f ca="1">J82*C82*'Static Parameters'!D$15</f>
        <v>1.9432540564527563E-7</v>
      </c>
      <c r="O82" s="21">
        <f ca="1">K82*D82*'Static Parameters'!E$15</f>
        <v>1.3833187393790962E-9</v>
      </c>
      <c r="P82" s="63">
        <f t="shared" ca="1" si="23"/>
        <v>9.2312069053004329E-8</v>
      </c>
      <c r="Q82" s="40">
        <f t="shared" ca="1" si="24"/>
        <v>0</v>
      </c>
      <c r="R82" s="40">
        <f t="shared" ca="1" si="25"/>
        <v>0</v>
      </c>
      <c r="S82" s="40">
        <f t="shared" ca="1" si="26"/>
        <v>0</v>
      </c>
      <c r="T82" s="64">
        <f ca="1">I82*'Static Parameters'!C$19/(44/12)/1000</f>
        <v>5.618199404702407E-7</v>
      </c>
      <c r="U82" s="64">
        <f ca="1">J82*'Static Parameters'!D$19/(44/12)/1000</f>
        <v>1.6890180514385813E-8</v>
      </c>
      <c r="V82" s="64">
        <f ca="1">K82*'Static Parameters'!E$19/(44/12)/1000</f>
        <v>8.8186569635417397E-11</v>
      </c>
      <c r="W82" s="64">
        <f ca="1">MAX(0,AC81*'Model - Scarcity &amp; Growth Rates'!$J81*(1-'Model - Supply'!Z81/'Static Parameters'!C$25)+'Model - Supply'!Z81/'Static Parameters'!C$27)</f>
        <v>1.48610098174431</v>
      </c>
      <c r="X82" s="64">
        <f ca="1">MAX(0,AD81*'Model - Scarcity &amp; Growth Rates'!$J81*(1-'Model - Supply'!AA81/'Static Parameters'!D$25)+'Model - Supply'!AA81/'Static Parameters'!D$27)</f>
        <v>2.8957439383064667</v>
      </c>
      <c r="Y82" s="64">
        <f ca="1">MAX(0,AE81*'Model - Scarcity &amp; Growth Rates'!$J81*(1-'Model - Supply'!AB81/'Static Parameters'!E$25)+'Model - Supply'!AB81/'Static Parameters'!E$27)</f>
        <v>0.58646461325162746</v>
      </c>
      <c r="Z82" s="64">
        <f ca="1">Z81+W82-Z81/'Static Parameters'!C$27</f>
        <v>42.020391587942235</v>
      </c>
      <c r="AA82" s="64">
        <f ca="1">AA81+X82-AA81/'Static Parameters'!D$27</f>
        <v>83.351910350224571</v>
      </c>
      <c r="AB82" s="64">
        <f ca="1">AB81+Y82-AB81/'Static Parameters'!E$27</f>
        <v>45.793629601015503</v>
      </c>
      <c r="AC82" s="64">
        <f ca="1">Z82-W82*'Static Parameters'!C$27/'Static Parameters'!C$26</f>
        <v>39.543556618368385</v>
      </c>
      <c r="AD82" s="64">
        <f ca="1">AA82-X82*'Static Parameters'!D$27/'Static Parameters'!D$26</f>
        <v>79.732230427341491</v>
      </c>
      <c r="AE82" s="64">
        <f ca="1">AB82-Y82*'Static Parameters'!E$27/'Static Parameters'!E$26</f>
        <v>45.165274658245906</v>
      </c>
      <c r="AF82" s="64">
        <f ca="1">AG81*'Model - Scarcity &amp; Growth Rates'!K81*(1-'Model - Supply'!AF81/'Static Parameters'!C$33)+'Model - Supply'!AF81</f>
        <v>45.858157667961365</v>
      </c>
      <c r="AG82" s="64">
        <f ca="1">AF82-AF82/'Static Parameters'!$C$34</f>
        <v>22.929078833980682</v>
      </c>
      <c r="AH82" s="64">
        <f t="shared" ca="1" si="27"/>
        <v>164.44106691203353</v>
      </c>
      <c r="AI82" s="64">
        <f t="shared" ca="1" si="28"/>
        <v>22.929078833980682</v>
      </c>
      <c r="AJ82" s="64">
        <f t="shared" ref="AJ82" ca="1" si="29">Q82+M82</f>
        <v>4.9200569380052236E-6</v>
      </c>
      <c r="AK82" s="64">
        <f t="shared" ref="AK82" ca="1" si="30">R82+N82</f>
        <v>1.9432540564527563E-7</v>
      </c>
      <c r="AL82" s="64">
        <f t="shared" ref="AL82" ca="1" si="31">S82+O82</f>
        <v>1.3833187393790962E-9</v>
      </c>
      <c r="AM82" s="64">
        <f t="shared" ref="AM82" ca="1" si="32">P82</f>
        <v>9.2312069053004329E-8</v>
      </c>
      <c r="AN82" s="64">
        <f t="shared" ref="AN82" ca="1" si="33">SUM(AC82:AE82)</f>
        <v>164.44106170395577</v>
      </c>
      <c r="AO82" s="64">
        <f t="shared" ref="AO82" ca="1" si="34">AG82</f>
        <v>22.929078833980682</v>
      </c>
    </row>
  </sheetData>
  <mergeCells count="18">
    <mergeCell ref="AJ3:AO3"/>
    <mergeCell ref="AH3:AI3"/>
    <mergeCell ref="AF3:AG3"/>
    <mergeCell ref="AF2:AG2"/>
    <mergeCell ref="AJ2:AO2"/>
    <mergeCell ref="AH2:AI2"/>
    <mergeCell ref="A2:A3"/>
    <mergeCell ref="E4:H4"/>
    <mergeCell ref="M4:P4"/>
    <mergeCell ref="I4:L4"/>
    <mergeCell ref="B4:D4"/>
    <mergeCell ref="W4:Y4"/>
    <mergeCell ref="Z4:AB4"/>
    <mergeCell ref="AC4:AE4"/>
    <mergeCell ref="W2:AE2"/>
    <mergeCell ref="T4:V4"/>
    <mergeCell ref="E2:V2"/>
    <mergeCell ref="Q4:S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046E-B9D8-47EA-B8CC-06EF5C0F3CBF}">
  <dimension ref="A1:K82"/>
  <sheetViews>
    <sheetView workbookViewId="0">
      <selection activeCell="D3" sqref="D3:E3"/>
    </sheetView>
  </sheetViews>
  <sheetFormatPr defaultRowHeight="15" x14ac:dyDescent="0.35"/>
  <cols>
    <col min="1" max="1" width="8.88671875" style="7"/>
    <col min="2" max="5" width="14.21875" style="7" customWidth="1"/>
    <col min="6" max="7" width="16.44140625" style="7" customWidth="1"/>
    <col min="8" max="8" width="14.21875" style="7" customWidth="1"/>
    <col min="9" max="9" width="16.77734375" style="7" customWidth="1"/>
    <col min="10" max="11" width="14.21875" style="7" customWidth="1"/>
    <col min="12" max="16384" width="8.88671875" style="7"/>
  </cols>
  <sheetData>
    <row r="1" spans="1:11" x14ac:dyDescent="0.35">
      <c r="I1" s="7" t="s">
        <v>104</v>
      </c>
      <c r="J1" s="38">
        <v>0.2</v>
      </c>
      <c r="K1" s="38">
        <v>0.2</v>
      </c>
    </row>
    <row r="3" spans="1:11" x14ac:dyDescent="0.35">
      <c r="A3" s="17"/>
      <c r="B3" s="70" t="s">
        <v>82</v>
      </c>
      <c r="C3" s="70"/>
      <c r="D3" s="70" t="s">
        <v>81</v>
      </c>
      <c r="E3" s="70"/>
      <c r="F3" s="70" t="s">
        <v>11</v>
      </c>
      <c r="G3" s="70"/>
      <c r="H3" s="70"/>
      <c r="I3" s="70"/>
      <c r="J3" s="70" t="s">
        <v>83</v>
      </c>
      <c r="K3" s="70"/>
    </row>
    <row r="4" spans="1:11" ht="50.4" customHeight="1" x14ac:dyDescent="0.35">
      <c r="A4" s="19" t="s">
        <v>3</v>
      </c>
      <c r="B4" s="19" t="s">
        <v>85</v>
      </c>
      <c r="C4" s="19" t="s">
        <v>86</v>
      </c>
      <c r="D4" s="19" t="s">
        <v>87</v>
      </c>
      <c r="E4" s="19" t="s">
        <v>88</v>
      </c>
      <c r="F4" s="66" t="s">
        <v>89</v>
      </c>
      <c r="G4" s="66" t="s">
        <v>90</v>
      </c>
      <c r="H4" s="67" t="s">
        <v>91</v>
      </c>
      <c r="I4" s="67" t="s">
        <v>92</v>
      </c>
      <c r="J4" s="19" t="s">
        <v>93</v>
      </c>
      <c r="K4" s="19" t="s">
        <v>94</v>
      </c>
    </row>
    <row r="5" spans="1:11" x14ac:dyDescent="0.35">
      <c r="A5" s="13">
        <v>2023</v>
      </c>
      <c r="B5" s="64">
        <f ca="1">'Model - Demand'!I5-'Model - Supply'!AH5</f>
        <v>-8.218504425300182</v>
      </c>
      <c r="C5" s="64">
        <f ca="1">'Model - Demand'!Q5-'Model - Supply'!AI5</f>
        <v>16.628915734916973</v>
      </c>
      <c r="D5" s="65">
        <f ca="1">B5/'Model - Demand'!I5</f>
        <v>-9.5954970600326581E-2</v>
      </c>
      <c r="E5" s="65">
        <f ca="1">C5/'Model - Demand'!Q5</f>
        <v>5.7515834592308197E-2</v>
      </c>
      <c r="F5" s="64">
        <f>'Static Parameters'!C40</f>
        <v>9.8742444545454546</v>
      </c>
      <c r="G5" s="64">
        <f>SUM('Model - Supply'!T5:V5)</f>
        <v>9.8860909090909086</v>
      </c>
      <c r="H5" s="64">
        <f>SUM(G$5:G5)/SUM(F$5:F5)-1</f>
        <v>1.1997327592998541E-3</v>
      </c>
      <c r="I5" s="64">
        <f ca="1">H5*'Scenario Picker'!$B$10</f>
        <v>1.1997327592998542E-4</v>
      </c>
      <c r="J5" s="20">
        <f ca="1">MIN(D5+I5,J$1,D5)</f>
        <v>-9.5954970600326581E-2</v>
      </c>
      <c r="K5" s="20">
        <f ca="1">MIN(E5+I5,K$1,E5)</f>
        <v>5.7515834592308197E-2</v>
      </c>
    </row>
    <row r="6" spans="1:11" x14ac:dyDescent="0.35">
      <c r="A6" s="13">
        <v>2024</v>
      </c>
      <c r="B6" s="64">
        <f ca="1">'Model - Demand'!I6-'Model - Supply'!AH6</f>
        <v>14.082947809628863</v>
      </c>
      <c r="C6" s="64">
        <f ca="1">'Model - Demand'!Q6-'Model - Supply'!AI6</f>
        <v>-29.428279574267492</v>
      </c>
      <c r="D6" s="65">
        <f ca="1">B6/'Model - Demand'!I6</f>
        <v>0.14775104268236464</v>
      </c>
      <c r="E6" s="65">
        <f ca="1">C6/'Model - Demand'!Q6</f>
        <v>-0.10464428232147013</v>
      </c>
      <c r="F6" s="64">
        <f>'Static Parameters'!C41</f>
        <v>18.102781499999999</v>
      </c>
      <c r="G6" s="64">
        <f>G5+SUM('Model - Supply'!T5:V5)</f>
        <v>19.772181818181817</v>
      </c>
      <c r="H6" s="64">
        <f>SUM(G$5:G6)/SUM(F$5:F6)-1</f>
        <v>6.0093834686317571E-2</v>
      </c>
      <c r="I6" s="64">
        <f ca="1">H6*'Scenario Picker'!$B$10</f>
        <v>6.0093834686317576E-3</v>
      </c>
      <c r="J6" s="20">
        <f t="shared" ref="J6:J69" ca="1" si="0">MIN(D6+I6,J$1,D6)</f>
        <v>0.14775104268236464</v>
      </c>
      <c r="K6" s="20">
        <f t="shared" ref="K6:K69" ca="1" si="1">MIN(E6+I6,K$1,E6)</f>
        <v>-0.10464428232147013</v>
      </c>
    </row>
    <row r="7" spans="1:11" x14ac:dyDescent="0.35">
      <c r="A7" s="13">
        <v>2025</v>
      </c>
      <c r="B7" s="64">
        <f ca="1">'Model - Demand'!I7-'Model - Supply'!AH7</f>
        <v>10.547380260176524</v>
      </c>
      <c r="C7" s="64">
        <f ca="1">'Model - Demand'!Q7-'Model - Supply'!AI7</f>
        <v>24.720133935314152</v>
      </c>
      <c r="D7" s="65">
        <f ca="1">B7/'Model - Demand'!I7</f>
        <v>0.10059809122890008</v>
      </c>
      <c r="E7" s="65">
        <f ca="1">C7/'Model - Demand'!Q7</f>
        <v>9.0510640067517342E-2</v>
      </c>
      <c r="F7" s="64">
        <f>'Static Parameters'!C42</f>
        <v>25.508464840909092</v>
      </c>
      <c r="G7" s="64">
        <f ca="1">G6+SUM('Model - Supply'!T6:V6)</f>
        <v>29.413534952476077</v>
      </c>
      <c r="H7" s="64">
        <f ca="1">SUM(G$5:G7)/SUM(F$5:F7)-1</f>
        <v>0.1044454636428056</v>
      </c>
      <c r="I7" s="64">
        <f ca="1">H7*'Scenario Picker'!$B$10</f>
        <v>1.0444546364280561E-2</v>
      </c>
      <c r="J7" s="20">
        <f t="shared" ca="1" si="0"/>
        <v>0.10059809122890008</v>
      </c>
      <c r="K7" s="20">
        <f t="shared" ca="1" si="1"/>
        <v>9.0510640067517342E-2</v>
      </c>
    </row>
    <row r="8" spans="1:11" x14ac:dyDescent="0.35">
      <c r="A8" s="13">
        <v>2026</v>
      </c>
      <c r="B8" s="64">
        <f ca="1">'Model - Demand'!I8-'Model - Supply'!AH8</f>
        <v>9.8047240396165023</v>
      </c>
      <c r="C8" s="64">
        <f ca="1">'Model - Demand'!Q8-'Model - Supply'!AI8</f>
        <v>1.4407077064497571</v>
      </c>
      <c r="D8" s="65">
        <f ca="1">B8/'Model - Demand'!I8</f>
        <v>8.5836200238530752E-2</v>
      </c>
      <c r="E8" s="65">
        <f ca="1">C8/'Model - Demand'!Q8</f>
        <v>5.4406918084407962E-3</v>
      </c>
      <c r="F8" s="64">
        <f>'Static Parameters'!C43</f>
        <v>32.091294477272726</v>
      </c>
      <c r="G8" s="64">
        <f ca="1">G7+SUM('Model - Supply'!T7:V7)</f>
        <v>39.045038945259648</v>
      </c>
      <c r="H8" s="64">
        <f ca="1">SUM(G$5:G8)/SUM(F$5:F8)-1</f>
        <v>0.14653578435222658</v>
      </c>
      <c r="I8" s="64">
        <f ca="1">H8*'Scenario Picker'!$B$10</f>
        <v>1.4653578435222659E-2</v>
      </c>
      <c r="J8" s="20">
        <f t="shared" ca="1" si="0"/>
        <v>8.5836200238530752E-2</v>
      </c>
      <c r="K8" s="20">
        <f t="shared" ca="1" si="1"/>
        <v>5.4406918084407962E-3</v>
      </c>
    </row>
    <row r="9" spans="1:11" x14ac:dyDescent="0.35">
      <c r="A9" s="13">
        <v>2027</v>
      </c>
      <c r="B9" s="64">
        <f ca="1">'Model - Demand'!I9-'Model - Supply'!AH9</f>
        <v>7.6628370780542525</v>
      </c>
      <c r="C9" s="64">
        <f ca="1">'Model - Demand'!Q9-'Model - Supply'!AI9</f>
        <v>13.914021944804205</v>
      </c>
      <c r="D9" s="65">
        <f ca="1">B9/'Model - Demand'!I9</f>
        <v>6.2075447236273097E-2</v>
      </c>
      <c r="E9" s="65">
        <f ca="1">C9/'Model - Demand'!Q9</f>
        <v>5.42901951576766E-2</v>
      </c>
      <c r="F9" s="64">
        <f>'Static Parameters'!C44</f>
        <v>37.851270409090908</v>
      </c>
      <c r="G9" s="64">
        <f ca="1">G8+SUM('Model - Supply'!T8:V8)</f>
        <v>49.47559231887027</v>
      </c>
      <c r="H9" s="64">
        <f ca="1">SUM(G$5:G9)/SUM(F$5:F9)-1</f>
        <v>0.19577707133581712</v>
      </c>
      <c r="I9" s="64">
        <f ca="1">H9*'Scenario Picker'!$B$10</f>
        <v>1.9577707133581715E-2</v>
      </c>
      <c r="J9" s="20">
        <f t="shared" ca="1" si="0"/>
        <v>6.2075447236273097E-2</v>
      </c>
      <c r="K9" s="20">
        <f t="shared" ca="1" si="1"/>
        <v>5.42901951576766E-2</v>
      </c>
    </row>
    <row r="10" spans="1:11" x14ac:dyDescent="0.35">
      <c r="A10" s="13">
        <v>2028</v>
      </c>
      <c r="B10" s="64">
        <f ca="1">'Model - Demand'!I10-'Model - Supply'!AH10</f>
        <v>10.848738159158358</v>
      </c>
      <c r="C10" s="64">
        <f ca="1">'Model - Demand'!Q10-'Model - Supply'!AI10</f>
        <v>1.4264005024448352</v>
      </c>
      <c r="D10" s="65">
        <f ca="1">B10/'Model - Demand'!I10</f>
        <v>8.1890186647452221E-2</v>
      </c>
      <c r="E10" s="65">
        <f ca="1">C10/'Model - Demand'!Q10</f>
        <v>5.7615829450586558E-3</v>
      </c>
      <c r="F10" s="64">
        <f>'Static Parameters'!C45</f>
        <v>42.788392636363639</v>
      </c>
      <c r="G10" s="64">
        <f ca="1">G9+SUM('Model - Supply'!T9:V9)</f>
        <v>60.25509322513863</v>
      </c>
      <c r="H10" s="64">
        <f ca="1">SUM(G$5:G10)/SUM(F$5:F10)-1</f>
        <v>0.25046308155461672</v>
      </c>
      <c r="I10" s="64">
        <f ca="1">H10*'Scenario Picker'!$B$10</f>
        <v>2.5046308155461675E-2</v>
      </c>
      <c r="J10" s="20">
        <f t="shared" ca="1" si="0"/>
        <v>8.1890186647452221E-2</v>
      </c>
      <c r="K10" s="20">
        <f t="shared" ca="1" si="1"/>
        <v>5.7615829450586558E-3</v>
      </c>
    </row>
    <row r="11" spans="1:11" x14ac:dyDescent="0.35">
      <c r="A11" s="13">
        <v>2029</v>
      </c>
      <c r="B11" s="64">
        <f ca="1">'Model - Demand'!I11-'Model - Supply'!AH11</f>
        <v>10.240777439330174</v>
      </c>
      <c r="C11" s="64">
        <f ca="1">'Model - Demand'!Q11-'Model - Supply'!AI11</f>
        <v>13.979181003700944</v>
      </c>
      <c r="D11" s="65">
        <f ca="1">B11/'Model - Demand'!I11</f>
        <v>7.2466848563515276E-2</v>
      </c>
      <c r="E11" s="65">
        <f ca="1">C11/'Model - Demand'!Q11</f>
        <v>5.8575189474033965E-2</v>
      </c>
      <c r="F11" s="64">
        <f>'Static Parameters'!C46</f>
        <v>47.478658752272729</v>
      </c>
      <c r="G11" s="64">
        <f ca="1">G10+SUM('Model - Supply'!T10:V10)</f>
        <v>71.393878466376378</v>
      </c>
      <c r="H11" s="64">
        <f ca="1">SUM(G$5:G11)/SUM(F$5:F11)-1</f>
        <v>0.30672814395946268</v>
      </c>
      <c r="I11" s="64">
        <f ca="1">H11*'Scenario Picker'!$B$10</f>
        <v>3.0672814395946268E-2</v>
      </c>
      <c r="J11" s="20">
        <f t="shared" ca="1" si="0"/>
        <v>7.2466848563515276E-2</v>
      </c>
      <c r="K11" s="20">
        <f t="shared" ca="1" si="1"/>
        <v>5.8575189474033965E-2</v>
      </c>
    </row>
    <row r="12" spans="1:11" x14ac:dyDescent="0.35">
      <c r="A12" s="13">
        <v>2030</v>
      </c>
      <c r="B12" s="64">
        <f ca="1">'Model - Demand'!I12-'Model - Supply'!AH12</f>
        <v>13.118476296117763</v>
      </c>
      <c r="C12" s="64">
        <f ca="1">'Model - Demand'!Q12-'Model - Supply'!AI12</f>
        <v>3.7330969689193978</v>
      </c>
      <c r="D12" s="65">
        <f ca="1">B12/'Model - Demand'!I12</f>
        <v>8.748996300801043E-2</v>
      </c>
      <c r="E12" s="65">
        <f ca="1">C12/'Model - Demand'!Q12</f>
        <v>1.6262887180960549E-2</v>
      </c>
      <c r="F12" s="64">
        <f>'Static Parameters'!C47</f>
        <v>51.922068756818184</v>
      </c>
      <c r="G12" s="64">
        <f ca="1">G11+SUM('Model - Supply'!T11:V11)</f>
        <v>82.765972408556195</v>
      </c>
      <c r="H12" s="64">
        <f ca="1">SUM(G$5:G12)/SUM(F$5:F12)-1</f>
        <v>0.36289146933539573</v>
      </c>
      <c r="I12" s="64">
        <f ca="1">H12*'Scenario Picker'!$B$10</f>
        <v>3.6289146933539573E-2</v>
      </c>
      <c r="J12" s="20">
        <f t="shared" ca="1" si="0"/>
        <v>8.748996300801043E-2</v>
      </c>
      <c r="K12" s="20">
        <f t="shared" ca="1" si="1"/>
        <v>1.6262887180960549E-2</v>
      </c>
    </row>
    <row r="13" spans="1:11" x14ac:dyDescent="0.35">
      <c r="A13" s="13">
        <v>2031</v>
      </c>
      <c r="B13" s="64">
        <f ca="1">'Model - Demand'!I13-'Model - Supply'!AH13</f>
        <v>13.994864501367175</v>
      </c>
      <c r="C13" s="64">
        <f ca="1">'Model - Demand'!Q13-'Model - Supply'!AI13</f>
        <v>9.0080030011566237</v>
      </c>
      <c r="D13" s="65">
        <f ca="1">B13/'Model - Demand'!I13</f>
        <v>8.838359935644588E-2</v>
      </c>
      <c r="E13" s="65">
        <f ca="1">C13/'Model - Demand'!Q13</f>
        <v>4.0897171902037413E-2</v>
      </c>
      <c r="F13" s="64">
        <f>'Static Parameters'!C48</f>
        <v>56.118622650000006</v>
      </c>
      <c r="G13" s="64">
        <f ca="1">G12+SUM('Model - Supply'!T12:V12)</f>
        <v>94.422558526580715</v>
      </c>
      <c r="H13" s="64">
        <f ca="1">SUM(G$5:G13)/SUM(F$5:F13)-1</f>
        <v>0.41864829381978952</v>
      </c>
      <c r="I13" s="64">
        <f ca="1">H13*'Scenario Picker'!$B$10</f>
        <v>4.1864829381978955E-2</v>
      </c>
      <c r="J13" s="20">
        <f t="shared" ca="1" si="0"/>
        <v>8.838359935644588E-2</v>
      </c>
      <c r="K13" s="20">
        <f t="shared" ca="1" si="1"/>
        <v>4.0897171902037413E-2</v>
      </c>
    </row>
    <row r="14" spans="1:11" x14ac:dyDescent="0.35">
      <c r="A14" s="13">
        <v>2032</v>
      </c>
      <c r="B14" s="64">
        <f ca="1">'Model - Demand'!I14-'Model - Supply'!AH14</f>
        <v>15.061038892219386</v>
      </c>
      <c r="C14" s="64">
        <f ca="1">'Model - Demand'!Q14-'Model - Supply'!AI14</f>
        <v>9.3844958327361496</v>
      </c>
      <c r="D14" s="65">
        <f ca="1">B14/'Model - Demand'!I14</f>
        <v>9.0456607092051278E-2</v>
      </c>
      <c r="E14" s="65">
        <f ca="1">C14/'Model - Demand'!Q14</f>
        <v>4.4518527472595125E-2</v>
      </c>
      <c r="F14" s="64">
        <f>'Static Parameters'!C49</f>
        <v>60.068320431818186</v>
      </c>
      <c r="G14" s="64">
        <f ca="1">G13+SUM('Model - Supply'!T13:V13)</f>
        <v>106.2397228863237</v>
      </c>
      <c r="H14" s="64">
        <f ca="1">SUM(G$5:G14)/SUM(F$5:F14)-1</f>
        <v>0.47371292395834064</v>
      </c>
      <c r="I14" s="64">
        <f ca="1">H14*'Scenario Picker'!$B$10</f>
        <v>4.7371292395834069E-2</v>
      </c>
      <c r="J14" s="20">
        <f t="shared" ca="1" si="0"/>
        <v>9.0456607092051278E-2</v>
      </c>
      <c r="K14" s="20">
        <f t="shared" ca="1" si="1"/>
        <v>4.4518527472595125E-2</v>
      </c>
    </row>
    <row r="15" spans="1:11" x14ac:dyDescent="0.35">
      <c r="A15" s="13">
        <v>2033</v>
      </c>
      <c r="B15" s="64">
        <f ca="1">'Model - Demand'!I15-'Model - Supply'!AH15</f>
        <v>16.375592206330424</v>
      </c>
      <c r="C15" s="64">
        <f ca="1">'Model - Demand'!Q15-'Model - Supply'!AI15</f>
        <v>10.71572460571187</v>
      </c>
      <c r="D15" s="65">
        <f ca="1">B15/'Model - Demand'!I15</f>
        <v>9.389618252546264E-2</v>
      </c>
      <c r="E15" s="65">
        <f ca="1">C15/'Model - Demand'!Q15</f>
        <v>5.3265369054392421E-2</v>
      </c>
      <c r="F15" s="64">
        <f>'Static Parameters'!C50</f>
        <v>63.771162102272733</v>
      </c>
      <c r="G15" s="64">
        <f ca="1">G14+SUM('Model - Supply'!T14:V14)</f>
        <v>118.21132919999799</v>
      </c>
      <c r="H15" s="64">
        <f ca="1">SUM(G$5:G15)/SUM(F$5:F15)-1</f>
        <v>0.5280941799809753</v>
      </c>
      <c r="I15" s="64">
        <f ca="1">H15*'Scenario Picker'!$B$10</f>
        <v>5.2809417998097533E-2</v>
      </c>
      <c r="J15" s="20">
        <f t="shared" ca="1" si="0"/>
        <v>9.389618252546264E-2</v>
      </c>
      <c r="K15" s="20">
        <f t="shared" ca="1" si="1"/>
        <v>5.3265369054392421E-2</v>
      </c>
    </row>
    <row r="16" spans="1:11" x14ac:dyDescent="0.35">
      <c r="A16" s="13">
        <v>2034</v>
      </c>
      <c r="B16" s="64">
        <f ca="1">'Model - Demand'!I16-'Model - Supply'!AH16</f>
        <v>17.940521104223649</v>
      </c>
      <c r="C16" s="64">
        <f ca="1">'Model - Demand'!Q16-'Model - Supply'!AI16</f>
        <v>11.477278719977505</v>
      </c>
      <c r="D16" s="65">
        <f ca="1">B16/'Model - Demand'!I16</f>
        <v>9.8557542343209167E-2</v>
      </c>
      <c r="E16" s="65">
        <f ca="1">C16/'Model - Demand'!Q16</f>
        <v>5.9964877397010556E-2</v>
      </c>
      <c r="F16" s="64">
        <f>'Static Parameters'!C51</f>
        <v>67.227147661363645</v>
      </c>
      <c r="G16" s="64">
        <f ca="1">G15+SUM('Model - Supply'!T15:V15)</f>
        <v>130.26013519531162</v>
      </c>
      <c r="H16" s="64">
        <f ca="1">SUM(G$5:G16)/SUM(F$5:F16)-1</f>
        <v>0.58178098132572931</v>
      </c>
      <c r="I16" s="64">
        <f ca="1">H16*'Scenario Picker'!$B$10</f>
        <v>5.8178098132572936E-2</v>
      </c>
      <c r="J16" s="20">
        <f t="shared" ca="1" si="0"/>
        <v>9.8557542343209167E-2</v>
      </c>
      <c r="K16" s="20">
        <f t="shared" ca="1" si="1"/>
        <v>5.9964877397010556E-2</v>
      </c>
    </row>
    <row r="17" spans="1:11" x14ac:dyDescent="0.35">
      <c r="A17" s="13">
        <v>2035</v>
      </c>
      <c r="B17" s="64">
        <f ca="1">'Model - Demand'!I17-'Model - Supply'!AH17</f>
        <v>19.57409449512005</v>
      </c>
      <c r="C17" s="64">
        <f ca="1">'Model - Demand'!Q17-'Model - Supply'!AI17</f>
        <v>12.175724381189355</v>
      </c>
      <c r="D17" s="65">
        <f ca="1">B17/'Model - Demand'!I17</f>
        <v>0.10336102619592656</v>
      </c>
      <c r="E17" s="65">
        <f ca="1">C17/'Model - Demand'!Q17</f>
        <v>6.7090295433250915E-2</v>
      </c>
      <c r="F17" s="64">
        <f>'Static Parameters'!C52</f>
        <v>70.436277109090923</v>
      </c>
      <c r="G17" s="64">
        <f ca="1">G16+SUM('Model - Supply'!T16:V16)</f>
        <v>142.32905198521195</v>
      </c>
      <c r="H17" s="64">
        <f ca="1">SUM(G$5:G17)/SUM(F$5:F17)-1</f>
        <v>0.63478550272014367</v>
      </c>
      <c r="I17" s="64">
        <f ca="1">H17*'Scenario Picker'!$B$10</f>
        <v>6.3478550272014364E-2</v>
      </c>
      <c r="J17" s="20">
        <f t="shared" ca="1" si="0"/>
        <v>0.10336102619592656</v>
      </c>
      <c r="K17" s="20">
        <f t="shared" ca="1" si="1"/>
        <v>6.7090295433250915E-2</v>
      </c>
    </row>
    <row r="18" spans="1:11" x14ac:dyDescent="0.35">
      <c r="A18" s="13">
        <v>2036</v>
      </c>
      <c r="B18" s="64">
        <f ca="1">'Model - Demand'!I18-'Model - Supply'!AH18</f>
        <v>21.948715695500141</v>
      </c>
      <c r="C18" s="64">
        <f ca="1">'Model - Demand'!Q18-'Model - Supply'!AI18</f>
        <v>9.6419906726736428</v>
      </c>
      <c r="D18" s="65">
        <f ca="1">B18/'Model - Demand'!I18</f>
        <v>0.11174296651849086</v>
      </c>
      <c r="E18" s="65">
        <f ca="1">C18/'Model - Demand'!Q18</f>
        <v>5.6242837732194885E-2</v>
      </c>
      <c r="F18" s="64">
        <f>'Static Parameters'!C53</f>
        <v>73.398550445454561</v>
      </c>
      <c r="G18" s="64">
        <f ca="1">G17+SUM('Model - Supply'!T17:V17)</f>
        <v>154.36146800864921</v>
      </c>
      <c r="H18" s="64">
        <f ca="1">SUM(G$5:G18)/SUM(F$5:F18)-1</f>
        <v>0.68712883458837171</v>
      </c>
      <c r="I18" s="64">
        <f ca="1">H18*'Scenario Picker'!$B$10</f>
        <v>6.8712883458837179E-2</v>
      </c>
      <c r="J18" s="20">
        <f t="shared" ca="1" si="0"/>
        <v>0.11174296651849086</v>
      </c>
      <c r="K18" s="20">
        <f t="shared" ca="1" si="1"/>
        <v>5.6242837732194885E-2</v>
      </c>
    </row>
    <row r="19" spans="1:11" x14ac:dyDescent="0.35">
      <c r="A19" s="13">
        <v>2037</v>
      </c>
      <c r="B19" s="64">
        <f ca="1">'Model - Demand'!I19-'Model - Supply'!AH19</f>
        <v>24.421470408005717</v>
      </c>
      <c r="C19" s="64">
        <f ca="1">'Model - Demand'!Q19-'Model - Supply'!AI19</f>
        <v>7.0357749891485639</v>
      </c>
      <c r="D19" s="65">
        <f ca="1">B19/'Model - Demand'!I19</f>
        <v>0.12021163920099399</v>
      </c>
      <c r="E19" s="65">
        <f ca="1">C19/'Model - Demand'!Q19</f>
        <v>4.3627401535786182E-2</v>
      </c>
      <c r="F19" s="64">
        <f>'Static Parameters'!C54</f>
        <v>76.113967670454556</v>
      </c>
      <c r="G19" s="64">
        <f ca="1">G18+SUM('Model - Supply'!T18:V18)</f>
        <v>166.30168703836048</v>
      </c>
      <c r="H19" s="64">
        <f ca="1">SUM(G$5:G19)/SUM(F$5:F19)-1</f>
        <v>0.7388348109565499</v>
      </c>
      <c r="I19" s="64">
        <f ca="1">H19*'Scenario Picker'!$B$10</f>
        <v>7.3883481095654999E-2</v>
      </c>
      <c r="J19" s="20">
        <f t="shared" ca="1" si="0"/>
        <v>0.12021163920099399</v>
      </c>
      <c r="K19" s="20">
        <f t="shared" ca="1" si="1"/>
        <v>4.3627401535786182E-2</v>
      </c>
    </row>
    <row r="20" spans="1:11" x14ac:dyDescent="0.35">
      <c r="A20" s="13">
        <v>2038</v>
      </c>
      <c r="B20" s="64">
        <f ca="1">'Model - Demand'!I20-'Model - Supply'!AH20</f>
        <v>26.239000398770941</v>
      </c>
      <c r="C20" s="64">
        <f ca="1">'Model - Demand'!Q20-'Model - Supply'!AI20</f>
        <v>6.3834816061431638</v>
      </c>
      <c r="D20" s="65">
        <f ca="1">B20/'Model - Demand'!I20</f>
        <v>0.12521072845934958</v>
      </c>
      <c r="E20" s="65">
        <f ca="1">C20/'Model - Demand'!Q20</f>
        <v>4.2275153099754777E-2</v>
      </c>
      <c r="F20" s="64">
        <f>'Static Parameters'!C55</f>
        <v>78.582528784090925</v>
      </c>
      <c r="G20" s="64">
        <f ca="1">G19+SUM('Model - Supply'!T19:V19)</f>
        <v>178.08712701522646</v>
      </c>
      <c r="H20" s="64">
        <f ca="1">SUM(G$5:G20)/SUM(F$5:F20)-1</f>
        <v>0.78991747613035757</v>
      </c>
      <c r="I20" s="64">
        <f ca="1">H20*'Scenario Picker'!$B$10</f>
        <v>7.8991747613035762E-2</v>
      </c>
      <c r="J20" s="20">
        <f t="shared" ca="1" si="0"/>
        <v>0.12521072845934958</v>
      </c>
      <c r="K20" s="20">
        <f t="shared" ca="1" si="1"/>
        <v>4.2275153099754777E-2</v>
      </c>
    </row>
    <row r="21" spans="1:11" x14ac:dyDescent="0.35">
      <c r="A21" s="13">
        <v>2039</v>
      </c>
      <c r="B21" s="64">
        <f ca="1">'Model - Demand'!I21-'Model - Supply'!AH21</f>
        <v>27.709345078985194</v>
      </c>
      <c r="C21" s="64">
        <f ca="1">'Model - Demand'!Q21-'Model - Supply'!AI21</f>
        <v>5.9359889754126982</v>
      </c>
      <c r="D21" s="65">
        <f ca="1">B21/'Model - Demand'!I21</f>
        <v>0.12850723025155747</v>
      </c>
      <c r="E21" s="65">
        <f ca="1">C21/'Model - Demand'!Q21</f>
        <v>4.2208027520656638E-2</v>
      </c>
      <c r="F21" s="64">
        <f>'Static Parameters'!C56</f>
        <v>80.804233786363653</v>
      </c>
      <c r="G21" s="64">
        <f ca="1">G20+SUM('Model - Supply'!T20:V20)</f>
        <v>189.66221413262454</v>
      </c>
      <c r="H21" s="64">
        <f ca="1">SUM(G$5:G21)/SUM(F$5:F21)-1</f>
        <v>0.8403909506556968</v>
      </c>
      <c r="I21" s="64">
        <f ca="1">H21*'Scenario Picker'!$B$10</f>
        <v>8.4039095065569683E-2</v>
      </c>
      <c r="J21" s="20">
        <f t="shared" ca="1" si="0"/>
        <v>0.12850723025155747</v>
      </c>
      <c r="K21" s="20">
        <f t="shared" ca="1" si="1"/>
        <v>4.2208027520656638E-2</v>
      </c>
    </row>
    <row r="22" spans="1:11" x14ac:dyDescent="0.35">
      <c r="A22" s="13">
        <v>2040</v>
      </c>
      <c r="B22" s="64">
        <f ca="1">'Model - Demand'!I22-'Model - Supply'!AH22</f>
        <v>29.116939390023958</v>
      </c>
      <c r="C22" s="64">
        <f ca="1">'Model - Demand'!Q22-'Model - Supply'!AI22</f>
        <v>5.2715449164711288</v>
      </c>
      <c r="D22" s="65">
        <f ca="1">B22/'Model - Demand'!I22</f>
        <v>0.13154869596026564</v>
      </c>
      <c r="E22" s="65">
        <f ca="1">C22/'Model - Demand'!Q22</f>
        <v>4.0488736384208628E-2</v>
      </c>
      <c r="F22" s="64">
        <f>'Static Parameters'!C57</f>
        <v>82.77908267727274</v>
      </c>
      <c r="G22" s="64">
        <f ca="1">G21+SUM('Model - Supply'!T21:V21)</f>
        <v>200.97521040788834</v>
      </c>
      <c r="H22" s="64">
        <f ca="1">SUM(G$5:G22)/SUM(F$5:F22)-1</f>
        <v>0.89027143514416829</v>
      </c>
      <c r="I22" s="64">
        <f ca="1">H22*'Scenario Picker'!$B$10</f>
        <v>8.9027143514416832E-2</v>
      </c>
      <c r="J22" s="20">
        <f t="shared" ca="1" si="0"/>
        <v>0.13154869596026564</v>
      </c>
      <c r="K22" s="20">
        <f t="shared" ca="1" si="1"/>
        <v>4.0488736384208628E-2</v>
      </c>
    </row>
    <row r="23" spans="1:11" x14ac:dyDescent="0.35">
      <c r="A23" s="13">
        <v>2041</v>
      </c>
      <c r="B23" s="64">
        <f ca="1">'Model - Demand'!I23-'Model - Supply'!AH23</f>
        <v>30.532548163141399</v>
      </c>
      <c r="C23" s="64">
        <f ca="1">'Model - Demand'!Q23-'Model - Supply'!AI23</f>
        <v>4.2961110880327453</v>
      </c>
      <c r="D23" s="65">
        <f ca="1">B23/'Model - Demand'!I23</f>
        <v>0.13468638287842433</v>
      </c>
      <c r="E23" s="65">
        <f ca="1">C23/'Model - Demand'!Q23</f>
        <v>3.5891159146520406E-2</v>
      </c>
      <c r="F23" s="64">
        <f>'Static Parameters'!C58</f>
        <v>84.5070754568182</v>
      </c>
      <c r="G23" s="64">
        <f ca="1">G22+SUM('Model - Supply'!T22:V22)</f>
        <v>211.97098887800718</v>
      </c>
      <c r="H23" s="64">
        <f ca="1">SUM(G$5:G23)/SUM(F$5:F23)-1</f>
        <v>0.93957149908977411</v>
      </c>
      <c r="I23" s="64">
        <f ca="1">H23*'Scenario Picker'!$B$10</f>
        <v>9.3957149908977411E-2</v>
      </c>
      <c r="J23" s="20">
        <f t="shared" ca="1" si="0"/>
        <v>0.13468638287842433</v>
      </c>
      <c r="K23" s="20">
        <f t="shared" ca="1" si="1"/>
        <v>3.5891159146520406E-2</v>
      </c>
    </row>
    <row r="24" spans="1:11" x14ac:dyDescent="0.35">
      <c r="A24" s="13">
        <v>2042</v>
      </c>
      <c r="B24" s="64">
        <f ca="1">'Model - Demand'!I24-'Model - Supply'!AH24</f>
        <v>31.949926835542243</v>
      </c>
      <c r="C24" s="64">
        <f ca="1">'Model - Demand'!Q24-'Model - Supply'!AI24</f>
        <v>2.9911132018074227</v>
      </c>
      <c r="D24" s="65">
        <f ca="1">B24/'Model - Demand'!I24</f>
        <v>0.13790907504114197</v>
      </c>
      <c r="E24" s="65">
        <f ca="1">C24/'Model - Demand'!Q24</f>
        <v>2.7403170448118516E-2</v>
      </c>
      <c r="F24" s="64">
        <f>'Static Parameters'!C59</f>
        <v>85.988212125000018</v>
      </c>
      <c r="G24" s="64">
        <f ca="1">G23+SUM('Model - Supply'!T23:V23)</f>
        <v>222.59883111608471</v>
      </c>
      <c r="H24" s="64">
        <f ca="1">SUM(G$5:G24)/SUM(F$5:F24)-1</f>
        <v>0.98830377030451477</v>
      </c>
      <c r="I24" s="64">
        <f ca="1">H24*'Scenario Picker'!$B$10</f>
        <v>9.8830377030451486E-2</v>
      </c>
      <c r="J24" s="20">
        <f t="shared" ca="1" si="0"/>
        <v>0.13790907504114197</v>
      </c>
      <c r="K24" s="20">
        <f t="shared" ca="1" si="1"/>
        <v>2.7403170448118516E-2</v>
      </c>
    </row>
    <row r="25" spans="1:11" x14ac:dyDescent="0.35">
      <c r="A25" s="13">
        <v>2043</v>
      </c>
      <c r="B25" s="64">
        <f ca="1">'Model - Demand'!I25-'Model - Supply'!AH25</f>
        <v>33.369031834206822</v>
      </c>
      <c r="C25" s="64">
        <f ca="1">'Model - Demand'!Q25-'Model - Supply'!AI25</f>
        <v>1.365480000383684</v>
      </c>
      <c r="D25" s="65">
        <f ca="1">B25/'Model - Demand'!I25</f>
        <v>0.14123143206272962</v>
      </c>
      <c r="E25" s="65">
        <f ca="1">C25/'Model - Demand'!Q25</f>
        <v>1.3852058658085557E-2</v>
      </c>
      <c r="F25" s="64">
        <f>'Static Parameters'!C60</f>
        <v>87.222492681818196</v>
      </c>
      <c r="G25" s="64">
        <f ca="1">G24+SUM('Model - Supply'!T24:V24)</f>
        <v>232.81477438411031</v>
      </c>
      <c r="H25" s="64">
        <f ca="1">SUM(G$5:G25)/SUM(F$5:F25)-1</f>
        <v>1.0364850815484439</v>
      </c>
      <c r="I25" s="64">
        <f ca="1">H25*'Scenario Picker'!$B$10</f>
        <v>0.10364850815484439</v>
      </c>
      <c r="J25" s="20">
        <f t="shared" ca="1" si="0"/>
        <v>0.14123143206272962</v>
      </c>
      <c r="K25" s="20">
        <f t="shared" ca="1" si="1"/>
        <v>1.3852058658085557E-2</v>
      </c>
    </row>
    <row r="26" spans="1:11" x14ac:dyDescent="0.35">
      <c r="A26" s="13">
        <v>2044</v>
      </c>
      <c r="B26" s="64">
        <f ca="1">'Model - Demand'!I26-'Model - Supply'!AH26</f>
        <v>34.788658473200172</v>
      </c>
      <c r="C26" s="64">
        <f ca="1">'Model - Demand'!Q26-'Model - Supply'!AI26</f>
        <v>-0.55932055343110676</v>
      </c>
      <c r="D26" s="65">
        <f ca="1">B26/'Model - Demand'!I26</f>
        <v>0.14466271666608693</v>
      </c>
      <c r="E26" s="65">
        <f ca="1">C26/'Model - Demand'!Q26</f>
        <v>-6.3568501087258164E-3</v>
      </c>
      <c r="F26" s="64">
        <f>'Static Parameters'!C61</f>
        <v>88.209917127272746</v>
      </c>
      <c r="G26" s="64">
        <f ca="1">G25+SUM('Model - Supply'!T25:V25)</f>
        <v>242.58147833040607</v>
      </c>
      <c r="H26" s="64">
        <f ca="1">SUM(G$5:G26)/SUM(F$5:F26)-1</f>
        <v>1.0841389010212241</v>
      </c>
      <c r="I26" s="64">
        <f ca="1">H26*'Scenario Picker'!$B$10</f>
        <v>0.10841389010212242</v>
      </c>
      <c r="J26" s="20">
        <f t="shared" ca="1" si="0"/>
        <v>0.14466271666608693</v>
      </c>
      <c r="K26" s="20">
        <f t="shared" ca="1" si="1"/>
        <v>-6.3568501087258164E-3</v>
      </c>
    </row>
    <row r="27" spans="1:11" x14ac:dyDescent="0.35">
      <c r="A27" s="13">
        <v>2045</v>
      </c>
      <c r="B27" s="64">
        <f ca="1">'Model - Demand'!I27-'Model - Supply'!AH27</f>
        <v>36.178124416653134</v>
      </c>
      <c r="C27" s="64">
        <f ca="1">'Model - Demand'!Q27-'Model - Supply'!AI27</f>
        <v>-2.7487135884970684</v>
      </c>
      <c r="D27" s="65">
        <f ca="1">B27/'Model - Demand'!I27</f>
        <v>0.14809292419083367</v>
      </c>
      <c r="E27" s="65">
        <f ca="1">C27/'Model - Demand'!Q27</f>
        <v>-3.5512222344629689E-2</v>
      </c>
      <c r="F27" s="64">
        <f>'Static Parameters'!C62</f>
        <v>88.950485461363655</v>
      </c>
      <c r="G27" s="64">
        <f ca="1">G26+SUM('Model - Supply'!T26:V26)</f>
        <v>251.86840706193871</v>
      </c>
      <c r="H27" s="64">
        <f ca="1">SUM(G$5:G27)/SUM(F$5:F27)-1</f>
        <v>1.1312969829859485</v>
      </c>
      <c r="I27" s="64">
        <f ca="1">H27*'Scenario Picker'!$B$10</f>
        <v>0.11312969829859486</v>
      </c>
      <c r="J27" s="20">
        <f t="shared" ca="1" si="0"/>
        <v>0.14809292419083367</v>
      </c>
      <c r="K27" s="20">
        <f t="shared" ca="1" si="1"/>
        <v>-3.5512222344629689E-2</v>
      </c>
    </row>
    <row r="28" spans="1:11" x14ac:dyDescent="0.35">
      <c r="A28" s="13">
        <v>2046</v>
      </c>
      <c r="B28" s="64">
        <f ca="1">'Model - Demand'!I28-'Model - Supply'!AH28</f>
        <v>37.46046158605111</v>
      </c>
      <c r="C28" s="64">
        <f ca="1">'Model - Demand'!Q28-'Model - Supply'!AI28</f>
        <v>-5.1461274920278157</v>
      </c>
      <c r="D28" s="65">
        <f ca="1">B28/'Model - Demand'!I28</f>
        <v>0.15123193906139415</v>
      </c>
      <c r="E28" s="65">
        <f ca="1">C28/'Model - Demand'!Q28</f>
        <v>-7.6994631659367013E-2</v>
      </c>
      <c r="F28" s="64">
        <f>'Static Parameters'!C63</f>
        <v>89.444197684090923</v>
      </c>
      <c r="G28" s="64">
        <f ca="1">G27+SUM('Model - Supply'!T27:V27)</f>
        <v>260.65203212013597</v>
      </c>
      <c r="H28" s="64">
        <f ca="1">SUM(G$5:G28)/SUM(F$5:F28)-1</f>
        <v>1.1780005855794466</v>
      </c>
      <c r="I28" s="64">
        <f ca="1">H28*'Scenario Picker'!$B$10</f>
        <v>0.11780005855794468</v>
      </c>
      <c r="J28" s="20">
        <f t="shared" ca="1" si="0"/>
        <v>0.15123193906139415</v>
      </c>
      <c r="K28" s="20">
        <f t="shared" ca="1" si="1"/>
        <v>-7.6994631659367013E-2</v>
      </c>
    </row>
    <row r="29" spans="1:11" x14ac:dyDescent="0.35">
      <c r="A29" s="13">
        <v>2047</v>
      </c>
      <c r="B29" s="64">
        <f ca="1">'Model - Demand'!I29-'Model - Supply'!AH29</f>
        <v>38.50483375485851</v>
      </c>
      <c r="C29" s="64">
        <f ca="1">'Model - Demand'!Q29-'Model - Supply'!AI29</f>
        <v>-7.6551313833709287</v>
      </c>
      <c r="D29" s="65">
        <f ca="1">B29/'Model - Demand'!I29</f>
        <v>0.15358687789472764</v>
      </c>
      <c r="E29" s="65">
        <f ca="1">C29/'Model - Demand'!Q29</f>
        <v>-0.1359423248253728</v>
      </c>
      <c r="F29" s="64">
        <f>'Static Parameters'!C64</f>
        <v>89.691053795454565</v>
      </c>
      <c r="G29" s="64">
        <f ca="1">G28+SUM('Model - Supply'!T28:V28)</f>
        <v>268.91539165551376</v>
      </c>
      <c r="H29" s="64">
        <f ca="1">SUM(G$5:G29)/SUM(F$5:F29)-1</f>
        <v>1.2243010523442148</v>
      </c>
      <c r="I29" s="64">
        <f ca="1">H29*'Scenario Picker'!$B$10</f>
        <v>0.12243010523442149</v>
      </c>
      <c r="J29" s="20">
        <f t="shared" ca="1" si="0"/>
        <v>0.15358687789472764</v>
      </c>
      <c r="K29" s="20">
        <f t="shared" ca="1" si="1"/>
        <v>-0.1359423248253728</v>
      </c>
    </row>
    <row r="30" spans="1:11" x14ac:dyDescent="0.35">
      <c r="A30" s="13">
        <v>2048</v>
      </c>
      <c r="B30" s="64">
        <f ca="1">'Model - Demand'!I30-'Model - Supply'!AH30</f>
        <v>39.119300715886624</v>
      </c>
      <c r="C30" s="64">
        <f ca="1">'Model - Demand'!Q30-'Model - Supply'!AI30</f>
        <v>-10.098362194205542</v>
      </c>
      <c r="D30" s="65">
        <f ca="1">B30/'Model - Demand'!I30</f>
        <v>0.15444170117310357</v>
      </c>
      <c r="E30" s="65">
        <f ca="1">C30/'Model - Demand'!Q30</f>
        <v>-0.22028862515419026</v>
      </c>
      <c r="F30" s="64">
        <f>'Static Parameters'!C65</f>
        <v>89.691053795454565</v>
      </c>
      <c r="G30" s="64">
        <f ca="1">G29+SUM('Model - Supply'!T29:V29)</f>
        <v>276.64696686638376</v>
      </c>
      <c r="H30" s="64">
        <f ca="1">SUM(G$5:G30)/SUM(F$5:F30)-1</f>
        <v>1.2702596313872689</v>
      </c>
      <c r="I30" s="64">
        <f ca="1">H30*'Scenario Picker'!$B$10</f>
        <v>0.12702596313872691</v>
      </c>
      <c r="J30" s="20">
        <f t="shared" ca="1" si="0"/>
        <v>0.15444170117310357</v>
      </c>
      <c r="K30" s="20">
        <f t="shared" ca="1" si="1"/>
        <v>-0.22028862515419026</v>
      </c>
    </row>
    <row r="31" spans="1:11" x14ac:dyDescent="0.35">
      <c r="A31" s="13">
        <v>2049</v>
      </c>
      <c r="B31" s="64">
        <f ca="1">'Model - Demand'!I31-'Model - Supply'!AH31</f>
        <v>39.051342292128595</v>
      </c>
      <c r="C31" s="64">
        <f ca="1">'Model - Demand'!Q31-'Model - Supply'!AI31</f>
        <v>-12.103988240675449</v>
      </c>
      <c r="D31" s="65">
        <f ca="1">B31/'Model - Demand'!I31</f>
        <v>0.15285762810064921</v>
      </c>
      <c r="E31" s="65">
        <f ca="1">C31/'Model - Demand'!Q31</f>
        <v>-0.34148734332537517</v>
      </c>
      <c r="F31" s="64">
        <f>'Static Parameters'!C66</f>
        <v>89.691053795454565</v>
      </c>
      <c r="G31" s="64">
        <f ca="1">G30+SUM('Model - Supply'!T30:V30)</f>
        <v>283.83925780103215</v>
      </c>
      <c r="H31" s="64">
        <f ca="1">SUM(G$5:G31)/SUM(F$5:F31)-1</f>
        <v>1.3156233745232582</v>
      </c>
      <c r="I31" s="64">
        <f ca="1">H31*'Scenario Picker'!$B$10</f>
        <v>0.13156233745232582</v>
      </c>
      <c r="J31" s="20">
        <f t="shared" ca="1" si="0"/>
        <v>0.15285762810064921</v>
      </c>
      <c r="K31" s="20">
        <f t="shared" ca="1" si="1"/>
        <v>-0.34148734332537517</v>
      </c>
    </row>
    <row r="32" spans="1:11" x14ac:dyDescent="0.35">
      <c r="A32" s="13">
        <v>2050</v>
      </c>
      <c r="B32" s="64">
        <f ca="1">'Model - Demand'!I32-'Model - Supply'!AH32</f>
        <v>34.822756013502186</v>
      </c>
      <c r="C32" s="64">
        <f ca="1">'Model - Demand'!Q32-'Model - Supply'!AI32</f>
        <v>-3.1726046098776663</v>
      </c>
      <c r="D32" s="65">
        <f ca="1">B32/'Model - Demand'!I32</f>
        <v>0.13708440825091772</v>
      </c>
      <c r="E32" s="65">
        <f ca="1">C32/'Model - Demand'!Q32</f>
        <v>-9.0019343505868182E-2</v>
      </c>
      <c r="F32" s="64">
        <f>'Static Parameters'!C67</f>
        <v>89.691053795454565</v>
      </c>
      <c r="G32" s="64">
        <f ca="1">G31+SUM('Model - Supply'!T31:V31)</f>
        <v>290.48770062533868</v>
      </c>
      <c r="H32" s="64">
        <f ca="1">SUM(G$5:G32)/SUM(F$5:F32)-1</f>
        <v>1.3601857193327542</v>
      </c>
      <c r="I32" s="64">
        <f ca="1">H32*'Scenario Picker'!$B$10</f>
        <v>0.13601857193327543</v>
      </c>
      <c r="J32" s="20">
        <f t="shared" ca="1" si="0"/>
        <v>0.13708440825091772</v>
      </c>
      <c r="K32" s="20">
        <f t="shared" ca="1" si="1"/>
        <v>-9.0019343505868182E-2</v>
      </c>
    </row>
    <row r="33" spans="1:11" x14ac:dyDescent="0.35">
      <c r="A33" s="13">
        <v>2051</v>
      </c>
      <c r="B33" s="64">
        <f ca="1">'Model - Demand'!I33-'Model - Supply'!AH33</f>
        <v>30.985747583263958</v>
      </c>
      <c r="C33" s="64">
        <f ca="1">'Model - Demand'!Q33-'Model - Supply'!AI33</f>
        <v>-2.3276210516137041</v>
      </c>
      <c r="D33" s="65">
        <f ca="1">B33/'Model - Demand'!I33</f>
        <v>0.12274524350080027</v>
      </c>
      <c r="E33" s="65">
        <f ca="1">C33/'Model - Demand'!Q33</f>
        <v>-6.645840870573004E-2</v>
      </c>
      <c r="F33" s="64">
        <f>'Static Parameters'!C68</f>
        <v>89.691053795454565</v>
      </c>
      <c r="G33" s="64">
        <f ca="1">G32+SUM('Model - Supply'!T32:V32)</f>
        <v>296.59177220561924</v>
      </c>
      <c r="H33" s="64">
        <f ca="1">SUM(G$5:G33)/SUM(F$5:F33)-1</f>
        <v>1.4037778834806014</v>
      </c>
      <c r="I33" s="64">
        <f ca="1">H33*'Scenario Picker'!$B$10</f>
        <v>0.14037778834806014</v>
      </c>
      <c r="J33" s="20">
        <f t="shared" ca="1" si="0"/>
        <v>0.12274524350080027</v>
      </c>
      <c r="K33" s="20">
        <f t="shared" ca="1" si="1"/>
        <v>-6.645840870573004E-2</v>
      </c>
    </row>
    <row r="34" spans="1:11" x14ac:dyDescent="0.35">
      <c r="A34" s="13">
        <v>2052</v>
      </c>
      <c r="B34" s="64">
        <f ca="1">'Model - Demand'!I34-'Model - Supply'!AH34</f>
        <v>27.686942359584719</v>
      </c>
      <c r="C34" s="64">
        <f ca="1">'Model - Demand'!Q34-'Model - Supply'!AI34</f>
        <v>-1.7876642299451007</v>
      </c>
      <c r="D34" s="65">
        <f ca="1">B34/'Model - Demand'!I34</f>
        <v>0.11042670168844745</v>
      </c>
      <c r="E34" s="65">
        <f ca="1">C34/'Model - Demand'!Q34</f>
        <v>-5.139016628425052E-2</v>
      </c>
      <c r="F34" s="64">
        <f>'Static Parameters'!C69</f>
        <v>89.691053795454565</v>
      </c>
      <c r="G34" s="64">
        <f ca="1">G33+SUM('Model - Supply'!T33:V33)</f>
        <v>302.10637800737618</v>
      </c>
      <c r="H34" s="64">
        <f ca="1">SUM(G$5:G34)/SUM(F$5:F34)-1</f>
        <v>1.4462386720643816</v>
      </c>
      <c r="I34" s="64">
        <f ca="1">H34*'Scenario Picker'!$B$10</f>
        <v>0.14462386720643816</v>
      </c>
      <c r="J34" s="20">
        <f t="shared" ca="1" si="0"/>
        <v>0.11042670168844745</v>
      </c>
      <c r="K34" s="20">
        <f t="shared" ca="1" si="1"/>
        <v>-5.139016628425052E-2</v>
      </c>
    </row>
    <row r="35" spans="1:11" x14ac:dyDescent="0.35">
      <c r="A35" s="13">
        <v>2053</v>
      </c>
      <c r="B35" s="64">
        <f ca="1">'Model - Demand'!I35-'Model - Supply'!AH35</f>
        <v>24.217191884200275</v>
      </c>
      <c r="C35" s="64">
        <f ca="1">'Model - Demand'!Q35-'Model - Supply'!AI35</f>
        <v>-1.4460808113460928</v>
      </c>
      <c r="D35" s="65">
        <f ca="1">B35/'Model - Demand'!I35</f>
        <v>9.7299724013727662E-2</v>
      </c>
      <c r="E35" s="65">
        <f ca="1">C35/'Model - Demand'!Q35</f>
        <v>-4.1876980289068E-2</v>
      </c>
      <c r="F35" s="64">
        <f>'Static Parameters'!C70</f>
        <v>89.691053795454565</v>
      </c>
      <c r="G35" s="64">
        <f ca="1">G34+SUM('Model - Supply'!T34:V34)</f>
        <v>306.98375042154333</v>
      </c>
      <c r="H35" s="64">
        <f ca="1">SUM(G$5:G35)/SUM(F$5:F35)-1</f>
        <v>1.4874116212536652</v>
      </c>
      <c r="I35" s="64">
        <f ca="1">H35*'Scenario Picker'!$B$10</f>
        <v>0.14874116212536653</v>
      </c>
      <c r="J35" s="20">
        <f t="shared" ca="1" si="0"/>
        <v>9.7299724013727662E-2</v>
      </c>
      <c r="K35" s="20">
        <f t="shared" ca="1" si="1"/>
        <v>-4.1876980289068E-2</v>
      </c>
    </row>
    <row r="36" spans="1:11" x14ac:dyDescent="0.35">
      <c r="A36" s="13">
        <v>2054</v>
      </c>
      <c r="B36" s="64">
        <f ca="1">'Model - Demand'!I36-'Model - Supply'!AH36</f>
        <v>20.214481575393847</v>
      </c>
      <c r="C36" s="64">
        <f ca="1">'Model - Demand'!Q36-'Model - Supply'!AI36</f>
        <v>-1.2340414044664172</v>
      </c>
      <c r="D36" s="65">
        <f ca="1">B36/'Model - Demand'!I36</f>
        <v>8.1858294783666977E-2</v>
      </c>
      <c r="E36" s="65">
        <f ca="1">C36/'Model - Demand'!Q36</f>
        <v>-3.6018430599836476E-2</v>
      </c>
      <c r="F36" s="64">
        <f>'Static Parameters'!C71</f>
        <v>89.691053795454565</v>
      </c>
      <c r="G36" s="64">
        <f ca="1">G35+SUM('Model - Supply'!T35:V35)</f>
        <v>311.21532211808523</v>
      </c>
      <c r="H36" s="64">
        <f ca="1">SUM(G$5:G36)/SUM(F$5:F36)-1</f>
        <v>1.5271617247164495</v>
      </c>
      <c r="I36" s="64">
        <f ca="1">H36*'Scenario Picker'!$B$10</f>
        <v>0.15271617247164496</v>
      </c>
      <c r="J36" s="20">
        <f t="shared" ca="1" si="0"/>
        <v>8.1858294783666977E-2</v>
      </c>
      <c r="K36" s="20">
        <f t="shared" ca="1" si="1"/>
        <v>-3.6018430599836476E-2</v>
      </c>
    </row>
    <row r="37" spans="1:11" x14ac:dyDescent="0.35">
      <c r="A37" s="13">
        <v>2055</v>
      </c>
      <c r="B37" s="64">
        <f ca="1">'Model - Demand'!I37-'Model - Supply'!AH37</f>
        <v>15.737706864924718</v>
      </c>
      <c r="C37" s="64">
        <f ca="1">'Model - Demand'!Q37-'Model - Supply'!AI37</f>
        <v>-1.1067781747064345</v>
      </c>
      <c r="D37" s="65">
        <f ca="1">B37/'Model - Demand'!I37</f>
        <v>6.4264375510753743E-2</v>
      </c>
      <c r="E37" s="65">
        <f ca="1">C37/'Model - Demand'!Q37</f>
        <v>-3.2574997798068085E-2</v>
      </c>
      <c r="F37" s="64">
        <f>'Static Parameters'!C72</f>
        <v>89.691053795454565</v>
      </c>
      <c r="G37" s="64">
        <f ca="1">G36+SUM('Model - Supply'!T36:V36)</f>
        <v>314.81510187063361</v>
      </c>
      <c r="H37" s="64">
        <f ca="1">SUM(G$5:G37)/SUM(F$5:F37)-1</f>
        <v>1.5653810497501195</v>
      </c>
      <c r="I37" s="64">
        <f ca="1">H37*'Scenario Picker'!$B$10</f>
        <v>0.15653810497501197</v>
      </c>
      <c r="J37" s="20">
        <f t="shared" ca="1" si="0"/>
        <v>6.4264375510753743E-2</v>
      </c>
      <c r="K37" s="20">
        <f t="shared" ca="1" si="1"/>
        <v>-3.2574997798068085E-2</v>
      </c>
    </row>
    <row r="38" spans="1:11" x14ac:dyDescent="0.35">
      <c r="A38" s="13">
        <v>2056</v>
      </c>
      <c r="B38" s="64">
        <f ca="1">'Model - Demand'!I38-'Model - Supply'!AH38</f>
        <v>11.129383607301918</v>
      </c>
      <c r="C38" s="64">
        <f ca="1">'Model - Demand'!Q38-'Model - Supply'!AI38</f>
        <v>-1.0341638543384448</v>
      </c>
      <c r="D38" s="65">
        <f ca="1">B38/'Model - Demand'!I38</f>
        <v>4.5849028992501609E-2</v>
      </c>
      <c r="E38" s="65">
        <f ca="1">C38/'Model - Demand'!Q38</f>
        <v>-3.0707421739751356E-2</v>
      </c>
      <c r="F38" s="64">
        <f>'Static Parameters'!C73</f>
        <v>89.691053795454565</v>
      </c>
      <c r="G38" s="64">
        <f ca="1">G37+SUM('Model - Supply'!T37:V37)</f>
        <v>317.81243186831523</v>
      </c>
      <c r="H38" s="64">
        <f ca="1">SUM(G$5:G38)/SUM(F$5:F38)-1</f>
        <v>1.6019900694617228</v>
      </c>
      <c r="I38" s="64">
        <f ca="1">H38*'Scenario Picker'!$B$10</f>
        <v>0.16019900694617228</v>
      </c>
      <c r="J38" s="20">
        <f t="shared" ca="1" si="0"/>
        <v>4.5849028992501609E-2</v>
      </c>
      <c r="K38" s="20">
        <f t="shared" ca="1" si="1"/>
        <v>-3.0707421739751356E-2</v>
      </c>
    </row>
    <row r="39" spans="1:11" x14ac:dyDescent="0.35">
      <c r="A39" s="13">
        <v>2057</v>
      </c>
      <c r="B39" s="64">
        <f ca="1">'Model - Demand'!I39-'Model - Supply'!AH39</f>
        <v>6.8397715141965421</v>
      </c>
      <c r="C39" s="64">
        <f ca="1">'Model - Demand'!Q39-'Model - Supply'!AI39</f>
        <v>-0.9964224246208957</v>
      </c>
      <c r="D39" s="65">
        <f ca="1">B39/'Model - Demand'!I39</f>
        <v>2.8439343424334552E-2</v>
      </c>
      <c r="E39" s="65">
        <f ca="1">C39/'Model - Demand'!Q39</f>
        <v>-2.9861830985674846E-2</v>
      </c>
      <c r="F39" s="64">
        <f>'Static Parameters'!C74</f>
        <v>89.691053795454565</v>
      </c>
      <c r="G39" s="64">
        <f ca="1">G38+SUM('Model - Supply'!T38:V38)</f>
        <v>320.25106439276442</v>
      </c>
      <c r="H39" s="64">
        <f ca="1">SUM(G$5:G39)/SUM(F$5:F39)-1</f>
        <v>1.6369383351188844</v>
      </c>
      <c r="I39" s="64">
        <f ca="1">H39*'Scenario Picker'!$B$10</f>
        <v>0.16369383351188846</v>
      </c>
      <c r="J39" s="20">
        <f t="shared" ca="1" si="0"/>
        <v>2.8439343424334552E-2</v>
      </c>
      <c r="K39" s="20">
        <f t="shared" ca="1" si="1"/>
        <v>-2.9861830985674846E-2</v>
      </c>
    </row>
    <row r="40" spans="1:11" x14ac:dyDescent="0.35">
      <c r="A40" s="13">
        <v>2058</v>
      </c>
      <c r="B40" s="64">
        <f ca="1">'Model - Demand'!I40-'Model - Supply'!AH40</f>
        <v>3.2765661348653623</v>
      </c>
      <c r="C40" s="64">
        <f ca="1">'Model - Demand'!Q40-'Model - Supply'!AI40</f>
        <v>-0.98045780184401821</v>
      </c>
      <c r="D40" s="65">
        <f ca="1">B40/'Model - Demand'!I40</f>
        <v>1.3756011123932937E-2</v>
      </c>
      <c r="E40" s="65">
        <f ca="1">C40/'Model - Demand'!Q40</f>
        <v>-2.9668627474237735E-2</v>
      </c>
      <c r="F40" s="64">
        <f>'Static Parameters'!C75</f>
        <v>89.691053795454565</v>
      </c>
      <c r="G40" s="64">
        <f ca="1">G39+SUM('Model - Supply'!T39:V39)</f>
        <v>322.18879752309994</v>
      </c>
      <c r="H40" s="64">
        <f ca="1">SUM(G$5:G40)/SUM(F$5:F40)-1</f>
        <v>1.6702048665713281</v>
      </c>
      <c r="I40" s="64">
        <f ca="1">H40*'Scenario Picker'!$B$10</f>
        <v>0.16702048665713282</v>
      </c>
      <c r="J40" s="20">
        <f t="shared" ca="1" si="0"/>
        <v>1.3756011123932937E-2</v>
      </c>
      <c r="K40" s="20">
        <f t="shared" ca="1" si="1"/>
        <v>-2.9668627474237735E-2</v>
      </c>
    </row>
    <row r="41" spans="1:11" x14ac:dyDescent="0.35">
      <c r="A41" s="13">
        <v>2059</v>
      </c>
      <c r="B41" s="64">
        <f ca="1">'Model - Demand'!I41-'Model - Supply'!AH41</f>
        <v>0.68693810832587587</v>
      </c>
      <c r="C41" s="64">
        <f ca="1">'Model - Demand'!Q41-'Model - Supply'!AI41</f>
        <v>-0.97741282777752758</v>
      </c>
      <c r="D41" s="65">
        <f ca="1">B41/'Model - Demand'!I41</f>
        <v>2.9130592954629275E-3</v>
      </c>
      <c r="E41" s="65">
        <f ca="1">C41/'Model - Demand'!Q41</f>
        <v>-2.9874780167820508E-2</v>
      </c>
      <c r="F41" s="64">
        <f>'Static Parameters'!C76</f>
        <v>89.691053795454565</v>
      </c>
      <c r="G41" s="64">
        <f ca="1">G40+SUM('Model - Supply'!T40:V40)</f>
        <v>323.69438598397659</v>
      </c>
      <c r="H41" s="64">
        <f ca="1">SUM(G$5:G41)/SUM(F$5:F41)-1</f>
        <v>1.7017973047813584</v>
      </c>
      <c r="I41" s="64">
        <f ca="1">H41*'Scenario Picker'!$B$10</f>
        <v>0.17017973047813584</v>
      </c>
      <c r="J41" s="20">
        <f t="shared" ca="1" si="0"/>
        <v>2.9130592954629275E-3</v>
      </c>
      <c r="K41" s="20">
        <f t="shared" ca="1" si="1"/>
        <v>-2.9874780167820508E-2</v>
      </c>
    </row>
    <row r="42" spans="1:11" x14ac:dyDescent="0.35">
      <c r="A42" s="13">
        <v>2060</v>
      </c>
      <c r="B42" s="64">
        <f ca="1">'Model - Demand'!I42-'Model - Supply'!AH42</f>
        <v>-0.91480621986050892</v>
      </c>
      <c r="C42" s="64">
        <f ca="1">'Model - Demand'!Q42-'Model - Supply'!AI42</f>
        <v>-0.98135252058430211</v>
      </c>
      <c r="D42" s="65">
        <f ca="1">B42/'Model - Demand'!I42</f>
        <v>-3.9198216527735526E-3</v>
      </c>
      <c r="E42" s="65">
        <f ca="1">C42/'Model - Demand'!Q42</f>
        <v>-3.0307995203560659E-2</v>
      </c>
      <c r="F42" s="64">
        <f>'Static Parameters'!C77</f>
        <v>89.691053795454565</v>
      </c>
      <c r="G42" s="64">
        <f ca="1">G41+SUM('Model - Supply'!T41:V41)</f>
        <v>324.84162407184692</v>
      </c>
      <c r="H42" s="64">
        <f ca="1">SUM(G$5:G42)/SUM(F$5:F42)-1</f>
        <v>1.7317490820744146</v>
      </c>
      <c r="I42" s="64">
        <f ca="1">H42*'Scenario Picker'!$B$10</f>
        <v>0.17317490820744147</v>
      </c>
      <c r="J42" s="20">
        <f t="shared" ca="1" si="0"/>
        <v>-3.9198216527735526E-3</v>
      </c>
      <c r="K42" s="20">
        <f t="shared" ca="1" si="1"/>
        <v>-3.0307995203560659E-2</v>
      </c>
    </row>
    <row r="43" spans="1:11" x14ac:dyDescent="0.35">
      <c r="A43" s="13">
        <v>2061</v>
      </c>
      <c r="B43" s="64">
        <f ca="1">'Model - Demand'!I43-'Model - Supply'!AH43</f>
        <v>-1.7436802013998545</v>
      </c>
      <c r="C43" s="64">
        <f ca="1">'Model - Demand'!Q43-'Model - Supply'!AI43</f>
        <v>-0.98834881569133159</v>
      </c>
      <c r="D43" s="65">
        <f ca="1">B43/'Model - Demand'!I43</f>
        <v>-7.5516386018628949E-3</v>
      </c>
      <c r="E43" s="65">
        <f ca="1">C43/'Model - Demand'!Q43</f>
        <v>-3.0851733862728884E-2</v>
      </c>
      <c r="F43" s="64">
        <f>'Static Parameters'!C78</f>
        <v>89.691053795454565</v>
      </c>
      <c r="G43" s="64">
        <f ca="1">G42+SUM('Model - Supply'!T42:V42)</f>
        <v>325.70245030958591</v>
      </c>
      <c r="H43" s="64">
        <f ca="1">SUM(G$5:G43)/SUM(F$5:F43)-1</f>
        <v>1.760114703717687</v>
      </c>
      <c r="I43" s="64">
        <f ca="1">H43*'Scenario Picker'!$B$10</f>
        <v>0.1760114703717687</v>
      </c>
      <c r="J43" s="20">
        <f t="shared" ca="1" si="0"/>
        <v>-7.5516386018628949E-3</v>
      </c>
      <c r="K43" s="20">
        <f t="shared" ca="1" si="1"/>
        <v>-3.0851733862728884E-2</v>
      </c>
    </row>
    <row r="44" spans="1:11" x14ac:dyDescent="0.35">
      <c r="A44" s="13">
        <v>2062</v>
      </c>
      <c r="B44" s="64">
        <f ca="1">'Model - Demand'!I44-'Model - Supply'!AH44</f>
        <v>-2.1503716935401656</v>
      </c>
      <c r="C44" s="64">
        <f ca="1">'Model - Demand'!Q44-'Model - Supply'!AI44</f>
        <v>-0.99587236084745001</v>
      </c>
      <c r="D44" s="65">
        <f ca="1">B44/'Model - Demand'!I44</f>
        <v>-9.4154530677077793E-3</v>
      </c>
      <c r="E44" s="65">
        <f ca="1">C44/'Model - Demand'!Q44</f>
        <v>-3.1428694129660928E-2</v>
      </c>
      <c r="F44" s="64">
        <f>'Static Parameters'!C79</f>
        <v>89.691053795454565</v>
      </c>
      <c r="G44" s="64">
        <f ca="1">G43+SUM('Model - Supply'!T43:V43)</f>
        <v>326.34126345288217</v>
      </c>
      <c r="H44" s="64">
        <f ca="1">SUM(G$5:G44)/SUM(F$5:F44)-1</f>
        <v>1.7869639577622216</v>
      </c>
      <c r="I44" s="64">
        <f ca="1">H44*'Scenario Picker'!$B$10</f>
        <v>0.17869639577622218</v>
      </c>
      <c r="J44" s="20">
        <f t="shared" ca="1" si="0"/>
        <v>-9.4154530677077793E-3</v>
      </c>
      <c r="K44" s="20">
        <f t="shared" ca="1" si="1"/>
        <v>-3.1428694129660928E-2</v>
      </c>
    </row>
    <row r="45" spans="1:11" x14ac:dyDescent="0.35">
      <c r="A45" s="13">
        <v>2063</v>
      </c>
      <c r="B45" s="64">
        <f ca="1">'Model - Demand'!I45-'Model - Supply'!AH45</f>
        <v>-2.4679613737459931</v>
      </c>
      <c r="C45" s="64">
        <f ca="1">'Model - Demand'!Q45-'Model - Supply'!AI45</f>
        <v>-1.0021535733228895</v>
      </c>
      <c r="D45" s="65">
        <f ca="1">B45/'Model - Demand'!I45</f>
        <v>-1.0927421729067537E-2</v>
      </c>
      <c r="E45" s="65">
        <f ca="1">C45/'Model - Demand'!Q45</f>
        <v>-3.1982219106497081E-2</v>
      </c>
      <c r="F45" s="64">
        <f>'Static Parameters'!C80</f>
        <v>89.691053795454565</v>
      </c>
      <c r="G45" s="64">
        <f ca="1">G44+SUM('Model - Supply'!T44:V44)</f>
        <v>326.81177208925743</v>
      </c>
      <c r="H45" s="64">
        <f ca="1">SUM(G$5:G45)/SUM(F$5:F45)-1</f>
        <v>1.8123761134931788</v>
      </c>
      <c r="I45" s="64">
        <f ca="1">H45*'Scenario Picker'!$B$10</f>
        <v>0.1812376113493179</v>
      </c>
      <c r="J45" s="20">
        <f t="shared" ca="1" si="0"/>
        <v>-1.0927421729067537E-2</v>
      </c>
      <c r="K45" s="20">
        <f t="shared" ca="1" si="1"/>
        <v>-3.1982219106497081E-2</v>
      </c>
    </row>
    <row r="46" spans="1:11" x14ac:dyDescent="0.35">
      <c r="A46" s="13">
        <v>2064</v>
      </c>
      <c r="B46" s="64">
        <f ca="1">'Model - Demand'!I46-'Model - Supply'!AH46</f>
        <v>-2.8802825903363782</v>
      </c>
      <c r="C46" s="64">
        <f ca="1">'Model - Demand'!Q46-'Model - Supply'!AI46</f>
        <v>-1.0062727740341053</v>
      </c>
      <c r="D46" s="65">
        <f ca="1">B46/'Model - Demand'!I46</f>
        <v>-1.2898786512140532E-2</v>
      </c>
      <c r="E46" s="65">
        <f ca="1">C46/'Model - Demand'!Q46</f>
        <v>-3.2480630175407074E-2</v>
      </c>
      <c r="F46" s="64">
        <f>'Static Parameters'!C81</f>
        <v>89.691053795454565</v>
      </c>
      <c r="G46" s="64">
        <f ca="1">G45+SUM('Model - Supply'!T45:V45)</f>
        <v>327.156440159753</v>
      </c>
      <c r="H46" s="64">
        <f ca="1">SUM(G$5:G46)/SUM(F$5:F46)-1</f>
        <v>1.8364349445010077</v>
      </c>
      <c r="I46" s="64">
        <f ca="1">H46*'Scenario Picker'!$B$10</f>
        <v>0.18364349445010078</v>
      </c>
      <c r="J46" s="20">
        <f t="shared" ca="1" si="0"/>
        <v>-1.2898786512140532E-2</v>
      </c>
      <c r="K46" s="20">
        <f t="shared" ca="1" si="1"/>
        <v>-3.2480630175407074E-2</v>
      </c>
    </row>
    <row r="47" spans="1:11" x14ac:dyDescent="0.35">
      <c r="A47" s="13">
        <v>2065</v>
      </c>
      <c r="B47" s="64">
        <f ca="1">'Model - Demand'!I47-'Model - Supply'!AH47</f>
        <v>-3.3791145451176874</v>
      </c>
      <c r="C47" s="64">
        <f ca="1">'Model - Demand'!Q47-'Model - Supply'!AI47</f>
        <v>-1.0076680803357014</v>
      </c>
      <c r="D47" s="65">
        <f ca="1">B47/'Model - Demand'!I47</f>
        <v>-1.5307974697471962E-2</v>
      </c>
      <c r="E47" s="65">
        <f ca="1">C47/'Model - Demand'!Q47</f>
        <v>-3.2902378377821874E-2</v>
      </c>
      <c r="F47" s="64">
        <f>'Static Parameters'!C82</f>
        <v>89.691053795454565</v>
      </c>
      <c r="G47" s="64">
        <f ca="1">G46+SUM('Model - Supply'!T46:V46)</f>
        <v>327.4077112168801</v>
      </c>
      <c r="H47" s="64">
        <f ca="1">SUM(G$5:G47)/SUM(F$5:F47)-1</f>
        <v>1.8592249700241683</v>
      </c>
      <c r="I47" s="64">
        <f ca="1">H47*'Scenario Picker'!$B$10</f>
        <v>0.18592249700241684</v>
      </c>
      <c r="J47" s="20">
        <f t="shared" ca="1" si="0"/>
        <v>-1.5307974697471962E-2</v>
      </c>
      <c r="K47" s="20">
        <f t="shared" ca="1" si="1"/>
        <v>-3.2902378377821874E-2</v>
      </c>
    </row>
    <row r="48" spans="1:11" x14ac:dyDescent="0.35">
      <c r="A48" s="13">
        <v>2066</v>
      </c>
      <c r="B48" s="64">
        <f ca="1">'Model - Demand'!I48-'Model - Supply'!AH48</f>
        <v>-3.8282195034088602</v>
      </c>
      <c r="C48" s="64">
        <f ca="1">'Model - Demand'!Q48-'Model - Supply'!AI48</f>
        <v>-1.0061066846739095</v>
      </c>
      <c r="D48" s="65">
        <f ca="1">B48/'Model - Demand'!I48</f>
        <v>-1.7545431072797418E-2</v>
      </c>
      <c r="E48" s="65">
        <f ca="1">C48/'Model - Demand'!Q48</f>
        <v>-3.3235805944904058E-2</v>
      </c>
      <c r="F48" s="64">
        <f>'Static Parameters'!C83</f>
        <v>89.691053795454565</v>
      </c>
      <c r="G48" s="64">
        <f ca="1">G47+SUM('Model - Supply'!T47:V47)</f>
        <v>327.58996991128384</v>
      </c>
      <c r="H48" s="64">
        <f ca="1">SUM(G$5:G48)/SUM(F$5:F48)-1</f>
        <v>1.880828906167666</v>
      </c>
      <c r="I48" s="64">
        <f ca="1">H48*'Scenario Picker'!$B$10</f>
        <v>0.18808289061676661</v>
      </c>
      <c r="J48" s="20">
        <f t="shared" ca="1" si="0"/>
        <v>-1.7545431072797418E-2</v>
      </c>
      <c r="K48" s="20">
        <f t="shared" ca="1" si="1"/>
        <v>-3.3235805944904058E-2</v>
      </c>
    </row>
    <row r="49" spans="1:11" x14ac:dyDescent="0.35">
      <c r="A49" s="13">
        <v>2067</v>
      </c>
      <c r="B49" s="64">
        <f ca="1">'Model - Demand'!I49-'Model - Supply'!AH49</f>
        <v>-4.0822468268690955</v>
      </c>
      <c r="C49" s="64">
        <f ca="1">'Model - Demand'!Q49-'Model - Supply'!AI49</f>
        <v>-1.0014148192051024</v>
      </c>
      <c r="D49" s="65">
        <f ca="1">B49/'Model - Demand'!I49</f>
        <v>-1.8930121214791113E-2</v>
      </c>
      <c r="E49" s="65">
        <f ca="1">C49/'Model - Demand'!Q49</f>
        <v>-3.3470570692804201E-2</v>
      </c>
      <c r="F49" s="64">
        <f>'Static Parameters'!C84</f>
        <v>89.691053795454565</v>
      </c>
      <c r="G49" s="64">
        <f ca="1">G48+SUM('Model - Supply'!T48:V48)</f>
        <v>327.7214712528862</v>
      </c>
      <c r="H49" s="64">
        <f ca="1">SUM(G$5:G49)/SUM(F$5:F49)-1</f>
        <v>1.9013260929184823</v>
      </c>
      <c r="I49" s="64">
        <f ca="1">H49*'Scenario Picker'!$B$10</f>
        <v>0.19013260929184825</v>
      </c>
      <c r="J49" s="20">
        <f t="shared" ca="1" si="0"/>
        <v>-1.8930121214791113E-2</v>
      </c>
      <c r="K49" s="20">
        <f t="shared" ca="1" si="1"/>
        <v>-3.3470570692804201E-2</v>
      </c>
    </row>
    <row r="50" spans="1:11" x14ac:dyDescent="0.35">
      <c r="A50" s="13">
        <v>2068</v>
      </c>
      <c r="B50" s="64">
        <f ca="1">'Model - Demand'!I50-'Model - Supply'!AH50</f>
        <v>-4.0898498115374764</v>
      </c>
      <c r="C50" s="64">
        <f ca="1">'Model - Demand'!Q50-'Model - Supply'!AI50</f>
        <v>-0.99377626548585596</v>
      </c>
      <c r="D50" s="65">
        <f ca="1">B50/'Model - Demand'!I50</f>
        <v>-1.9189749110220151E-2</v>
      </c>
      <c r="E50" s="65">
        <f ca="1">C50/'Model - Demand'!Q50</f>
        <v>-3.360822109956154E-2</v>
      </c>
      <c r="F50" s="64">
        <f>'Static Parameters'!C85</f>
        <v>89.691053795454565</v>
      </c>
      <c r="G50" s="64">
        <f ca="1">G49+SUM('Model - Supply'!T49:V49)</f>
        <v>327.81588114403957</v>
      </c>
      <c r="H50" s="64">
        <f ca="1">SUM(G$5:G50)/SUM(F$5:F50)-1</f>
        <v>1.9207916085817307</v>
      </c>
      <c r="I50" s="64">
        <f ca="1">H50*'Scenario Picker'!$B$10</f>
        <v>0.19207916085817309</v>
      </c>
      <c r="J50" s="20">
        <f t="shared" ca="1" si="0"/>
        <v>-1.9189749110220151E-2</v>
      </c>
      <c r="K50" s="20">
        <f t="shared" ca="1" si="1"/>
        <v>-3.360822109956154E-2</v>
      </c>
    </row>
    <row r="51" spans="1:11" x14ac:dyDescent="0.35">
      <c r="A51" s="13">
        <v>2069</v>
      </c>
      <c r="B51" s="64">
        <f ca="1">'Model - Demand'!I51-'Model - Supply'!AH51</f>
        <v>-3.9214013662382854</v>
      </c>
      <c r="C51" s="64">
        <f ca="1">'Model - Demand'!Q51-'Model - Supply'!AI51</f>
        <v>-0.98329763993766051</v>
      </c>
      <c r="D51" s="65">
        <f ca="1">B51/'Model - Demand'!I51</f>
        <v>-1.8617316320256212E-2</v>
      </c>
      <c r="E51" s="65">
        <f ca="1">C51/'Model - Demand'!Q51</f>
        <v>-3.3647728220053512E-2</v>
      </c>
      <c r="F51" s="64">
        <f>'Static Parameters'!C86</f>
        <v>89.691053795454565</v>
      </c>
      <c r="G51" s="64">
        <f ca="1">G50+SUM('Model - Supply'!T50:V50)</f>
        <v>327.88339497340291</v>
      </c>
      <c r="H51" s="64">
        <f ca="1">SUM(G$5:G51)/SUM(F$5:F51)-1</f>
        <v>1.9392958320261684</v>
      </c>
      <c r="I51" s="64">
        <f ca="1">H51*'Scenario Picker'!$B$10</f>
        <v>0.19392958320261686</v>
      </c>
      <c r="J51" s="20">
        <f t="shared" ca="1" si="0"/>
        <v>-1.8617316320256212E-2</v>
      </c>
      <c r="K51" s="20">
        <f t="shared" ca="1" si="1"/>
        <v>-3.3647728220053512E-2</v>
      </c>
    </row>
    <row r="52" spans="1:11" x14ac:dyDescent="0.35">
      <c r="A52" s="13">
        <v>2070</v>
      </c>
      <c r="B52" s="64">
        <f ca="1">'Model - Demand'!I52-'Model - Supply'!AH52</f>
        <v>-3.718839302446014</v>
      </c>
      <c r="C52" s="64">
        <f ca="1">'Model - Demand'!Q52-'Model - Supply'!AI52</f>
        <v>-0.97016864087674293</v>
      </c>
      <c r="D52" s="65">
        <f ca="1">B52/'Model - Demand'!I52</f>
        <v>-1.7864424312762542E-2</v>
      </c>
      <c r="E52" s="65">
        <f ca="1">C52/'Model - Demand'!Q52</f>
        <v>-3.3591068203216931E-2</v>
      </c>
      <c r="F52" s="64">
        <f>'Static Parameters'!C87</f>
        <v>89.691053795454565</v>
      </c>
      <c r="G52" s="64">
        <f ca="1">G51+SUM('Model - Supply'!T51:V51)</f>
        <v>327.93154686462577</v>
      </c>
      <c r="H52" s="64">
        <f ca="1">SUM(G$5:G52)/SUM(F$5:F52)-1</f>
        <v>1.9569042910400052</v>
      </c>
      <c r="I52" s="64">
        <f ca="1">H52*'Scenario Picker'!$B$10</f>
        <v>0.19569042910400053</v>
      </c>
      <c r="J52" s="20">
        <f t="shared" ca="1" si="0"/>
        <v>-1.7864424312762542E-2</v>
      </c>
      <c r="K52" s="20">
        <f t="shared" ca="1" si="1"/>
        <v>-3.3591068203216931E-2</v>
      </c>
    </row>
    <row r="53" spans="1:11" x14ac:dyDescent="0.35">
      <c r="A53" s="13">
        <v>2071</v>
      </c>
      <c r="B53" s="64">
        <f ca="1">'Model - Demand'!I53-'Model - Supply'!AH53</f>
        <v>-3.6049670501253956</v>
      </c>
      <c r="C53" s="64">
        <f ca="1">'Model - Demand'!Q53-'Model - Supply'!AI53</f>
        <v>-0.95449518798625732</v>
      </c>
      <c r="D53" s="65">
        <f ca="1">B53/'Model - Demand'!I53</f>
        <v>-1.7521265908410209E-2</v>
      </c>
      <c r="E53" s="65">
        <f ca="1">C53/'Model - Demand'!Q53</f>
        <v>-3.343743022469161E-2</v>
      </c>
      <c r="F53" s="64">
        <f>'Static Parameters'!C88</f>
        <v>89.691053795454565</v>
      </c>
      <c r="G53" s="64">
        <f ca="1">G52+SUM('Model - Supply'!T52:V52)</f>
        <v>327.96583164922384</v>
      </c>
      <c r="H53" s="64">
        <f ca="1">SUM(G$5:G53)/SUM(F$5:F53)-1</f>
        <v>1.9736776987333937</v>
      </c>
      <c r="I53" s="64">
        <f ca="1">H53*'Scenario Picker'!$B$10</f>
        <v>0.19736776987333937</v>
      </c>
      <c r="J53" s="20">
        <f t="shared" ca="1" si="0"/>
        <v>-1.7521265908410209E-2</v>
      </c>
      <c r="K53" s="20">
        <f t="shared" ca="1" si="1"/>
        <v>-3.343743022469161E-2</v>
      </c>
    </row>
    <row r="54" spans="1:11" x14ac:dyDescent="0.35">
      <c r="A54" s="13">
        <v>2072</v>
      </c>
      <c r="B54" s="64">
        <f ca="1">'Model - Demand'!I54-'Model - Supply'!AH54</f>
        <v>-3.6152351790811394</v>
      </c>
      <c r="C54" s="64">
        <f ca="1">'Model - Demand'!Q54-'Model - Supply'!AI54</f>
        <v>-0.93648407244117848</v>
      </c>
      <c r="D54" s="65">
        <f ca="1">B54/'Model - Demand'!I54</f>
        <v>-1.7776487425065272E-2</v>
      </c>
      <c r="E54" s="65">
        <f ca="1">C54/'Model - Demand'!Q54</f>
        <v>-3.3189809500150054E-2</v>
      </c>
      <c r="F54" s="64">
        <f>'Static Parameters'!C89</f>
        <v>89.691053795454565</v>
      </c>
      <c r="G54" s="64">
        <f ca="1">G53+SUM('Model - Supply'!T53:V53)</f>
        <v>327.99020893297211</v>
      </c>
      <c r="H54" s="64">
        <f ca="1">SUM(G$5:G54)/SUM(F$5:F54)-1</f>
        <v>1.9896721163962523</v>
      </c>
      <c r="I54" s="64">
        <f ca="1">H54*'Scenario Picker'!$B$10</f>
        <v>0.19896721163962525</v>
      </c>
      <c r="J54" s="20">
        <f t="shared" ca="1" si="0"/>
        <v>-1.7776487425065272E-2</v>
      </c>
      <c r="K54" s="20">
        <f t="shared" ca="1" si="1"/>
        <v>-3.3189809500150054E-2</v>
      </c>
    </row>
    <row r="55" spans="1:11" x14ac:dyDescent="0.35">
      <c r="A55" s="13">
        <v>2073</v>
      </c>
      <c r="B55" s="64">
        <f ca="1">'Model - Demand'!I55-'Model - Supply'!AH55</f>
        <v>-3.6923968308007034</v>
      </c>
      <c r="C55" s="64">
        <f ca="1">'Model - Demand'!Q55-'Model - Supply'!AI55</f>
        <v>-0.91655120174257121</v>
      </c>
      <c r="D55" s="65">
        <f ca="1">B55/'Model - Demand'!I55</f>
        <v>-1.8366022245944039E-2</v>
      </c>
      <c r="E55" s="65">
        <f ca="1">C55/'Model - Demand'!Q55</f>
        <v>-3.2859309756466983E-2</v>
      </c>
      <c r="F55" s="64">
        <f>'Static Parameters'!C90</f>
        <v>89.691053795454565</v>
      </c>
      <c r="G55" s="64">
        <f ca="1">G54+SUM('Model - Supply'!T54:V54)</f>
        <v>328.00751219898871</v>
      </c>
      <c r="H55" s="64">
        <f ca="1">SUM(G$5:G55)/SUM(F$5:F55)-1</f>
        <v>2.0049391983428539</v>
      </c>
      <c r="I55" s="64">
        <f ca="1">H55*'Scenario Picker'!$B$10</f>
        <v>0.20049391983428541</v>
      </c>
      <c r="J55" s="20">
        <f t="shared" ca="1" si="0"/>
        <v>-1.8366022245944039E-2</v>
      </c>
      <c r="K55" s="20">
        <f t="shared" ca="1" si="1"/>
        <v>-3.2859309756466983E-2</v>
      </c>
    </row>
    <row r="56" spans="1:11" x14ac:dyDescent="0.35">
      <c r="A56" s="13">
        <v>2074</v>
      </c>
      <c r="B56" s="64">
        <f ca="1">'Model - Demand'!I56-'Model - Supply'!AH56</f>
        <v>-3.735091591310578</v>
      </c>
      <c r="C56" s="64">
        <f ca="1">'Model - Demand'!Q56-'Model - Supply'!AI56</f>
        <v>-0.89477908359335956</v>
      </c>
      <c r="D56" s="65">
        <f ca="1">B56/'Model - Demand'!I56</f>
        <v>-1.8790723363151313E-2</v>
      </c>
      <c r="E56" s="65">
        <f ca="1">C56/'Model - Demand'!Q56</f>
        <v>-3.2445392710930575E-2</v>
      </c>
      <c r="F56" s="64">
        <f>'Static Parameters'!C91</f>
        <v>89.691053795454565</v>
      </c>
      <c r="G56" s="64">
        <f ca="1">G55+SUM('Model - Supply'!T55:V55)</f>
        <v>328.01976699164089</v>
      </c>
      <c r="H56" s="64">
        <f ca="1">SUM(G$5:G56)/SUM(F$5:F56)-1</f>
        <v>2.0195264832387898</v>
      </c>
      <c r="I56" s="64">
        <f ca="1">H56*'Scenario Picker'!$B$10</f>
        <v>0.20195264832387899</v>
      </c>
      <c r="J56" s="20">
        <f t="shared" ca="1" si="0"/>
        <v>-1.8790723363151313E-2</v>
      </c>
      <c r="K56" s="20">
        <f t="shared" ca="1" si="1"/>
        <v>-3.2445392710930575E-2</v>
      </c>
    </row>
    <row r="57" spans="1:11" x14ac:dyDescent="0.35">
      <c r="A57" s="13">
        <v>2075</v>
      </c>
      <c r="B57" s="64">
        <f ca="1">'Model - Demand'!I57-'Model - Supply'!AH57</f>
        <v>-3.6694206818444286</v>
      </c>
      <c r="C57" s="64">
        <f ca="1">'Model - Demand'!Q57-'Model - Supply'!AI57</f>
        <v>-0.87145361186286863</v>
      </c>
      <c r="D57" s="65">
        <f ca="1">B57/'Model - Demand'!I57</f>
        <v>-1.8668200074951565E-2</v>
      </c>
      <c r="E57" s="65">
        <f ca="1">C57/'Model - Demand'!Q57</f>
        <v>-3.1955394636963938E-2</v>
      </c>
      <c r="F57" s="64">
        <f>'Static Parameters'!C92</f>
        <v>89.691053795454565</v>
      </c>
      <c r="G57" s="64">
        <f ca="1">G56+SUM('Model - Supply'!T56:V56)</f>
        <v>328.02842481450847</v>
      </c>
      <c r="H57" s="64">
        <f ca="1">SUM(G$5:G57)/SUM(F$5:F57)-1</f>
        <v>2.0334777042367493</v>
      </c>
      <c r="I57" s="64">
        <f ca="1">H57*'Scenario Picker'!$B$10</f>
        <v>0.20334777042367494</v>
      </c>
      <c r="J57" s="20">
        <f t="shared" ca="1" si="0"/>
        <v>-1.8668200074951565E-2</v>
      </c>
      <c r="K57" s="20">
        <f t="shared" ca="1" si="1"/>
        <v>-3.1955394636963938E-2</v>
      </c>
    </row>
    <row r="58" spans="1:11" x14ac:dyDescent="0.35">
      <c r="A58" s="13">
        <v>2076</v>
      </c>
      <c r="B58" s="64">
        <f ca="1">'Model - Demand'!I58-'Model - Supply'!AH58</f>
        <v>-3.4923203995039671</v>
      </c>
      <c r="C58" s="64">
        <f ca="1">'Model - Demand'!Q58-'Model - Supply'!AI58</f>
        <v>-0.84677906630708577</v>
      </c>
      <c r="D58" s="65">
        <f ca="1">B58/'Model - Demand'!I58</f>
        <v>-1.7963784107200405E-2</v>
      </c>
      <c r="E58" s="65">
        <f ca="1">C58/'Model - Demand'!Q58</f>
        <v>-3.1394157155387722E-2</v>
      </c>
      <c r="F58" s="64">
        <f>'Static Parameters'!C93</f>
        <v>89.691053795454565</v>
      </c>
      <c r="G58" s="64">
        <f ca="1">G57+SUM('Model - Supply'!T57:V57)</f>
        <v>328.03452782331783</v>
      </c>
      <c r="H58" s="64">
        <f ca="1">SUM(G$5:G58)/SUM(F$5:F58)-1</f>
        <v>2.0468330985859309</v>
      </c>
      <c r="I58" s="64">
        <f ca="1">H58*'Scenario Picker'!$B$10</f>
        <v>0.20468330985859309</v>
      </c>
      <c r="J58" s="20">
        <f t="shared" ca="1" si="0"/>
        <v>-1.7963784107200405E-2</v>
      </c>
      <c r="K58" s="20">
        <f t="shared" ca="1" si="1"/>
        <v>-3.1394157155387722E-2</v>
      </c>
    </row>
    <row r="59" spans="1:11" x14ac:dyDescent="0.35">
      <c r="A59" s="13">
        <v>2077</v>
      </c>
      <c r="B59" s="64">
        <f ca="1">'Model - Demand'!I59-'Model - Supply'!AH59</f>
        <v>-3.2656072389235078</v>
      </c>
      <c r="C59" s="64">
        <f ca="1">'Model - Demand'!Q59-'Model - Supply'!AI59</f>
        <v>-0.82092109155049542</v>
      </c>
      <c r="D59" s="65">
        <f ca="1">B59/'Model - Demand'!I59</f>
        <v>-1.6979764670550741E-2</v>
      </c>
      <c r="E59" s="65">
        <f ca="1">C59/'Model - Demand'!Q59</f>
        <v>-3.0765508632076222E-2</v>
      </c>
      <c r="F59" s="64">
        <f>'Static Parameters'!C94</f>
        <v>89.691053795454565</v>
      </c>
      <c r="G59" s="64">
        <f ca="1">G58+SUM('Model - Supply'!T58:V58)</f>
        <v>328.03882305455801</v>
      </c>
      <c r="H59" s="64">
        <f ca="1">SUM(G$5:G59)/SUM(F$5:F59)-1</f>
        <v>2.0596297050006314</v>
      </c>
      <c r="I59" s="64">
        <f ca="1">H59*'Scenario Picker'!$B$10</f>
        <v>0.20596297050006315</v>
      </c>
      <c r="J59" s="20">
        <f t="shared" ca="1" si="0"/>
        <v>-1.6979764670550741E-2</v>
      </c>
      <c r="K59" s="20">
        <f t="shared" ca="1" si="1"/>
        <v>-3.0765508632076222E-2</v>
      </c>
    </row>
    <row r="60" spans="1:11" x14ac:dyDescent="0.35">
      <c r="A60" s="13">
        <v>2078</v>
      </c>
      <c r="B60" s="64">
        <f ca="1">'Model - Demand'!I60-'Model - Supply'!AH60</f>
        <v>-3.0706117602054519</v>
      </c>
      <c r="C60" s="64">
        <f ca="1">'Model - Demand'!Q60-'Model - Supply'!AI60</f>
        <v>-0.7940865214053332</v>
      </c>
      <c r="D60" s="65">
        <f ca="1">B60/'Model - Demand'!I60</f>
        <v>-1.6135117237628598E-2</v>
      </c>
      <c r="E60" s="65">
        <f ca="1">C60/'Model - Demand'!Q60</f>
        <v>-3.0075302877408363E-2</v>
      </c>
      <c r="F60" s="64">
        <f>'Static Parameters'!C95</f>
        <v>89.691053795454565</v>
      </c>
      <c r="G60" s="64">
        <f ca="1">G59+SUM('Model - Supply'!T59:V59)</f>
        <v>328.04184317414519</v>
      </c>
      <c r="H60" s="64">
        <f ca="1">SUM(G$5:G60)/SUM(F$5:F60)-1</f>
        <v>2.0719016428844754</v>
      </c>
      <c r="I60" s="64">
        <f ca="1">H60*'Scenario Picker'!$B$10</f>
        <v>0.20719016428844755</v>
      </c>
      <c r="J60" s="20">
        <f t="shared" ca="1" si="0"/>
        <v>-1.6135117237628598E-2</v>
      </c>
      <c r="K60" s="20">
        <f t="shared" ca="1" si="1"/>
        <v>-3.0075302877408363E-2</v>
      </c>
    </row>
    <row r="61" spans="1:11" x14ac:dyDescent="0.35">
      <c r="A61" s="13">
        <v>2079</v>
      </c>
      <c r="B61" s="64">
        <f ca="1">'Model - Demand'!I61-'Model - Supply'!AH61</f>
        <v>-2.9561533019097226</v>
      </c>
      <c r="C61" s="64">
        <f ca="1">'Model - Demand'!Q61-'Model - Supply'!AI61</f>
        <v>-0.76654873093074016</v>
      </c>
      <c r="D61" s="65">
        <f ca="1">B61/'Model - Demand'!I61</f>
        <v>-1.5694290245256603E-2</v>
      </c>
      <c r="E61" s="65">
        <f ca="1">C61/'Model - Demand'!Q61</f>
        <v>-2.9332526085219225E-2</v>
      </c>
      <c r="F61" s="64">
        <f>'Static Parameters'!C96</f>
        <v>89.691053795454565</v>
      </c>
      <c r="G61" s="64">
        <f ca="1">G60+SUM('Model - Supply'!T60:V60)</f>
        <v>328.04396548284944</v>
      </c>
      <c r="H61" s="64">
        <f ca="1">SUM(G$5:G61)/SUM(F$5:F61)-1</f>
        <v>2.0836803710888039</v>
      </c>
      <c r="I61" s="64">
        <f ca="1">H61*'Scenario Picker'!$B$10</f>
        <v>0.20836803710888041</v>
      </c>
      <c r="J61" s="20">
        <f t="shared" ca="1" si="0"/>
        <v>-1.5694290245256603E-2</v>
      </c>
      <c r="K61" s="20">
        <f t="shared" ca="1" si="1"/>
        <v>-2.9332526085219225E-2</v>
      </c>
    </row>
    <row r="62" spans="1:11" x14ac:dyDescent="0.35">
      <c r="A62" s="13">
        <v>2080</v>
      </c>
      <c r="B62" s="64">
        <f ca="1">'Model - Demand'!I62-'Model - Supply'!AH62</f>
        <v>-2.911570241982929</v>
      </c>
      <c r="C62" s="64">
        <f ca="1">'Model - Demand'!Q62-'Model - Supply'!AI62</f>
        <v>-0.73837513747887229</v>
      </c>
      <c r="D62" s="65">
        <f ca="1">B62/'Model - Demand'!I62</f>
        <v>-1.5613064620172711E-2</v>
      </c>
      <c r="E62" s="65">
        <f ca="1">C62/'Model - Demand'!Q62</f>
        <v>-2.8538616709609079E-2</v>
      </c>
      <c r="F62" s="64">
        <f>'Static Parameters'!C97</f>
        <v>89.691053795454565</v>
      </c>
      <c r="G62" s="64">
        <f ca="1">G61+SUM('Model - Supply'!T61:V61)</f>
        <v>328.04545588882053</v>
      </c>
      <c r="H62" s="64">
        <f ca="1">SUM(G$5:G62)/SUM(F$5:F62)-1</f>
        <v>2.0949949257251661</v>
      </c>
      <c r="I62" s="64">
        <f ca="1">H62*'Scenario Picker'!$B$10</f>
        <v>0.20949949257251663</v>
      </c>
      <c r="J62" s="20">
        <f t="shared" ca="1" si="0"/>
        <v>-1.5613064620172711E-2</v>
      </c>
      <c r="K62" s="20">
        <f t="shared" ca="1" si="1"/>
        <v>-2.8538616709609079E-2</v>
      </c>
    </row>
    <row r="63" spans="1:11" x14ac:dyDescent="0.35">
      <c r="A63" s="13">
        <v>2081</v>
      </c>
      <c r="B63" s="64">
        <f ca="1">'Model - Demand'!I63-'Model - Supply'!AH63</f>
        <v>-2.8818238342713016</v>
      </c>
      <c r="C63" s="64">
        <f ca="1">'Model - Demand'!Q63-'Model - Supply'!AI63</f>
        <v>-0.70967796717937759</v>
      </c>
      <c r="D63" s="65">
        <f ca="1">B63/'Model - Demand'!I63</f>
        <v>-1.5604317162447831E-2</v>
      </c>
      <c r="E63" s="65">
        <f ca="1">C63/'Model - Demand'!Q63</f>
        <v>-2.7697057394432123E-2</v>
      </c>
      <c r="F63" s="64">
        <f>'Static Parameters'!C98</f>
        <v>89.691053795454565</v>
      </c>
      <c r="G63" s="64">
        <f ca="1">G62+SUM('Model - Supply'!T62:V62)</f>
        <v>328.04650147282973</v>
      </c>
      <c r="H63" s="64">
        <f ca="1">SUM(G$5:G63)/SUM(F$5:F63)-1</f>
        <v>2.1058721374077578</v>
      </c>
      <c r="I63" s="64">
        <f ca="1">H63*'Scenario Picker'!$B$10</f>
        <v>0.2105872137407758</v>
      </c>
      <c r="J63" s="20">
        <f t="shared" ca="1" si="0"/>
        <v>-1.5604317162447831E-2</v>
      </c>
      <c r="K63" s="20">
        <f t="shared" ca="1" si="1"/>
        <v>-2.7697057394432123E-2</v>
      </c>
    </row>
    <row r="64" spans="1:11" x14ac:dyDescent="0.35">
      <c r="A64" s="13">
        <v>2082</v>
      </c>
      <c r="B64" s="64">
        <f ca="1">'Model - Demand'!I64-'Model - Supply'!AH64</f>
        <v>-2.8086543364082956</v>
      </c>
      <c r="C64" s="64">
        <f ca="1">'Model - Demand'!Q64-'Model - Supply'!AI64</f>
        <v>-0.68064199262889602</v>
      </c>
      <c r="D64" s="65">
        <f ca="1">B64/'Model - Demand'!I64</f>
        <v>-1.5351680461002675E-2</v>
      </c>
      <c r="E64" s="65">
        <f ca="1">C64/'Model - Demand'!Q64</f>
        <v>-2.6814600876195263E-2</v>
      </c>
      <c r="F64" s="64">
        <f>'Static Parameters'!C99</f>
        <v>89.691053795454565</v>
      </c>
      <c r="G64" s="64">
        <f ca="1">G63+SUM('Model - Supply'!T63:V63)</f>
        <v>328.04723402175762</v>
      </c>
      <c r="H64" s="64">
        <f ca="1">SUM(G$5:G64)/SUM(F$5:F64)-1</f>
        <v>2.1163368287470403</v>
      </c>
      <c r="I64" s="64">
        <f ca="1">H64*'Scenario Picker'!$B$10</f>
        <v>0.21163368287470405</v>
      </c>
      <c r="J64" s="20">
        <f t="shared" ca="1" si="0"/>
        <v>-1.5351680461002675E-2</v>
      </c>
      <c r="K64" s="20">
        <f t="shared" ca="1" si="1"/>
        <v>-2.6814600876195263E-2</v>
      </c>
    </row>
    <row r="65" spans="1:11" x14ac:dyDescent="0.35">
      <c r="A65" s="13">
        <v>2083</v>
      </c>
      <c r="B65" s="64">
        <f ca="1">'Model - Demand'!I65-'Model - Supply'!AH65</f>
        <v>-2.6665143460273839</v>
      </c>
      <c r="C65" s="64">
        <f ca="1">'Model - Demand'!Q65-'Model - Supply'!AI65</f>
        <v>-0.65125251985654842</v>
      </c>
      <c r="D65" s="65">
        <f ca="1">B65/'Model - Demand'!I65</f>
        <v>-1.4707437807412297E-2</v>
      </c>
      <c r="E65" s="65">
        <f ca="1">C65/'Model - Demand'!Q65</f>
        <v>-2.5890323766748956E-2</v>
      </c>
      <c r="F65" s="64">
        <f>'Static Parameters'!C100</f>
        <v>89.691053795454565</v>
      </c>
      <c r="G65" s="64">
        <f ca="1">G64+SUM('Model - Supply'!T64:V64)</f>
        <v>328.04774656220081</v>
      </c>
      <c r="H65" s="64">
        <f ca="1">SUM(G$5:G65)/SUM(F$5:F65)-1</f>
        <v>2.1264119932152128</v>
      </c>
      <c r="I65" s="64">
        <f ca="1">H65*'Scenario Picker'!$B$10</f>
        <v>0.21264119932152128</v>
      </c>
      <c r="J65" s="20">
        <f t="shared" ca="1" si="0"/>
        <v>-1.4707437807412297E-2</v>
      </c>
      <c r="K65" s="20">
        <f t="shared" ca="1" si="1"/>
        <v>-2.5890323766748956E-2</v>
      </c>
    </row>
    <row r="66" spans="1:11" x14ac:dyDescent="0.35">
      <c r="A66" s="13">
        <v>2084</v>
      </c>
      <c r="B66" s="64">
        <f ca="1">'Model - Demand'!I66-'Model - Supply'!AH66</f>
        <v>-2.4772731587176793</v>
      </c>
      <c r="C66" s="64">
        <f ca="1">'Model - Demand'!Q66-'Model - Supply'!AI66</f>
        <v>-0.62190108243988718</v>
      </c>
      <c r="D66" s="65">
        <f ca="1">B66/'Model - Demand'!I66</f>
        <v>-1.3783386364949846E-2</v>
      </c>
      <c r="E66" s="65">
        <f ca="1">C66/'Model - Demand'!Q66</f>
        <v>-2.4940107119910994E-2</v>
      </c>
      <c r="F66" s="64">
        <f>'Static Parameters'!C101</f>
        <v>89.691053795454565</v>
      </c>
      <c r="G66" s="64">
        <f ca="1">G65+SUM('Model - Supply'!T65:V65)</f>
        <v>328.04810479243514</v>
      </c>
      <c r="H66" s="64">
        <f ca="1">SUM(G$5:G66)/SUM(F$5:F66)-1</f>
        <v>2.1361189567271479</v>
      </c>
      <c r="I66" s="64">
        <f ca="1">H66*'Scenario Picker'!$B$10</f>
        <v>0.2136118956727148</v>
      </c>
      <c r="J66" s="20">
        <f t="shared" ca="1" si="0"/>
        <v>-1.3783386364949846E-2</v>
      </c>
      <c r="K66" s="20">
        <f t="shared" ca="1" si="1"/>
        <v>-2.4940107119910994E-2</v>
      </c>
    </row>
    <row r="67" spans="1:11" x14ac:dyDescent="0.35">
      <c r="A67" s="13">
        <v>2085</v>
      </c>
      <c r="B67" s="64">
        <f ca="1">'Model - Demand'!I67-'Model - Supply'!AH67</f>
        <v>-2.2890009718665851</v>
      </c>
      <c r="C67" s="64">
        <f ca="1">'Model - Demand'!Q67-'Model - Supply'!AI67</f>
        <v>-0.59261708164378746</v>
      </c>
      <c r="D67" s="65">
        <f ca="1">B67/'Model - Demand'!I67</f>
        <v>-1.2842964298225011E-2</v>
      </c>
      <c r="E67" s="65">
        <f ca="1">C67/'Model - Demand'!Q67</f>
        <v>-2.396560695249985E-2</v>
      </c>
      <c r="F67" s="64">
        <f>'Static Parameters'!C102</f>
        <v>89.691053795454565</v>
      </c>
      <c r="G67" s="64">
        <f ca="1">G66+SUM('Model - Supply'!T66:V66)</f>
        <v>328.04835501797504</v>
      </c>
      <c r="H67" s="64">
        <f ca="1">SUM(G$5:G67)/SUM(F$5:F67)-1</f>
        <v>2.14547752340872</v>
      </c>
      <c r="I67" s="64">
        <f ca="1">H67*'Scenario Picker'!$B$10</f>
        <v>0.21454775234087201</v>
      </c>
      <c r="J67" s="20">
        <f t="shared" ca="1" si="0"/>
        <v>-1.2842964298225011E-2</v>
      </c>
      <c r="K67" s="20">
        <f t="shared" ca="1" si="1"/>
        <v>-2.396560695249985E-2</v>
      </c>
    </row>
    <row r="68" spans="1:11" x14ac:dyDescent="0.35">
      <c r="A68" s="13">
        <v>2086</v>
      </c>
      <c r="B68" s="64">
        <f ca="1">'Model - Demand'!I68-'Model - Supply'!AH68</f>
        <v>-2.1440878115040505</v>
      </c>
      <c r="C68" s="64">
        <f ca="1">'Model - Demand'!Q68-'Model - Supply'!AI68</f>
        <v>-0.56363804256152861</v>
      </c>
      <c r="D68" s="65">
        <f ca="1">B68/'Model - Demand'!I68</f>
        <v>-1.2126804095300288E-2</v>
      </c>
      <c r="E68" s="65">
        <f ca="1">C68/'Model - Demand'!Q68</f>
        <v>-2.2977303485153845E-2</v>
      </c>
      <c r="F68" s="64">
        <f>'Static Parameters'!C103</f>
        <v>89.691053795454565</v>
      </c>
      <c r="G68" s="64">
        <f ca="1">G67+SUM('Model - Supply'!T67:V67)</f>
        <v>328.0485297523835</v>
      </c>
      <c r="H68" s="64">
        <f ca="1">SUM(G$5:G68)/SUM(F$5:F68)-1</f>
        <v>2.1545061070451852</v>
      </c>
      <c r="I68" s="64">
        <f ca="1">H68*'Scenario Picker'!$B$10</f>
        <v>0.21545061070451854</v>
      </c>
      <c r="J68" s="20">
        <f t="shared" ca="1" si="0"/>
        <v>-1.2126804095300288E-2</v>
      </c>
      <c r="K68" s="20">
        <f t="shared" ca="1" si="1"/>
        <v>-2.2977303485153845E-2</v>
      </c>
    </row>
    <row r="69" spans="1:11" x14ac:dyDescent="0.35">
      <c r="A69" s="13">
        <v>2087</v>
      </c>
      <c r="B69" s="64">
        <f ca="1">'Model - Demand'!I69-'Model - Supply'!AH69</f>
        <v>-2.0529886389378476</v>
      </c>
      <c r="C69" s="64">
        <f ca="1">'Model - Demand'!Q69-'Model - Supply'!AI69</f>
        <v>-0.53504586341699678</v>
      </c>
      <c r="D69" s="65">
        <f ca="1">B69/'Model - Demand'!I69</f>
        <v>-1.1700923757435816E-2</v>
      </c>
      <c r="E69" s="65">
        <f ca="1">C69/'Model - Demand'!Q69</f>
        <v>-2.1979589797629644E-2</v>
      </c>
      <c r="F69" s="64">
        <f>'Static Parameters'!C104</f>
        <v>89.691053795454565</v>
      </c>
      <c r="G69" s="64">
        <f ca="1">G68+SUM('Model - Supply'!T68:V68)</f>
        <v>328.04865174331269</v>
      </c>
      <c r="H69" s="64">
        <f ca="1">SUM(G$5:G69)/SUM(F$5:F69)-1</f>
        <v>2.1632218496421869</v>
      </c>
      <c r="I69" s="64">
        <f ca="1">H69*'Scenario Picker'!$B$10</f>
        <v>0.21632218496421871</v>
      </c>
      <c r="J69" s="20">
        <f t="shared" ca="1" si="0"/>
        <v>-1.1700923757435816E-2</v>
      </c>
      <c r="K69" s="20">
        <f t="shared" ca="1" si="1"/>
        <v>-2.1979589797629644E-2</v>
      </c>
    </row>
    <row r="70" spans="1:11" x14ac:dyDescent="0.35">
      <c r="A70" s="13">
        <v>2088</v>
      </c>
      <c r="B70" s="64">
        <f ca="1">'Model - Demand'!I70-'Model - Supply'!AH70</f>
        <v>-1.9929738269900952</v>
      </c>
      <c r="C70" s="64">
        <f ca="1">'Model - Demand'!Q70-'Model - Supply'!AI70</f>
        <v>-0.50702462329936537</v>
      </c>
      <c r="D70" s="65">
        <f ca="1">B70/'Model - Demand'!I70</f>
        <v>-1.1442241317219768E-2</v>
      </c>
      <c r="E70" s="65">
        <f ca="1">C70/'Model - Demand'!Q70</f>
        <v>-2.0981354772591609E-2</v>
      </c>
      <c r="F70" s="64">
        <f>'Static Parameters'!C105</f>
        <v>89.691053795454565</v>
      </c>
      <c r="G70" s="64">
        <f ca="1">G69+SUM('Model - Supply'!T69:V69)</f>
        <v>328.04873687616015</v>
      </c>
      <c r="H70" s="64">
        <f ca="1">SUM(G$5:G70)/SUM(F$5:F70)-1</f>
        <v>2.17164072842268</v>
      </c>
      <c r="I70" s="64">
        <f ca="1">H70*'Scenario Picker'!$B$10</f>
        <v>0.21716407284226802</v>
      </c>
      <c r="J70" s="20">
        <f t="shared" ref="J70:J82" ca="1" si="2">MIN(D70+I70,J$1,D70)</f>
        <v>-1.1442241317219768E-2</v>
      </c>
      <c r="K70" s="20">
        <f t="shared" ref="K70:K82" ca="1" si="3">MIN(E70+I70,K$1,E70)</f>
        <v>-2.0981354772591609E-2</v>
      </c>
    </row>
    <row r="71" spans="1:11" x14ac:dyDescent="0.35">
      <c r="A71" s="13">
        <v>2089</v>
      </c>
      <c r="B71" s="64">
        <f ca="1">'Model - Demand'!I71-'Model - Supply'!AH71</f>
        <v>-1.926556703196951</v>
      </c>
      <c r="C71" s="64">
        <f ca="1">'Model - Demand'!Q71-'Model - Supply'!AI71</f>
        <v>-0.47964074495299514</v>
      </c>
      <c r="D71" s="65">
        <f ca="1">B71/'Model - Demand'!I71</f>
        <v>-1.1138164329144712E-2</v>
      </c>
      <c r="E71" s="65">
        <f ca="1">C71/'Model - Demand'!Q71</f>
        <v>-1.9986781410682001E-2</v>
      </c>
      <c r="F71" s="64">
        <f>'Static Parameters'!C106</f>
        <v>89.691053795454565</v>
      </c>
      <c r="G71" s="64">
        <f ca="1">G70+SUM('Model - Supply'!T70:V70)</f>
        <v>328.04879624736583</v>
      </c>
      <c r="H71" s="64">
        <f ca="1">SUM(G$5:G71)/SUM(F$5:F71)-1</f>
        <v>2.1797776524603032</v>
      </c>
      <c r="I71" s="64">
        <f ca="1">H71*'Scenario Picker'!$B$10</f>
        <v>0.21797776524603032</v>
      </c>
      <c r="J71" s="20">
        <f t="shared" ca="1" si="2"/>
        <v>-1.1138164329144712E-2</v>
      </c>
      <c r="K71" s="20">
        <f t="shared" ca="1" si="3"/>
        <v>-1.9986781410682001E-2</v>
      </c>
    </row>
    <row r="72" spans="1:11" x14ac:dyDescent="0.35">
      <c r="A72" s="13">
        <v>2090</v>
      </c>
      <c r="B72" s="64">
        <f ca="1">'Model - Demand'!I72-'Model - Supply'!AH72</f>
        <v>-1.828001964793657</v>
      </c>
      <c r="C72" s="64">
        <f ca="1">'Model - Demand'!Q72-'Model - Supply'!AI72</f>
        <v>-0.45308654233009804</v>
      </c>
      <c r="D72" s="65">
        <f ca="1">B72/'Model - Demand'!I72</f>
        <v>-1.0638506071367269E-2</v>
      </c>
      <c r="E72" s="65">
        <f ca="1">C72/'Model - Demand'!Q72</f>
        <v>-1.9005535866732606E-2</v>
      </c>
      <c r="F72" s="64">
        <f>'Static Parameters'!C107</f>
        <v>89.691053795454565</v>
      </c>
      <c r="G72" s="64">
        <f ca="1">G71+SUM('Model - Supply'!T71:V71)</f>
        <v>328.04883761928744</v>
      </c>
      <c r="H72" s="64">
        <f ca="1">SUM(G$5:G72)/SUM(F$5:F72)-1</f>
        <v>2.1876465500304718</v>
      </c>
      <c r="I72" s="64">
        <f ca="1">H72*'Scenario Picker'!$B$10</f>
        <v>0.2187646550030472</v>
      </c>
      <c r="J72" s="20">
        <f t="shared" ca="1" si="2"/>
        <v>-1.0638506071367269E-2</v>
      </c>
      <c r="K72" s="20">
        <f t="shared" ca="1" si="3"/>
        <v>-1.9005535866732606E-2</v>
      </c>
    </row>
    <row r="73" spans="1:11" x14ac:dyDescent="0.35">
      <c r="A73" s="13">
        <v>2091</v>
      </c>
      <c r="B73" s="64">
        <f ca="1">'Model - Demand'!I73-'Model - Supply'!AH73</f>
        <v>-1.6976643625588679</v>
      </c>
      <c r="C73" s="64">
        <f ca="1">'Model - Demand'!Q73-'Model - Supply'!AI73</f>
        <v>-0.42746418974578759</v>
      </c>
      <c r="D73" s="65">
        <f ca="1">B73/'Model - Demand'!I73</f>
        <v>-9.9421749861797921E-3</v>
      </c>
      <c r="E73" s="65">
        <f ca="1">C73/'Model - Demand'!Q73</f>
        <v>-1.8043645145036917E-2</v>
      </c>
      <c r="F73" s="64">
        <f>'Static Parameters'!C108</f>
        <v>89.691053795454565</v>
      </c>
      <c r="G73" s="64">
        <f ca="1">G72+SUM('Model - Supply'!T72:V72)</f>
        <v>328.04886642783487</v>
      </c>
      <c r="H73" s="64">
        <f ca="1">SUM(G$5:G73)/SUM(F$5:F73)-1</f>
        <v>2.1952604476512181</v>
      </c>
      <c r="I73" s="64">
        <f ca="1">H73*'Scenario Picker'!$B$10</f>
        <v>0.21952604476512183</v>
      </c>
      <c r="J73" s="20">
        <f t="shared" ca="1" si="2"/>
        <v>-9.9421749861797921E-3</v>
      </c>
      <c r="K73" s="20">
        <f t="shared" ca="1" si="3"/>
        <v>-1.8043645145036917E-2</v>
      </c>
    </row>
    <row r="74" spans="1:11" x14ac:dyDescent="0.35">
      <c r="A74" s="13">
        <v>2092</v>
      </c>
      <c r="B74" s="64">
        <f ca="1">'Model - Demand'!I74-'Model - Supply'!AH74</f>
        <v>-1.558513836627327</v>
      </c>
      <c r="C74" s="64">
        <f ca="1">'Model - Demand'!Q74-'Model - Supply'!AI74</f>
        <v>-0.40287273359355069</v>
      </c>
      <c r="D74" s="65">
        <f ca="1">B74/'Model - Demand'!I74</f>
        <v>-9.1817167805831584E-3</v>
      </c>
      <c r="E74" s="65">
        <f ca="1">C74/'Model - Demand'!Q74</f>
        <v>-1.7107087397449112E-2</v>
      </c>
      <c r="F74" s="64">
        <f>'Static Parameters'!C109</f>
        <v>89.691053795454565</v>
      </c>
      <c r="G74" s="64">
        <f ca="1">G73+SUM('Model - Supply'!T73:V73)</f>
        <v>328.04888647822463</v>
      </c>
      <c r="H74" s="64">
        <f ca="1">SUM(G$5:G74)/SUM(F$5:F74)-1</f>
        <v>2.2026315416858866</v>
      </c>
      <c r="I74" s="64">
        <f ca="1">H74*'Scenario Picker'!$B$10</f>
        <v>0.22026315416858866</v>
      </c>
      <c r="J74" s="20">
        <f t="shared" ca="1" si="2"/>
        <v>-9.1817167805831584E-3</v>
      </c>
      <c r="K74" s="20">
        <f t="shared" ca="1" si="3"/>
        <v>-1.7107087397449112E-2</v>
      </c>
    </row>
    <row r="75" spans="1:11" x14ac:dyDescent="0.35">
      <c r="A75" s="13">
        <v>2093</v>
      </c>
      <c r="B75" s="64">
        <f ca="1">'Model - Demand'!I75-'Model - Supply'!AH75</f>
        <v>-1.4392829568560046</v>
      </c>
      <c r="C75" s="64">
        <f ca="1">'Model - Demand'!Q75-'Model - Supply'!AI75</f>
        <v>-0.37944329121636144</v>
      </c>
      <c r="D75" s="65">
        <f ca="1">B75/'Model - Demand'!I75</f>
        <v>-8.5272210334448283E-3</v>
      </c>
      <c r="E75" s="65">
        <f ca="1">C75/'Model - Demand'!Q75</f>
        <v>-1.6203289259665164E-2</v>
      </c>
      <c r="F75" s="64">
        <f>'Static Parameters'!C110</f>
        <v>89.691053795454565</v>
      </c>
      <c r="G75" s="64">
        <f ca="1">G74+SUM('Model - Supply'!T74:V74)</f>
        <v>328.04890042936529</v>
      </c>
      <c r="H75" s="64">
        <f ca="1">SUM(G$5:G75)/SUM(F$5:F75)-1</f>
        <v>2.2097712632878737</v>
      </c>
      <c r="I75" s="64">
        <f ca="1">H75*'Scenario Picker'!$B$10</f>
        <v>0.22097712632878738</v>
      </c>
      <c r="J75" s="20">
        <f t="shared" ca="1" si="2"/>
        <v>-8.5272210334448283E-3</v>
      </c>
      <c r="K75" s="20">
        <f t="shared" ca="1" si="3"/>
        <v>-1.6203289259665164E-2</v>
      </c>
    </row>
    <row r="76" spans="1:11" x14ac:dyDescent="0.35">
      <c r="A76" s="13">
        <v>2094</v>
      </c>
      <c r="B76" s="64">
        <f ca="1">'Model - Demand'!I76-'Model - Supply'!AH76</f>
        <v>-1.3561334226141071</v>
      </c>
      <c r="C76" s="64">
        <f ca="1">'Model - Demand'!Q76-'Model - Supply'!AI76</f>
        <v>-0.35729877397031373</v>
      </c>
      <c r="D76" s="65">
        <f ca="1">B76/'Model - Demand'!I76</f>
        <v>-8.0776290104292905E-3</v>
      </c>
      <c r="E76" s="65">
        <f ca="1">C76/'Model - Demand'!Q76</f>
        <v>-1.5339386071823079E-2</v>
      </c>
      <c r="F76" s="64">
        <f>'Static Parameters'!C111</f>
        <v>89.691053795454565</v>
      </c>
      <c r="G76" s="64">
        <f ca="1">G75+SUM('Model - Supply'!T75:V75)</f>
        <v>328.04891013497485</v>
      </c>
      <c r="H76" s="64">
        <f ca="1">SUM(G$5:G76)/SUM(F$5:F76)-1</f>
        <v>2.2166903373828895</v>
      </c>
      <c r="I76" s="64">
        <f ca="1">H76*'Scenario Picker'!$B$10</f>
        <v>0.22166903373828895</v>
      </c>
      <c r="J76" s="20">
        <f t="shared" ca="1" si="2"/>
        <v>-8.0776290104292905E-3</v>
      </c>
      <c r="K76" s="20">
        <f t="shared" ca="1" si="3"/>
        <v>-1.5339386071823079E-2</v>
      </c>
    </row>
    <row r="77" spans="1:11" x14ac:dyDescent="0.35">
      <c r="A77" s="13">
        <v>2095</v>
      </c>
      <c r="B77" s="64">
        <f ca="1">'Model - Demand'!I77-'Model - Supply'!AH77</f>
        <v>-1.303693851969939</v>
      </c>
      <c r="C77" s="64">
        <f ca="1">'Model - Demand'!Q77-'Model - Supply'!AI77</f>
        <v>-0.33641199669786204</v>
      </c>
      <c r="D77" s="65">
        <f ca="1">B77/'Model - Demand'!I77</f>
        <v>-7.8046848734929048E-3</v>
      </c>
      <c r="E77" s="65">
        <f ca="1">C77/'Model - Demand'!Q77</f>
        <v>-1.4515974558318214E-2</v>
      </c>
      <c r="F77" s="64">
        <f>'Static Parameters'!C112</f>
        <v>89.691053795454565</v>
      </c>
      <c r="G77" s="64">
        <f ca="1">G76+SUM('Model - Supply'!T76:V76)</f>
        <v>328.04891688534747</v>
      </c>
      <c r="H77" s="64">
        <f ca="1">SUM(G$5:G77)/SUM(F$5:F77)-1</f>
        <v>2.2233988363070134</v>
      </c>
      <c r="I77" s="64">
        <f ca="1">H77*'Scenario Picker'!$B$10</f>
        <v>0.22233988363070134</v>
      </c>
      <c r="J77" s="20">
        <f t="shared" ca="1" si="2"/>
        <v>-7.8046848734929048E-3</v>
      </c>
      <c r="K77" s="20">
        <f t="shared" ca="1" si="3"/>
        <v>-1.4515974558318214E-2</v>
      </c>
    </row>
    <row r="78" spans="1:11" x14ac:dyDescent="0.35">
      <c r="A78" s="13">
        <v>2096</v>
      </c>
      <c r="B78" s="64">
        <f ca="1">'Model - Demand'!I78-'Model - Supply'!AH78</f>
        <v>-1.2623689938259588</v>
      </c>
      <c r="C78" s="64">
        <f ca="1">'Model - Demand'!Q78-'Model - Supply'!AI78</f>
        <v>-0.31688499398397241</v>
      </c>
      <c r="D78" s="65">
        <f ca="1">B78/'Model - Demand'!I78</f>
        <v>-7.5936597229266083E-3</v>
      </c>
      <c r="E78" s="65">
        <f ca="1">C78/'Model - Demand'!Q78</f>
        <v>-1.3739200324096075E-2</v>
      </c>
      <c r="F78" s="64">
        <f>'Static Parameters'!C113</f>
        <v>89.691053795454565</v>
      </c>
      <c r="G78" s="64">
        <f ca="1">G77+SUM('Model - Supply'!T77:V77)</f>
        <v>328.04892157830221</v>
      </c>
      <c r="H78" s="64">
        <f ca="1">SUM(G$5:G78)/SUM(F$5:F78)-1</f>
        <v>2.2299062286494276</v>
      </c>
      <c r="I78" s="64">
        <f ca="1">H78*'Scenario Picker'!$B$10</f>
        <v>0.22299062286494276</v>
      </c>
      <c r="J78" s="20">
        <f t="shared" ca="1" si="2"/>
        <v>-7.5936597229266083E-3</v>
      </c>
      <c r="K78" s="20">
        <f t="shared" ca="1" si="3"/>
        <v>-1.3739200324096075E-2</v>
      </c>
    </row>
    <row r="79" spans="1:11" x14ac:dyDescent="0.35">
      <c r="A79" s="13">
        <v>2097</v>
      </c>
      <c r="B79" s="64">
        <f ca="1">'Model - Demand'!I79-'Model - Supply'!AH79</f>
        <v>-1.2109997778326544</v>
      </c>
      <c r="C79" s="64">
        <f ca="1">'Model - Demand'!Q79-'Model - Supply'!AI79</f>
        <v>-0.29856419855066818</v>
      </c>
      <c r="D79" s="65">
        <f ca="1">B79/'Model - Demand'!I79</f>
        <v>-7.3178864713222868E-3</v>
      </c>
      <c r="E79" s="65">
        <f ca="1">C79/'Model - Demand'!Q79</f>
        <v>-1.3003920394870389E-2</v>
      </c>
      <c r="F79" s="64">
        <f>'Static Parameters'!C114</f>
        <v>89.691053795454565</v>
      </c>
      <c r="G79" s="64">
        <f ca="1">G78+SUM('Model - Supply'!T78:V78)</f>
        <v>328.04892483901477</v>
      </c>
      <c r="H79" s="64">
        <f ca="1">SUM(G$5:G79)/SUM(F$5:F79)-1</f>
        <v>2.2362214237871325</v>
      </c>
      <c r="I79" s="64">
        <f ca="1">H79*'Scenario Picker'!$B$10</f>
        <v>0.22362214237871325</v>
      </c>
      <c r="J79" s="20">
        <f t="shared" ca="1" si="2"/>
        <v>-7.3178864713222868E-3</v>
      </c>
      <c r="K79" s="20">
        <f t="shared" ca="1" si="3"/>
        <v>-1.3003920394870389E-2</v>
      </c>
    </row>
    <row r="80" spans="1:11" x14ac:dyDescent="0.35">
      <c r="A80" s="13">
        <v>2098</v>
      </c>
      <c r="B80" s="64">
        <f ca="1">'Model - Demand'!I80-'Model - Supply'!AH80</f>
        <v>-1.1413857950665545</v>
      </c>
      <c r="C80" s="64">
        <f ca="1">'Model - Demand'!Q80-'Model - Supply'!AI80</f>
        <v>-0.2815222842021754</v>
      </c>
      <c r="D80" s="65">
        <f ca="1">B80/'Model - Demand'!I80</f>
        <v>-6.9270918952887128E-3</v>
      </c>
      <c r="E80" s="65">
        <f ca="1">C80/'Model - Demand'!Q80</f>
        <v>-1.2314767931296627E-2</v>
      </c>
      <c r="F80" s="64">
        <f>'Static Parameters'!C115</f>
        <v>89.691053795454565</v>
      </c>
      <c r="G80" s="64">
        <f ca="1">G79+SUM('Model - Supply'!T79:V79)</f>
        <v>328.04892710318893</v>
      </c>
      <c r="H80" s="64">
        <f ca="1">SUM(G$5:G80)/SUM(F$5:F80)-1</f>
        <v>2.2423528125445427</v>
      </c>
      <c r="I80" s="64">
        <f ca="1">H80*'Scenario Picker'!$B$10</f>
        <v>0.22423528125445427</v>
      </c>
      <c r="J80" s="20">
        <f t="shared" ca="1" si="2"/>
        <v>-6.9270918952887128E-3</v>
      </c>
      <c r="K80" s="20">
        <f t="shared" ca="1" si="3"/>
        <v>-1.2314767931296627E-2</v>
      </c>
    </row>
    <row r="81" spans="1:11" x14ac:dyDescent="0.35">
      <c r="A81" s="13">
        <v>2099</v>
      </c>
      <c r="B81" s="64">
        <f ca="1">'Model - Demand'!I81-'Model - Supply'!AH81</f>
        <v>-1.0611888506594767</v>
      </c>
      <c r="C81" s="64">
        <f ca="1">'Model - Demand'!Q81-'Model - Supply'!AI81</f>
        <v>-0.26576008889908564</v>
      </c>
      <c r="D81" s="65">
        <f ca="1">B81/'Model - Demand'!I81</f>
        <v>-6.4668973202110592E-3</v>
      </c>
      <c r="E81" s="65">
        <f ca="1">C81/'Model - Demand'!Q81</f>
        <v>-1.1673148651119472E-2</v>
      </c>
      <c r="F81" s="64">
        <f>'Static Parameters'!C116</f>
        <v>89.691053795454565</v>
      </c>
      <c r="G81" s="64">
        <f ca="1">G80+SUM('Model - Supply'!T80:V80)</f>
        <v>328.04892867455339</v>
      </c>
      <c r="H81" s="64">
        <f ca="1">SUM(G$5:G81)/SUM(F$5:F81)-1</f>
        <v>2.2483083043629524</v>
      </c>
      <c r="I81" s="64">
        <f ca="1">H81*'Scenario Picker'!$B$10</f>
        <v>0.22483083043629526</v>
      </c>
      <c r="J81" s="20">
        <f t="shared" ca="1" si="2"/>
        <v>-6.4668973202110592E-3</v>
      </c>
      <c r="K81" s="20">
        <f t="shared" ca="1" si="3"/>
        <v>-1.1673148651119472E-2</v>
      </c>
    </row>
    <row r="82" spans="1:11" x14ac:dyDescent="0.35">
      <c r="A82" s="13">
        <v>2100</v>
      </c>
      <c r="B82" s="64">
        <f ca="1">'Model - Demand'!I82-'Model - Supply'!AH82</f>
        <v>-0.98626254127927382</v>
      </c>
      <c r="C82" s="64">
        <f ca="1">'Model - Demand'!Q82-'Model - Supply'!AI82</f>
        <v>-0.2511848111263042</v>
      </c>
      <c r="D82" s="65">
        <f ca="1">B82/'Model - Demand'!I82</f>
        <v>-6.0338547103344631E-3</v>
      </c>
      <c r="E82" s="65">
        <f ca="1">C82/'Model - Demand'!Q82</f>
        <v>-1.1076196531880985E-2</v>
      </c>
      <c r="F82" s="64">
        <f>'Static Parameters'!C117</f>
        <v>89.691053795454565</v>
      </c>
      <c r="G82" s="64">
        <f ca="1">G81+SUM('Model - Supply'!T81:V81)</f>
        <v>328.04892976467249</v>
      </c>
      <c r="H82" s="64">
        <f ca="1">SUM(G$5:G82)/SUM(F$5:F82)-1</f>
        <v>2.2540953613225647</v>
      </c>
      <c r="I82" s="64">
        <f ca="1">H82*'Scenario Picker'!$B$10</f>
        <v>0.22540953613225648</v>
      </c>
      <c r="J82" s="20">
        <f t="shared" ca="1" si="2"/>
        <v>-6.0338547103344631E-3</v>
      </c>
      <c r="K82" s="20">
        <f t="shared" ca="1" si="3"/>
        <v>-1.1076196531880985E-2</v>
      </c>
    </row>
  </sheetData>
  <mergeCells count="4">
    <mergeCell ref="B3:C3"/>
    <mergeCell ref="D3:E3"/>
    <mergeCell ref="F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Conceptual Model</vt:lpstr>
      <vt:lpstr>Front End</vt:lpstr>
      <vt:lpstr>Static Parameters</vt:lpstr>
      <vt:lpstr>Scenario Picker</vt:lpstr>
      <vt:lpstr>Growth Scenarios</vt:lpstr>
      <vt:lpstr>Electrification Scenario</vt:lpstr>
      <vt:lpstr>Model - Demand</vt:lpstr>
      <vt:lpstr>Model - Supply</vt:lpstr>
      <vt:lpstr>Model - Scarcity &amp; Growth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Davis</dc:creator>
  <cp:keywords/>
  <dc:description/>
  <cp:lastModifiedBy>James Hopeward</cp:lastModifiedBy>
  <cp:revision/>
  <dcterms:created xsi:type="dcterms:W3CDTF">2022-06-15T02:06:40Z</dcterms:created>
  <dcterms:modified xsi:type="dcterms:W3CDTF">2025-04-27T00:00:58Z</dcterms:modified>
  <cp:category/>
  <cp:contentStatus/>
</cp:coreProperties>
</file>