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Resume/Marzano Research Job/marzano_research_task_2/"/>
    </mc:Choice>
  </mc:AlternateContent>
  <xr:revisionPtr revIDLastSave="0" documentId="13_ncr:1_{83558F24-FE90-4D44-9396-7D89F8F2A46C}" xr6:coauthVersionLast="47" xr6:coauthVersionMax="47" xr10:uidLastSave="{00000000-0000-0000-0000-000000000000}"/>
  <bookViews>
    <workbookView xWindow="19560" yWindow="-18220" windowWidth="27840" windowHeight="15400" activeTab="1" xr2:uid="{4E03E153-9F8C-4DDC-AFCF-D064636665E5}"/>
  </bookViews>
  <sheets>
    <sheet name="Prior Project" sheetId="1" r:id="rId1"/>
    <sheet name="New Graph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  <c r="E28" i="2"/>
  <c r="F28" i="2" s="1"/>
  <c r="E31" i="2"/>
  <c r="E29" i="2"/>
  <c r="E23" i="2"/>
  <c r="F23" i="2" s="1"/>
  <c r="E27" i="2"/>
  <c r="E24" i="2"/>
  <c r="E22" i="2"/>
  <c r="E25" i="2"/>
  <c r="E30" i="2"/>
  <c r="F30" i="2" s="1"/>
  <c r="E33" i="2"/>
  <c r="E32" i="2"/>
  <c r="E26" i="2"/>
  <c r="D28" i="2"/>
  <c r="D31" i="2"/>
  <c r="F31" i="2" s="1"/>
  <c r="D29" i="2"/>
  <c r="F29" i="2" s="1"/>
  <c r="D23" i="2"/>
  <c r="D27" i="2"/>
  <c r="D24" i="2"/>
  <c r="F24" i="2" s="1"/>
  <c r="D22" i="2"/>
  <c r="F22" i="2" s="1"/>
  <c r="D25" i="2"/>
  <c r="F25" i="2" s="1"/>
  <c r="D30" i="2"/>
  <c r="D33" i="2"/>
  <c r="F33" i="2" s="1"/>
  <c r="D32" i="2"/>
  <c r="F32" i="2" s="1"/>
  <c r="D26" i="2"/>
  <c r="F26" i="2" s="1"/>
  <c r="C28" i="2"/>
  <c r="C31" i="2"/>
  <c r="C29" i="2"/>
  <c r="C23" i="2"/>
  <c r="C27" i="2"/>
  <c r="C24" i="2"/>
  <c r="C22" i="2"/>
  <c r="C25" i="2"/>
  <c r="C30" i="2"/>
  <c r="C33" i="2"/>
  <c r="C32" i="2"/>
  <c r="C26" i="2"/>
  <c r="B28" i="2"/>
  <c r="B31" i="2"/>
  <c r="B29" i="2"/>
  <c r="B23" i="2"/>
  <c r="B27" i="2"/>
  <c r="B24" i="2"/>
  <c r="B22" i="2"/>
  <c r="B25" i="2"/>
  <c r="B30" i="2"/>
  <c r="B33" i="2"/>
  <c r="B32" i="2"/>
  <c r="B26" i="2"/>
  <c r="F17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F12" i="2" s="1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16" i="1"/>
  <c r="E15" i="1"/>
  <c r="E14" i="1"/>
  <c r="E13" i="1"/>
  <c r="D16" i="1"/>
  <c r="D15" i="1"/>
  <c r="D14" i="1"/>
  <c r="D13" i="1"/>
  <c r="C16" i="1"/>
  <c r="C15" i="1"/>
  <c r="C14" i="1"/>
  <c r="C13" i="1"/>
  <c r="B16" i="1"/>
  <c r="B15" i="1"/>
  <c r="B14" i="1"/>
  <c r="B13" i="1"/>
  <c r="F11" i="2" l="1"/>
  <c r="F14" i="2"/>
  <c r="F15" i="2"/>
  <c r="F7" i="2"/>
  <c r="F10" i="2"/>
  <c r="F13" i="2"/>
  <c r="F16" i="2"/>
  <c r="F5" i="2"/>
  <c r="F8" i="2"/>
  <c r="F6" i="2"/>
  <c r="F9" i="2"/>
  <c r="F9" i="1" l="1"/>
  <c r="E9" i="1"/>
  <c r="C9" i="1"/>
  <c r="B9" i="1"/>
</calcChain>
</file>

<file path=xl/sharedStrings.xml><?xml version="1.0" encoding="utf-8"?>
<sst xmlns="http://schemas.openxmlformats.org/spreadsheetml/2006/main" count="94" uniqueCount="35">
  <si>
    <t xml:space="preserve"> </t>
  </si>
  <si>
    <t xml:space="preserve">Strongly Disagree </t>
  </si>
  <si>
    <t xml:space="preserve">Disagree </t>
  </si>
  <si>
    <t xml:space="preserve">Agree </t>
  </si>
  <si>
    <t xml:space="preserve">Strongly Agree </t>
  </si>
  <si>
    <t xml:space="preserve">Responses </t>
  </si>
  <si>
    <t xml:space="preserve">Count </t>
  </si>
  <si>
    <t xml:space="preserve">I had access to the professional development (formal or informal) that I needed in order to implement suggestions provided in my feedback. </t>
  </si>
  <si>
    <t xml:space="preserve">I had access to an instructional leader (e.g. peer, coach/mentor, administrator)  who supported me in implementing suggestions provided in my feedback. </t>
  </si>
  <si>
    <t xml:space="preserve">I was able to observe expert teachers modeling skills that related to my feedback. </t>
  </si>
  <si>
    <t xml:space="preserve">I had time during the school day to plan for implementing new strategies based on my feedback (e.g. collaborative or individual planning time). </t>
  </si>
  <si>
    <t>Raw Survey Data</t>
  </si>
  <si>
    <t>Transformed Survey Data</t>
  </si>
  <si>
    <t>Data for Figure</t>
  </si>
  <si>
    <t>Teacher Access to Supports Necessary to Respond to Evaluation Feedback</t>
  </si>
  <si>
    <t>Not at all</t>
  </si>
  <si>
    <t>Very little</t>
  </si>
  <si>
    <t>Somewhat</t>
  </si>
  <si>
    <t>To a great extent</t>
  </si>
  <si>
    <t>Customized learning</t>
  </si>
  <si>
    <t>Competency-based education</t>
  </si>
  <si>
    <t>Social-emotional learning</t>
  </si>
  <si>
    <t>Family engagement</t>
  </si>
  <si>
    <t>Online instruction</t>
  </si>
  <si>
    <t>Selection of online class applications</t>
  </si>
  <si>
    <t>Integration of in-person class content into an online format</t>
  </si>
  <si>
    <t>Developing user-friendly online classes</t>
  </si>
  <si>
    <t>Developing user-friendly blended learning/hybrid classes</t>
  </si>
  <si>
    <t>Whole-child instruction</t>
  </si>
  <si>
    <t>Trauma-informed instruction</t>
  </si>
  <si>
    <t>Culturally responsive instruction</t>
  </si>
  <si>
    <t>Confidence to Use Instructional Strategies</t>
  </si>
  <si>
    <t>Responses</t>
  </si>
  <si>
    <t>Count</t>
  </si>
  <si>
    <t>Sum Somewhat and To a great 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</si>
</sst>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/>
    <xf numFmtId="9" fontId="0" fillId="0" borderId="0" xfId="1" applyFont="1"/>
    <xf numFmtId="0" fontId="1" fillId="0" borderId="0" xfId="0" applyFont="1" applyFill="1" applyAlignment="1">
      <alignment horizontal="center"/>
    </xf>
    <xf numFmtId="9" fontId="0" fillId="0" borderId="0" xfId="0" applyNumberFormat="1"/>
    <xf numFmtId="9" fontId="0" fillId="0" borderId="0" xfId="1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F5597"/>
      <color rgb="FF8FAADC"/>
      <color rgb="FFDAE3F3"/>
      <color rgb="FFB4C7E7"/>
      <color rgb="FFDC89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Access</a:t>
            </a:r>
            <a:r>
              <a:rPr lang="en-US" b="1" baseline="0"/>
              <a:t> to Necessary Supports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'Prior Project'!$B$20</c:f>
              <c:strCache>
                <c:ptCount val="1"/>
                <c:pt idx="0">
                  <c:v>Disagree </c:v>
                </c:pt>
              </c:strCache>
            </c:strRef>
          </c:tx>
          <c:spPr>
            <a:solidFill>
              <a:srgbClr val="B4C7E7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A2A-463C-A7D8-1ECB71F492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A2A-463C-A7D8-1ECB71F492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A2A-463C-A7D8-1ECB71F492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A2A-463C-A7D8-1ECB71F49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'Prior Project'!$A$21:$A$24</c:f>
              <c:strCache>
                <c:ptCount val="4"/>
                <c:pt idx="0">
                  <c:v>I had access to the professional development (formal or informal) that I needed in order to implement suggestions provided in my feedback. </c:v>
                </c:pt>
                <c:pt idx="1">
                  <c:v>I had access to an instructional leader (e.g. peer, coach/mentor, administrator)  who supported me in implementing suggestions provided in my feedback. </c:v>
                </c:pt>
                <c:pt idx="2">
                  <c:v>I was able to observe expert teachers modeling skills that related to my feedback. </c:v>
                </c:pt>
                <c:pt idx="3">
                  <c:v>I had time during the school day to plan for implementing new strategies based on my feedback (e.g. collaborative or individual planning time). </c:v>
                </c:pt>
              </c:strCache>
            </c:strRef>
          </c:cat>
          <c:val>
            <c:numRef>
              <c:f>'Prior Project'!$B$21:$B$24</c:f>
              <c:numCache>
                <c:formatCode>0%</c:formatCode>
                <c:ptCount val="4"/>
                <c:pt idx="0">
                  <c:v>-0.183</c:v>
                </c:pt>
                <c:pt idx="1">
                  <c:v>-0.22900000000000001</c:v>
                </c:pt>
                <c:pt idx="2">
                  <c:v>-0.25900000000000001</c:v>
                </c:pt>
                <c:pt idx="3">
                  <c:v>-0.35799999999999998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2A-463C-A7D8-1ECB71F492D4}"/>
            </c:ext>
          </c:extLst>
        </c:ser>
        <c:ser>
          <c:idx val="2"/>
          <c:order val="1"/>
          <c:tx>
            <c:strRef>
              <c:f>'Prior Project'!$C$20</c:f>
              <c:strCache>
                <c:ptCount val="1"/>
                <c:pt idx="0">
                  <c:v>Strongly Disagree </c:v>
                </c:pt>
              </c:strCache>
            </c:strRef>
          </c:tx>
          <c:spPr>
            <a:solidFill>
              <a:srgbClr val="DAE3F3"/>
            </a:solidFill>
            <a:ln>
              <a:solidFill>
                <a:sysClr val="window" lastClr="FFFFFF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A2A-463C-A7D8-1ECB71F492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A2A-463C-A7D8-1ECB71F492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A2A-463C-A7D8-1ECB71F492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A2A-463C-A7D8-1ECB71F49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'Prior Project'!$A$21:$A$24</c:f>
              <c:strCache>
                <c:ptCount val="4"/>
                <c:pt idx="0">
                  <c:v>I had access to the professional development (formal or informal) that I needed in order to implement suggestions provided in my feedback. </c:v>
                </c:pt>
                <c:pt idx="1">
                  <c:v>I had access to an instructional leader (e.g. peer, coach/mentor, administrator)  who supported me in implementing suggestions provided in my feedback. </c:v>
                </c:pt>
                <c:pt idx="2">
                  <c:v>I was able to observe expert teachers modeling skills that related to my feedback. </c:v>
                </c:pt>
                <c:pt idx="3">
                  <c:v>I had time during the school day to plan for implementing new strategies based on my feedback (e.g. collaborative or individual planning time). </c:v>
                </c:pt>
              </c:strCache>
            </c:strRef>
          </c:cat>
          <c:val>
            <c:numRef>
              <c:f>'Prior Project'!$C$21:$C$24</c:f>
              <c:numCache>
                <c:formatCode>0%</c:formatCode>
                <c:ptCount val="4"/>
                <c:pt idx="0">
                  <c:v>-6.2E-2</c:v>
                </c:pt>
                <c:pt idx="1">
                  <c:v>-9.2999999999999999E-2</c:v>
                </c:pt>
                <c:pt idx="2">
                  <c:v>-0.185</c:v>
                </c:pt>
                <c:pt idx="3">
                  <c:v>-0.18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2A-463C-A7D8-1ECB71F492D4}"/>
            </c:ext>
          </c:extLst>
        </c:ser>
        <c:ser>
          <c:idx val="4"/>
          <c:order val="2"/>
          <c:tx>
            <c:strRef>
              <c:f>'Prior Project'!$D$20</c:f>
              <c:strCache>
                <c:ptCount val="1"/>
                <c:pt idx="0">
                  <c:v>Agree </c:v>
                </c:pt>
              </c:strCache>
            </c:strRef>
          </c:tx>
          <c:spPr>
            <a:solidFill>
              <a:srgbClr val="8FAA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'Prior Project'!$A$21:$A$24</c:f>
              <c:strCache>
                <c:ptCount val="4"/>
                <c:pt idx="0">
                  <c:v>I had access to the professional development (formal or informal) that I needed in order to implement suggestions provided in my feedback. </c:v>
                </c:pt>
                <c:pt idx="1">
                  <c:v>I had access to an instructional leader (e.g. peer, coach/mentor, administrator)  who supported me in implementing suggestions provided in my feedback. </c:v>
                </c:pt>
                <c:pt idx="2">
                  <c:v>I was able to observe expert teachers modeling skills that related to my feedback. </c:v>
                </c:pt>
                <c:pt idx="3">
                  <c:v>I had time during the school day to plan for implementing new strategies based on my feedback (e.g. collaborative or individual planning time). </c:v>
                </c:pt>
              </c:strCache>
            </c:strRef>
          </c:cat>
          <c:val>
            <c:numRef>
              <c:f>'Prior Project'!$D$21:$D$24</c:f>
              <c:numCache>
                <c:formatCode>0%</c:formatCode>
                <c:ptCount val="4"/>
                <c:pt idx="0">
                  <c:v>0.629</c:v>
                </c:pt>
                <c:pt idx="1">
                  <c:v>0.55399999999999994</c:v>
                </c:pt>
                <c:pt idx="2">
                  <c:v>0.48799999999999999</c:v>
                </c:pt>
                <c:pt idx="3">
                  <c:v>0.40500000000000003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A2A-463C-A7D8-1ECB71F492D4}"/>
            </c:ext>
          </c:extLst>
        </c:ser>
        <c:ser>
          <c:idx val="5"/>
          <c:order val="3"/>
          <c:tx>
            <c:strRef>
              <c:f>'Prior Project'!$E$20</c:f>
              <c:strCache>
                <c:ptCount val="1"/>
                <c:pt idx="0">
                  <c:v>Strongly Agree </c:v>
                </c:pt>
              </c:strCache>
            </c:strRef>
          </c:tx>
          <c:spPr>
            <a:solidFill>
              <a:srgbClr val="2F5597"/>
            </a:solidFill>
            <a:ln>
              <a:solidFill>
                <a:sysClr val="window" lastClr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'Prior Project'!$A$21:$A$24</c:f>
              <c:strCache>
                <c:ptCount val="4"/>
                <c:pt idx="0">
                  <c:v>I had access to the professional development (formal or informal) that I needed in order to implement suggestions provided in my feedback. </c:v>
                </c:pt>
                <c:pt idx="1">
                  <c:v>I had access to an instructional leader (e.g. peer, coach/mentor, administrator)  who supported me in implementing suggestions provided in my feedback. </c:v>
                </c:pt>
                <c:pt idx="2">
                  <c:v>I was able to observe expert teachers modeling skills that related to my feedback. </c:v>
                </c:pt>
                <c:pt idx="3">
                  <c:v>I had time during the school day to plan for implementing new strategies based on my feedback (e.g. collaborative or individual planning time). </c:v>
                </c:pt>
              </c:strCache>
            </c:strRef>
          </c:cat>
          <c:val>
            <c:numRef>
              <c:f>'Prior Project'!$E$21:$E$24</c:f>
              <c:numCache>
                <c:formatCode>0%</c:formatCode>
                <c:ptCount val="4"/>
                <c:pt idx="0">
                  <c:v>0.126</c:v>
                </c:pt>
                <c:pt idx="1">
                  <c:v>0.124</c:v>
                </c:pt>
                <c:pt idx="2">
                  <c:v>6.7000000000000004E-2</c:v>
                </c:pt>
                <c:pt idx="3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2A-463C-A7D8-1ECB71F492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3"/>
        <c:overlap val="100"/>
        <c:axId val="595373296"/>
        <c:axId val="595374936"/>
      </c:barChart>
      <c:catAx>
        <c:axId val="5953732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4936"/>
        <c:crosses val="autoZero"/>
        <c:auto val="0"/>
        <c:lblAlgn val="ctr"/>
        <c:lblOffset val="100"/>
        <c:tickLblSkip val="1"/>
        <c:noMultiLvlLbl val="0"/>
      </c:catAx>
      <c:valAx>
        <c:axId val="595374936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Percentage of Respondents</a:t>
                </a:r>
              </a:p>
            </c:rich>
          </c:tx>
          <c:layout>
            <c:manualLayout>
              <c:xMode val="edge"/>
              <c:yMode val="edge"/>
              <c:x val="0.60686332934000931"/>
              <c:y val="0.86033632231302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5953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32675970770231"/>
          <c:y val="0.93382306623436773"/>
          <c:w val="0.45494335964831445"/>
          <c:h val="6.6176933765632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10</xdr:row>
      <xdr:rowOff>123825</xdr:rowOff>
    </xdr:from>
    <xdr:to>
      <xdr:col>16</xdr:col>
      <xdr:colOff>114300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BCF7D-5F8A-46BF-9E32-2899F8F5C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29</xdr:row>
      <xdr:rowOff>19050</xdr:rowOff>
    </xdr:from>
    <xdr:to>
      <xdr:col>13</xdr:col>
      <xdr:colOff>590550</xdr:colOff>
      <xdr:row>30</xdr:row>
      <xdr:rowOff>123825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3DBA60CB-6CB9-4D15-982B-F9ADF633A17D}"/>
            </a:ext>
          </a:extLst>
        </xdr:cNvPr>
        <xdr:cNvSpPr txBox="1">
          <a:spLocks noChangeArrowheads="1"/>
        </xdr:cNvSpPr>
      </xdr:nvSpPr>
      <xdr:spPr bwMode="auto">
        <a:xfrm>
          <a:off x="9172575" y="4714875"/>
          <a:ext cx="4305300" cy="266700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457200">
            <a:lnSpc>
              <a:spcPct val="107000"/>
            </a:lnSpc>
            <a:spcBef>
              <a:spcPts val="0"/>
            </a:spcBef>
            <a:spcAft>
              <a:spcPts val="100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mbria" panose="02040503050406030204" pitchFamily="18" charset="0"/>
              <a:ea typeface="Times New Roman" panose="02020603050405020304" pitchFamily="18" charset="0"/>
              <a:cs typeface="Sarabun" panose="00000500000000000000" pitchFamily="2" charset="-34"/>
            </a:rPr>
            <a:t>       Stongly Disagree          Disagree          Agree          Strongly Agree</a:t>
          </a:r>
          <a:endParaRPr lang="en-US" sz="1100">
            <a:solidFill>
              <a:sysClr val="windowText" lastClr="000000"/>
            </a:solidFill>
            <a:effectLst/>
            <a:latin typeface="Sarabun" panose="00000500000000000000" pitchFamily="2" charset="-34"/>
            <a:ea typeface="Times New Roman" panose="02020603050405020304" pitchFamily="18" charset="0"/>
            <a:cs typeface="Sarabun" panose="00000500000000000000" pitchFamily="2" charset="-34"/>
          </a:endParaRPr>
        </a:p>
      </xdr:txBody>
    </xdr:sp>
    <xdr:clientData/>
  </xdr:twoCellAnchor>
  <xdr:twoCellAnchor>
    <xdr:from>
      <xdr:col>7</xdr:col>
      <xdr:colOff>542925</xdr:colOff>
      <xdr:row>29</xdr:row>
      <xdr:rowOff>114300</xdr:rowOff>
    </xdr:from>
    <xdr:to>
      <xdr:col>8</xdr:col>
      <xdr:colOff>9525</xdr:colOff>
      <xdr:row>30</xdr:row>
      <xdr:rowOff>28575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A445F35-3A07-4A6B-B58E-357F538905B0}"/>
            </a:ext>
          </a:extLst>
        </xdr:cNvPr>
        <xdr:cNvSpPr/>
      </xdr:nvSpPr>
      <xdr:spPr>
        <a:xfrm>
          <a:off x="9772650" y="4810125"/>
          <a:ext cx="76200" cy="76200"/>
        </a:xfrm>
        <a:prstGeom prst="rect">
          <a:avLst/>
        </a:prstGeom>
        <a:solidFill>
          <a:srgbClr val="DAE3F3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>
            <a:solidFill>
              <a:schemeClr val="accent3"/>
            </a:solidFill>
          </a:endParaRPr>
        </a:p>
      </xdr:txBody>
    </xdr:sp>
    <xdr:clientData/>
  </xdr:twoCellAnchor>
  <xdr:twoCellAnchor>
    <xdr:from>
      <xdr:col>9</xdr:col>
      <xdr:colOff>400050</xdr:colOff>
      <xdr:row>29</xdr:row>
      <xdr:rowOff>114300</xdr:rowOff>
    </xdr:from>
    <xdr:to>
      <xdr:col>9</xdr:col>
      <xdr:colOff>476250</xdr:colOff>
      <xdr:row>30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682B787-3B95-46B5-AACC-E81AA34CDAE3}"/>
            </a:ext>
          </a:extLst>
        </xdr:cNvPr>
        <xdr:cNvSpPr/>
      </xdr:nvSpPr>
      <xdr:spPr>
        <a:xfrm>
          <a:off x="10848975" y="4810125"/>
          <a:ext cx="76200" cy="76200"/>
        </a:xfrm>
        <a:prstGeom prst="rect">
          <a:avLst/>
        </a:prstGeom>
        <a:solidFill>
          <a:srgbClr val="B4C7E7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>
            <a:solidFill>
              <a:schemeClr val="accent3"/>
            </a:solidFill>
          </a:endParaRPr>
        </a:p>
      </xdr:txBody>
    </xdr:sp>
    <xdr:clientData/>
  </xdr:twoCellAnchor>
  <xdr:twoCellAnchor>
    <xdr:from>
      <xdr:col>10</xdr:col>
      <xdr:colOff>466725</xdr:colOff>
      <xdr:row>29</xdr:row>
      <xdr:rowOff>123825</xdr:rowOff>
    </xdr:from>
    <xdr:to>
      <xdr:col>10</xdr:col>
      <xdr:colOff>542925</xdr:colOff>
      <xdr:row>30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0825C9C-D730-4F5C-9692-F9D7600D6413}"/>
            </a:ext>
          </a:extLst>
        </xdr:cNvPr>
        <xdr:cNvSpPr/>
      </xdr:nvSpPr>
      <xdr:spPr>
        <a:xfrm>
          <a:off x="11525250" y="4819650"/>
          <a:ext cx="76200" cy="76200"/>
        </a:xfrm>
        <a:prstGeom prst="rect">
          <a:avLst/>
        </a:prstGeom>
        <a:solidFill>
          <a:srgbClr val="8FAADC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>
            <a:solidFill>
              <a:schemeClr val="accent3"/>
            </a:solidFill>
          </a:endParaRPr>
        </a:p>
      </xdr:txBody>
    </xdr:sp>
    <xdr:clientData/>
  </xdr:twoCellAnchor>
  <xdr:twoCellAnchor>
    <xdr:from>
      <xdr:col>11</xdr:col>
      <xdr:colOff>400050</xdr:colOff>
      <xdr:row>29</xdr:row>
      <xdr:rowOff>114300</xdr:rowOff>
    </xdr:from>
    <xdr:to>
      <xdr:col>11</xdr:col>
      <xdr:colOff>476250</xdr:colOff>
      <xdr:row>30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CCF57BC-FB24-49B5-9FD0-FB4C3149DEFB}"/>
            </a:ext>
          </a:extLst>
        </xdr:cNvPr>
        <xdr:cNvSpPr/>
      </xdr:nvSpPr>
      <xdr:spPr>
        <a:xfrm>
          <a:off x="12068175" y="4810125"/>
          <a:ext cx="76200" cy="76200"/>
        </a:xfrm>
        <a:prstGeom prst="rect">
          <a:avLst/>
        </a:prstGeom>
        <a:solidFill>
          <a:srgbClr val="2F5597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>
            <a:solidFill>
              <a:schemeClr val="accent3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rcBrodersen/Documents/Marzano%20Employee%20Supervision/RA%20Excel%20Performance%20Tasks/export-Analysis_ProgramFeedback_6.17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ce (2)"/>
      <sheetName val="CohortParticipation"/>
      <sheetName val="Worksheet"/>
      <sheetName val="Grade Level"/>
      <sheetName val="Subjects"/>
      <sheetName val="Gender, Race, Role"/>
      <sheetName val="Experience"/>
      <sheetName val="Satisfaction"/>
      <sheetName val="Confidence"/>
      <sheetName val="Sheet1"/>
      <sheetName val="Knowledge"/>
      <sheetName val="ApplyContent"/>
      <sheetName val="ShareContent"/>
      <sheetName val="export-Analysis_ProgramFeedback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06AF-8B9D-442E-ADE1-7C103F9EA61E}">
  <dimension ref="A1:O24"/>
  <sheetViews>
    <sheetView workbookViewId="0">
      <selection activeCell="A5" sqref="A5"/>
    </sheetView>
  </sheetViews>
  <sheetFormatPr baseColWidth="10" defaultColWidth="8.83203125" defaultRowHeight="13" x14ac:dyDescent="0.15"/>
  <cols>
    <col min="1" max="1" width="54.1640625" customWidth="1"/>
    <col min="2" max="2" width="18" customWidth="1"/>
    <col min="3" max="3" width="17.6640625" customWidth="1"/>
    <col min="4" max="4" width="11" customWidth="1"/>
    <col min="5" max="5" width="15.5" customWidth="1"/>
    <col min="6" max="6" width="17.5" customWidth="1"/>
    <col min="14" max="14" width="11.5" customWidth="1"/>
  </cols>
  <sheetData>
    <row r="1" spans="1:15" x14ac:dyDescent="0.15">
      <c r="A1" s="7" t="s">
        <v>14</v>
      </c>
    </row>
    <row r="3" spans="1:15" x14ac:dyDescent="0.15">
      <c r="A3" s="7" t="s">
        <v>11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K3" s="1"/>
      <c r="L3" s="1"/>
      <c r="M3" s="1"/>
      <c r="N3" s="1"/>
      <c r="O3" s="1"/>
    </row>
    <row r="4" spans="1:15" x14ac:dyDescent="0.15">
      <c r="A4" t="s">
        <v>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J4" s="2"/>
      <c r="K4" s="3"/>
      <c r="L4" s="3"/>
      <c r="M4" s="3"/>
      <c r="N4" s="3"/>
      <c r="O4" s="3"/>
    </row>
    <row r="5" spans="1:15" x14ac:dyDescent="0.15">
      <c r="A5" t="s">
        <v>7</v>
      </c>
      <c r="B5">
        <v>61</v>
      </c>
      <c r="C5">
        <v>180</v>
      </c>
      <c r="D5">
        <v>621</v>
      </c>
      <c r="E5">
        <v>124</v>
      </c>
      <c r="F5">
        <v>986</v>
      </c>
      <c r="J5" s="5"/>
    </row>
    <row r="6" spans="1:15" x14ac:dyDescent="0.15">
      <c r="A6" t="s">
        <v>8</v>
      </c>
      <c r="B6">
        <v>92</v>
      </c>
      <c r="C6">
        <v>226</v>
      </c>
      <c r="D6">
        <v>546</v>
      </c>
      <c r="E6">
        <v>122</v>
      </c>
      <c r="F6">
        <v>986</v>
      </c>
      <c r="J6" s="5"/>
    </row>
    <row r="7" spans="1:15" x14ac:dyDescent="0.15">
      <c r="A7" t="s">
        <v>9</v>
      </c>
      <c r="B7">
        <v>177</v>
      </c>
      <c r="C7">
        <v>353</v>
      </c>
      <c r="D7">
        <v>399</v>
      </c>
      <c r="E7">
        <v>56</v>
      </c>
      <c r="F7">
        <v>985</v>
      </c>
      <c r="J7" s="5"/>
    </row>
    <row r="8" spans="1:15" x14ac:dyDescent="0.15">
      <c r="A8" t="s">
        <v>10</v>
      </c>
      <c r="B8">
        <v>183</v>
      </c>
      <c r="C8">
        <v>256</v>
      </c>
      <c r="D8">
        <v>482</v>
      </c>
      <c r="E8">
        <v>66</v>
      </c>
      <c r="F8">
        <v>987</v>
      </c>
      <c r="J8" s="5"/>
    </row>
    <row r="9" spans="1:15" x14ac:dyDescent="0.15">
      <c r="B9">
        <f>SUM(B5:B8)</f>
        <v>513</v>
      </c>
      <c r="C9">
        <f>SUM(C5:C8)</f>
        <v>1015</v>
      </c>
      <c r="D9">
        <v>2048</v>
      </c>
      <c r="E9">
        <f>SUM(E5:E8)</f>
        <v>368</v>
      </c>
      <c r="F9">
        <f>SUM(F5:F8)</f>
        <v>3944</v>
      </c>
    </row>
    <row r="12" spans="1:15" x14ac:dyDescent="0.15">
      <c r="A12" s="7" t="s">
        <v>12</v>
      </c>
      <c r="B12" s="7" t="s">
        <v>1</v>
      </c>
      <c r="C12" s="7" t="s">
        <v>2</v>
      </c>
      <c r="D12" s="7" t="s">
        <v>3</v>
      </c>
      <c r="E12" s="7" t="s">
        <v>4</v>
      </c>
    </row>
    <row r="13" spans="1:15" x14ac:dyDescent="0.15">
      <c r="A13" t="s">
        <v>7</v>
      </c>
      <c r="B13" s="5">
        <f>B5/F5</f>
        <v>6.1866125760649086E-2</v>
      </c>
      <c r="C13" s="5">
        <f>C5/F5</f>
        <v>0.18255578093306288</v>
      </c>
      <c r="D13" s="5">
        <f>D5/F5</f>
        <v>0.62981744421906694</v>
      </c>
      <c r="E13" s="5">
        <f>E5/F5</f>
        <v>0.12576064908722109</v>
      </c>
    </row>
    <row r="14" spans="1:15" x14ac:dyDescent="0.15">
      <c r="A14" t="s">
        <v>8</v>
      </c>
      <c r="B14" s="5">
        <f>B6/F6</f>
        <v>9.330628803245436E-2</v>
      </c>
      <c r="C14" s="5">
        <f>C6/F6</f>
        <v>0.22920892494929007</v>
      </c>
      <c r="D14" s="5">
        <f>D6/F6</f>
        <v>0.55375253549695735</v>
      </c>
      <c r="E14" s="5">
        <f>E6/F6</f>
        <v>0.12373225152129817</v>
      </c>
    </row>
    <row r="15" spans="1:15" x14ac:dyDescent="0.15">
      <c r="A15" t="s">
        <v>9</v>
      </c>
      <c r="B15" s="5">
        <f>B7/F7</f>
        <v>0.17969543147208122</v>
      </c>
      <c r="C15" s="5">
        <f>C7/F7</f>
        <v>0.35837563451776649</v>
      </c>
      <c r="D15" s="5">
        <f>D7/F7</f>
        <v>0.40507614213197968</v>
      </c>
      <c r="E15" s="5">
        <f>E7/F7</f>
        <v>5.685279187817259E-2</v>
      </c>
      <c r="F15" s="7"/>
    </row>
    <row r="16" spans="1:15" x14ac:dyDescent="0.15">
      <c r="A16" t="s">
        <v>10</v>
      </c>
      <c r="B16" s="5">
        <f>B8/F8</f>
        <v>0.18541033434650456</v>
      </c>
      <c r="C16" s="5">
        <f>C8/F8</f>
        <v>0.25937183383991896</v>
      </c>
      <c r="D16" s="5">
        <f>D8/F8</f>
        <v>0.48834853090172237</v>
      </c>
      <c r="E16" s="5">
        <f>E8/F8</f>
        <v>6.6869300911854099E-2</v>
      </c>
    </row>
    <row r="20" spans="1:12" x14ac:dyDescent="0.15">
      <c r="A20" s="7" t="s">
        <v>13</v>
      </c>
      <c r="B20" s="4" t="s">
        <v>2</v>
      </c>
      <c r="C20" s="4" t="s">
        <v>1</v>
      </c>
      <c r="D20" s="4" t="s">
        <v>3</v>
      </c>
      <c r="E20" s="4" t="s">
        <v>4</v>
      </c>
    </row>
    <row r="21" spans="1:12" x14ac:dyDescent="0.15">
      <c r="A21" t="s">
        <v>7</v>
      </c>
      <c r="B21" s="6">
        <v>-0.183</v>
      </c>
      <c r="C21" s="6">
        <v>-6.2E-2</v>
      </c>
      <c r="D21" s="6">
        <v>0.629</v>
      </c>
      <c r="E21" s="6">
        <v>0.126</v>
      </c>
      <c r="I21" s="5"/>
      <c r="L21" s="5"/>
    </row>
    <row r="22" spans="1:12" x14ac:dyDescent="0.15">
      <c r="A22" t="s">
        <v>8</v>
      </c>
      <c r="B22" s="6">
        <v>-0.22900000000000001</v>
      </c>
      <c r="C22" s="6">
        <v>-9.2999999999999999E-2</v>
      </c>
      <c r="D22" s="6">
        <v>0.55399999999999994</v>
      </c>
      <c r="E22" s="6">
        <v>0.124</v>
      </c>
      <c r="I22" s="5"/>
      <c r="L22" s="5"/>
    </row>
    <row r="23" spans="1:12" x14ac:dyDescent="0.15">
      <c r="A23" t="s">
        <v>9</v>
      </c>
      <c r="B23" s="6">
        <v>-0.25900000000000001</v>
      </c>
      <c r="C23" s="6">
        <v>-0.185</v>
      </c>
      <c r="D23" s="6">
        <v>0.48799999999999999</v>
      </c>
      <c r="E23" s="6">
        <v>6.7000000000000004E-2</v>
      </c>
      <c r="H23" s="6"/>
      <c r="I23" s="6"/>
      <c r="J23" s="6"/>
      <c r="K23" s="6"/>
      <c r="L23" s="5"/>
    </row>
    <row r="24" spans="1:12" x14ac:dyDescent="0.15">
      <c r="A24" t="s">
        <v>10</v>
      </c>
      <c r="B24" s="6">
        <v>-0.35799999999999998</v>
      </c>
      <c r="C24" s="6">
        <v>-0.18</v>
      </c>
      <c r="D24" s="6">
        <v>0.40500000000000003</v>
      </c>
      <c r="E24" s="6">
        <v>5.7000000000000002E-2</v>
      </c>
      <c r="I24" s="5"/>
      <c r="L24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0B38-3913-4A9E-8846-5833F2B99623}">
  <dimension ref="A1:F48"/>
  <sheetViews>
    <sheetView tabSelected="1" topLeftCell="A18" workbookViewId="0">
      <selection activeCell="B40" sqref="B40:E40"/>
    </sheetView>
  </sheetViews>
  <sheetFormatPr baseColWidth="10" defaultColWidth="8.83203125" defaultRowHeight="13" x14ac:dyDescent="0.15"/>
  <cols>
    <col min="1" max="1" width="48.1640625" customWidth="1"/>
    <col min="3" max="4" width="11.5" customWidth="1"/>
    <col min="5" max="5" width="16.5" customWidth="1"/>
    <col min="6" max="6" width="10.6640625" customWidth="1"/>
  </cols>
  <sheetData>
    <row r="1" spans="1:6" x14ac:dyDescent="0.15">
      <c r="A1" s="7" t="s">
        <v>31</v>
      </c>
    </row>
    <row r="2" spans="1:6" x14ac:dyDescent="0.15">
      <c r="A2" s="7"/>
    </row>
    <row r="3" spans="1:6" ht="15" x14ac:dyDescent="0.2">
      <c r="A3" s="7" t="s">
        <v>11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32</v>
      </c>
    </row>
    <row r="4" spans="1:6" ht="15" x14ac:dyDescent="0.2">
      <c r="A4" s="8"/>
      <c r="B4" s="7" t="s">
        <v>33</v>
      </c>
      <c r="C4" s="7" t="s">
        <v>33</v>
      </c>
      <c r="D4" s="7" t="s">
        <v>33</v>
      </c>
      <c r="E4" s="7" t="s">
        <v>33</v>
      </c>
      <c r="F4" s="7" t="s">
        <v>33</v>
      </c>
    </row>
    <row r="5" spans="1:6" ht="15" x14ac:dyDescent="0.2">
      <c r="A5" s="8" t="s">
        <v>19</v>
      </c>
      <c r="B5">
        <f>COUNTIF([1]!Table1[[#All],[a)	Customized learning:Confidence]], 0)</f>
        <v>1</v>
      </c>
      <c r="C5">
        <f>COUNTIF([1]!Table1[[#All],[a)	Customized learning:Confidence]], 1)</f>
        <v>6</v>
      </c>
      <c r="D5">
        <f>COUNTIF([1]!Table1[[#All],[a)	Customized learning:Confidence]], 2)</f>
        <v>8</v>
      </c>
      <c r="E5">
        <f>COUNTIF([1]!Table1[[#All],[a)	Customized learning:Confidence]], 3)</f>
        <v>7</v>
      </c>
      <c r="F5">
        <f>SUM(B5:E5)</f>
        <v>22</v>
      </c>
    </row>
    <row r="6" spans="1:6" ht="15" x14ac:dyDescent="0.2">
      <c r="A6" s="8" t="s">
        <v>20</v>
      </c>
      <c r="B6">
        <f>COUNTIF([1]!Table1[[#All],[b)	Competency-based education:Confidence]], 0)</f>
        <v>1</v>
      </c>
      <c r="C6">
        <f>COUNTIF([1]!Table1[[#All],[b)	Competency-based education:Confidence]], 1)</f>
        <v>7</v>
      </c>
      <c r="D6">
        <f>COUNTIF([1]!Table1[[#All],[b)	Competency-based education:Confidence]], 2)</f>
        <v>5</v>
      </c>
      <c r="E6">
        <f>COUNTIF([1]!Table1[[#All],[b)	Competency-based education:Confidence]], 3)</f>
        <v>10</v>
      </c>
      <c r="F6">
        <f t="shared" ref="F6:F16" si="0">SUM(B6:E6)</f>
        <v>23</v>
      </c>
    </row>
    <row r="7" spans="1:6" ht="15" x14ac:dyDescent="0.2">
      <c r="A7" s="8" t="s">
        <v>21</v>
      </c>
      <c r="B7">
        <f>COUNTIF([1]!Table1[[#All],[c)	Social-emotional learning:Confidence]], 0)</f>
        <v>3</v>
      </c>
      <c r="C7">
        <f>COUNTIF([1]!Table1[[#All],[c)	Social-emotional learning:Confidence]], 1)</f>
        <v>8</v>
      </c>
      <c r="D7">
        <f>COUNTIF([1]!Table1[[#All],[c)	Social-emotional learning:Confidence]], 2)</f>
        <v>6</v>
      </c>
      <c r="E7">
        <f>COUNTIF([1]!Table1[[#All],[c)	Social-emotional learning:Confidence]], 3)</f>
        <v>5</v>
      </c>
      <c r="F7">
        <f t="shared" si="0"/>
        <v>22</v>
      </c>
    </row>
    <row r="8" spans="1:6" ht="15" x14ac:dyDescent="0.2">
      <c r="A8" s="8" t="s">
        <v>22</v>
      </c>
      <c r="B8">
        <f>COUNTIF([1]!Table1[[#All],[d)	Family engagement:Confidence]], 0)</f>
        <v>2</v>
      </c>
      <c r="C8">
        <f>COUNTIF([1]!Table1[[#All],[d)	Family engagement:Confidence]], 1)</f>
        <v>8</v>
      </c>
      <c r="D8">
        <f>COUNTIF([1]!Table1[[#All],[d)	Family engagement:Confidence]], 2)</f>
        <v>8</v>
      </c>
      <c r="E8">
        <f>COUNTIF([1]!Table1[[#All],[d)	Family engagement:Confidence]], 3)</f>
        <v>4</v>
      </c>
      <c r="F8">
        <f t="shared" si="0"/>
        <v>22</v>
      </c>
    </row>
    <row r="9" spans="1:6" ht="15" x14ac:dyDescent="0.2">
      <c r="A9" s="8" t="s">
        <v>23</v>
      </c>
      <c r="B9">
        <f>COUNTIF([1]!Table1[[#All],[e)	Online instruction:Confidence]], 0)</f>
        <v>0</v>
      </c>
      <c r="C9">
        <f>COUNTIF([1]!Table1[[#All],[e)	Online instruction:Confidence]], 1)</f>
        <v>3</v>
      </c>
      <c r="D9">
        <f>COUNTIF([1]!Table1[[#All],[e)	Online instruction:Confidence]], 2)</f>
        <v>4</v>
      </c>
      <c r="E9">
        <f>COUNTIF([1]!Table1[[#All],[e)	Online instruction:Confidence]], 3)</f>
        <v>18</v>
      </c>
      <c r="F9">
        <f t="shared" si="0"/>
        <v>25</v>
      </c>
    </row>
    <row r="10" spans="1:6" ht="15" x14ac:dyDescent="0.2">
      <c r="A10" s="8" t="s">
        <v>24</v>
      </c>
      <c r="B10">
        <f>COUNTIF([1]!Table1[[#All],[f)	Selection of online class applications:Confidence]], 0)</f>
        <v>2</v>
      </c>
      <c r="C10">
        <f>COUNTIF([1]!Table1[[#All],[f)	Selection of online class applications:Confidence]], 1)</f>
        <v>5</v>
      </c>
      <c r="D10">
        <f>COUNTIF([1]!Table1[[#All],[f)	Selection of online class applications:Confidence]], 2)</f>
        <v>8</v>
      </c>
      <c r="E10">
        <f>COUNTIF([1]!Table1[[#All],[f)	Selection of online class applications:Confidence]], 3)</f>
        <v>7</v>
      </c>
      <c r="F10">
        <f t="shared" si="0"/>
        <v>22</v>
      </c>
    </row>
    <row r="11" spans="1:6" ht="15" x14ac:dyDescent="0.2">
      <c r="A11" s="8" t="s">
        <v>25</v>
      </c>
      <c r="B11">
        <f>COUNTIF([1]!Table1[[#All],[g)	Integration of in-person class content into an online format:Confidence]], 0)</f>
        <v>0</v>
      </c>
      <c r="C11">
        <f>COUNTIF([1]!Table1[[#All],[g)	Integration of in-person class content into an online format:Confidence]], 1)</f>
        <v>4</v>
      </c>
      <c r="D11">
        <f>COUNTIF([1]!Table1[[#All],[g)	Integration of in-person class content into an online format:Confidence]], 2)</f>
        <v>9</v>
      </c>
      <c r="E11">
        <f>COUNTIF([1]!Table1[[#All],[g)	Integration of in-person class content into an online format:Confidence]], 3)</f>
        <v>12</v>
      </c>
      <c r="F11">
        <f t="shared" si="0"/>
        <v>25</v>
      </c>
    </row>
    <row r="12" spans="1:6" ht="15" x14ac:dyDescent="0.2">
      <c r="A12" s="8" t="s">
        <v>26</v>
      </c>
      <c r="B12">
        <f>COUNTIF([1]!Table1[[#All],[h)	Developing user-friendly online classes:Confidence]], 0)</f>
        <v>0</v>
      </c>
      <c r="C12">
        <f>COUNTIF([1]!Table1[[#All],[h)	Developing user-friendly online classes:Confidence]], 1)</f>
        <v>0</v>
      </c>
      <c r="D12">
        <f>COUNTIF([1]!Table1[[#All],[h)	Developing user-friendly online classes:Confidence]], 2)</f>
        <v>7</v>
      </c>
      <c r="E12">
        <f>COUNTIF([1]!Table1[[#All],[h)	Developing user-friendly online classes:Confidence]], 3)</f>
        <v>17</v>
      </c>
      <c r="F12">
        <f t="shared" si="0"/>
        <v>24</v>
      </c>
    </row>
    <row r="13" spans="1:6" ht="15" x14ac:dyDescent="0.2">
      <c r="A13" s="8" t="s">
        <v>27</v>
      </c>
      <c r="B13">
        <f>COUNTIF([1]!Table1[[#All],[i)	Developing user-friendly blended learning/hybrid classes:Confidence]], 0)</f>
        <v>1</v>
      </c>
      <c r="C13">
        <f>COUNTIF([1]!Table1[[#All],[i)	Developing user-friendly blended learning/hybrid classes:Confidence]], 1)</f>
        <v>4</v>
      </c>
      <c r="D13">
        <f>COUNTIF([1]!Table1[[#All],[i)	Developing user-friendly blended learning/hybrid classes:Confidence]], 2)</f>
        <v>9</v>
      </c>
      <c r="E13">
        <f>COUNTIF([1]!Table1[[#All],[i)	Developing user-friendly blended learning/hybrid classes:Confidence]], 3)</f>
        <v>9</v>
      </c>
      <c r="F13">
        <f t="shared" si="0"/>
        <v>23</v>
      </c>
    </row>
    <row r="14" spans="1:6" ht="15" x14ac:dyDescent="0.2">
      <c r="A14" s="8" t="s">
        <v>28</v>
      </c>
      <c r="B14">
        <f>COUNTIF([1]!Table1[[#All],[j)	Whole-child instruction:Confidence]], 0)</f>
        <v>4</v>
      </c>
      <c r="C14">
        <f>COUNTIF([1]!Table1[[#All],[j)	Whole-child instruction:Confidence]], 1)</f>
        <v>6</v>
      </c>
      <c r="D14">
        <f>COUNTIF([1]!Table1[[#All],[j)	Whole-child instruction:Confidence]], 2)</f>
        <v>5</v>
      </c>
      <c r="E14">
        <f>COUNTIF([1]!Table1[[#All],[j)	Whole-child instruction:Confidence]], 3)</f>
        <v>7</v>
      </c>
      <c r="F14">
        <f t="shared" si="0"/>
        <v>22</v>
      </c>
    </row>
    <row r="15" spans="1:6" ht="15" x14ac:dyDescent="0.2">
      <c r="A15" s="8" t="s">
        <v>29</v>
      </c>
      <c r="B15">
        <f>COUNTIF([1]!Table1[[#All],[k)	Trauma-informed instruction:Confidence]], 0)</f>
        <v>7</v>
      </c>
      <c r="C15">
        <f>COUNTIF([1]!Table1[[#All],[k)	Trauma-informed instruction:Confidence]], 1)</f>
        <v>10</v>
      </c>
      <c r="D15">
        <f>COUNTIF([1]!Table1[[#All],[k)	Trauma-informed instruction:Confidence]], 2)</f>
        <v>3</v>
      </c>
      <c r="E15">
        <f>COUNTIF([1]!Table1[[#All],[k)	Trauma-informed instruction:Confidence]], 3)</f>
        <v>1</v>
      </c>
      <c r="F15">
        <f t="shared" si="0"/>
        <v>21</v>
      </c>
    </row>
    <row r="16" spans="1:6" ht="15" x14ac:dyDescent="0.2">
      <c r="A16" s="8" t="s">
        <v>30</v>
      </c>
      <c r="B16">
        <f>COUNTIF([1]!Table1[[#All],[l)	Culturally-responsive instruction:Confidence]], 0)</f>
        <v>4</v>
      </c>
      <c r="C16">
        <f>COUNTIF([1]!Table1[[#All],[l)	Culturally-responsive instruction:Confidence]], 1)</f>
        <v>7</v>
      </c>
      <c r="D16">
        <f>COUNTIF([1]!Table1[[#All],[l)	Culturally-responsive instruction:Confidence]], 2)</f>
        <v>8</v>
      </c>
      <c r="E16">
        <f>COUNTIF([1]!Table1[[#All],[l)	Culturally-responsive instruction:Confidence]], 3)</f>
        <v>3</v>
      </c>
      <c r="F16">
        <f t="shared" si="0"/>
        <v>22</v>
      </c>
    </row>
    <row r="17" spans="1:6" x14ac:dyDescent="0.15">
      <c r="B17">
        <f>SUM(B5:B16)</f>
        <v>25</v>
      </c>
      <c r="C17">
        <f t="shared" ref="C17:F17" si="1">SUM(C5:C16)</f>
        <v>68</v>
      </c>
      <c r="D17">
        <f t="shared" si="1"/>
        <v>80</v>
      </c>
      <c r="E17">
        <f t="shared" si="1"/>
        <v>100</v>
      </c>
      <c r="F17">
        <f t="shared" si="1"/>
        <v>273</v>
      </c>
    </row>
    <row r="21" spans="1:6" ht="15" x14ac:dyDescent="0.2">
      <c r="A21" s="7" t="s">
        <v>12</v>
      </c>
      <c r="B21" s="9" t="s">
        <v>15</v>
      </c>
      <c r="C21" s="9" t="s">
        <v>16</v>
      </c>
      <c r="D21" s="9" t="s">
        <v>17</v>
      </c>
      <c r="E21" s="9" t="s">
        <v>18</v>
      </c>
      <c r="F21" s="9" t="s">
        <v>34</v>
      </c>
    </row>
    <row r="22" spans="1:6" ht="15" x14ac:dyDescent="0.2">
      <c r="A22" s="8" t="s">
        <v>26</v>
      </c>
      <c r="B22" s="10">
        <f>B5/F5</f>
        <v>4.5454545454545456E-2</v>
      </c>
      <c r="C22" s="10">
        <f>C5/F5</f>
        <v>0.27272727272727271</v>
      </c>
      <c r="D22" s="10">
        <f>D5/F5</f>
        <v>0.36363636363636365</v>
      </c>
      <c r="E22" s="10">
        <f>E5/F5</f>
        <v>0.31818181818181818</v>
      </c>
      <c r="F22" s="10">
        <f>D22+E22</f>
        <v>0.68181818181818188</v>
      </c>
    </row>
    <row r="23" spans="1:6" ht="15" x14ac:dyDescent="0.2">
      <c r="A23" s="8" t="s">
        <v>23</v>
      </c>
      <c r="B23" s="10">
        <f>B6/F6</f>
        <v>4.3478260869565216E-2</v>
      </c>
      <c r="C23" s="10">
        <f>C6/F6</f>
        <v>0.30434782608695654</v>
      </c>
      <c r="D23" s="10">
        <f>D6/F6</f>
        <v>0.21739130434782608</v>
      </c>
      <c r="E23" s="10">
        <f>E6/F6</f>
        <v>0.43478260869565216</v>
      </c>
      <c r="F23" s="10">
        <f>D23+E23</f>
        <v>0.65217391304347827</v>
      </c>
    </row>
    <row r="24" spans="1:6" ht="15" x14ac:dyDescent="0.2">
      <c r="A24" s="8" t="s">
        <v>25</v>
      </c>
      <c r="B24" s="10">
        <f>B7/F7</f>
        <v>0.13636363636363635</v>
      </c>
      <c r="C24" s="10">
        <f>C7/F7</f>
        <v>0.36363636363636365</v>
      </c>
      <c r="D24" s="10">
        <f>D7/F7</f>
        <v>0.27272727272727271</v>
      </c>
      <c r="E24" s="10">
        <f>E7/F7</f>
        <v>0.22727272727272727</v>
      </c>
      <c r="F24" s="10">
        <f>D24+E24</f>
        <v>0.5</v>
      </c>
    </row>
    <row r="25" spans="1:6" ht="15" x14ac:dyDescent="0.2">
      <c r="A25" s="8" t="s">
        <v>27</v>
      </c>
      <c r="B25" s="10">
        <f>B8/F8</f>
        <v>9.0909090909090912E-2</v>
      </c>
      <c r="C25" s="10">
        <f>C8/F8</f>
        <v>0.36363636363636365</v>
      </c>
      <c r="D25" s="10">
        <f>D8/F8</f>
        <v>0.36363636363636365</v>
      </c>
      <c r="E25" s="10">
        <f>E8/F8</f>
        <v>0.18181818181818182</v>
      </c>
      <c r="F25" s="10">
        <f>D25+E25</f>
        <v>0.54545454545454541</v>
      </c>
    </row>
    <row r="26" spans="1:6" ht="15" x14ac:dyDescent="0.2">
      <c r="A26" s="8" t="s">
        <v>19</v>
      </c>
      <c r="B26" s="10">
        <f>B9/F9</f>
        <v>0</v>
      </c>
      <c r="C26" s="10">
        <f>C9/F9</f>
        <v>0.12</v>
      </c>
      <c r="D26" s="10">
        <f>D9/F9</f>
        <v>0.16</v>
      </c>
      <c r="E26" s="10">
        <f>E9/F9</f>
        <v>0.72</v>
      </c>
      <c r="F26" s="10">
        <f>D26+E26</f>
        <v>0.88</v>
      </c>
    </row>
    <row r="27" spans="1:6" ht="15" x14ac:dyDescent="0.2">
      <c r="A27" s="8" t="s">
        <v>24</v>
      </c>
      <c r="B27" s="10">
        <f>B10/F10</f>
        <v>9.0909090909090912E-2</v>
      </c>
      <c r="C27" s="10">
        <f>C10/F10</f>
        <v>0.22727272727272727</v>
      </c>
      <c r="D27" s="10">
        <f>D10/F10</f>
        <v>0.36363636363636365</v>
      </c>
      <c r="E27" s="10">
        <f>E10/F10</f>
        <v>0.31818181818181818</v>
      </c>
      <c r="F27" s="10">
        <f>D27+E27</f>
        <v>0.68181818181818188</v>
      </c>
    </row>
    <row r="28" spans="1:6" ht="15" x14ac:dyDescent="0.2">
      <c r="A28" s="8" t="s">
        <v>20</v>
      </c>
      <c r="B28" s="10">
        <f>B11/F11</f>
        <v>0</v>
      </c>
      <c r="C28" s="10">
        <f>C11/F11</f>
        <v>0.16</v>
      </c>
      <c r="D28" s="10">
        <f>D11/F11</f>
        <v>0.36</v>
      </c>
      <c r="E28" s="10">
        <f>E11/F11</f>
        <v>0.48</v>
      </c>
      <c r="F28" s="10">
        <f>D28+E28</f>
        <v>0.84</v>
      </c>
    </row>
    <row r="29" spans="1:6" ht="15" x14ac:dyDescent="0.2">
      <c r="A29" s="8" t="s">
        <v>22</v>
      </c>
      <c r="B29" s="10">
        <f>B12/F12</f>
        <v>0</v>
      </c>
      <c r="C29" s="10">
        <f>C12/F12</f>
        <v>0</v>
      </c>
      <c r="D29" s="10">
        <f>D12/F12</f>
        <v>0.29166666666666669</v>
      </c>
      <c r="E29" s="10">
        <f>E12/F12</f>
        <v>0.70833333333333337</v>
      </c>
      <c r="F29" s="10">
        <f>D29+E29</f>
        <v>1</v>
      </c>
    </row>
    <row r="30" spans="1:6" ht="15" x14ac:dyDescent="0.2">
      <c r="A30" s="8" t="s">
        <v>28</v>
      </c>
      <c r="B30" s="10">
        <f>B13/F13</f>
        <v>4.3478260869565216E-2</v>
      </c>
      <c r="C30" s="10">
        <f>C13/F13</f>
        <v>0.17391304347826086</v>
      </c>
      <c r="D30" s="10">
        <f>D13/F13</f>
        <v>0.39130434782608697</v>
      </c>
      <c r="E30" s="10">
        <f>E13/F13</f>
        <v>0.39130434782608697</v>
      </c>
      <c r="F30" s="10">
        <f>D30+E30</f>
        <v>0.78260869565217395</v>
      </c>
    </row>
    <row r="31" spans="1:6" ht="15" x14ac:dyDescent="0.2">
      <c r="A31" s="8" t="s">
        <v>21</v>
      </c>
      <c r="B31" s="10">
        <f>B14/F14</f>
        <v>0.18181818181818182</v>
      </c>
      <c r="C31" s="10">
        <f>C14/F14</f>
        <v>0.27272727272727271</v>
      </c>
      <c r="D31" s="10">
        <f>D14/F14</f>
        <v>0.22727272727272727</v>
      </c>
      <c r="E31" s="10">
        <f>E14/F14</f>
        <v>0.31818181818181818</v>
      </c>
      <c r="F31" s="10">
        <f>D31+E31</f>
        <v>0.54545454545454541</v>
      </c>
    </row>
    <row r="32" spans="1:6" ht="15" x14ac:dyDescent="0.2">
      <c r="A32" s="8" t="s">
        <v>30</v>
      </c>
      <c r="B32" s="10">
        <f>B15/F15</f>
        <v>0.33333333333333331</v>
      </c>
      <c r="C32" s="10">
        <f>C15/F15</f>
        <v>0.47619047619047616</v>
      </c>
      <c r="D32" s="10">
        <f>D15/F15</f>
        <v>0.14285714285714285</v>
      </c>
      <c r="E32" s="10">
        <f>E15/F15</f>
        <v>4.7619047619047616E-2</v>
      </c>
      <c r="F32" s="10">
        <f>D32+E32</f>
        <v>0.19047619047619047</v>
      </c>
    </row>
    <row r="33" spans="1:6" ht="15" x14ac:dyDescent="0.2">
      <c r="A33" s="8" t="s">
        <v>29</v>
      </c>
      <c r="B33" s="10">
        <f>B16/F16</f>
        <v>0.18181818181818182</v>
      </c>
      <c r="C33" s="10">
        <f>C16/F16</f>
        <v>0.31818181818181818</v>
      </c>
      <c r="D33" s="10">
        <f>D16/F16</f>
        <v>0.36363636363636365</v>
      </c>
      <c r="E33" s="10">
        <f>E16/F16</f>
        <v>0.13636363636363635</v>
      </c>
      <c r="F33" s="10">
        <f>D33+E33</f>
        <v>0.5</v>
      </c>
    </row>
    <row r="36" spans="1:6" ht="15" x14ac:dyDescent="0.2">
      <c r="A36" s="8" t="s">
        <v>13</v>
      </c>
      <c r="B36" s="9" t="s">
        <v>15</v>
      </c>
      <c r="C36" s="9" t="s">
        <v>16</v>
      </c>
      <c r="D36" s="9" t="s">
        <v>17</v>
      </c>
      <c r="E36" s="9" t="s">
        <v>18</v>
      </c>
    </row>
    <row r="37" spans="1:6" ht="15" x14ac:dyDescent="0.2">
      <c r="A37" s="8" t="s">
        <v>26</v>
      </c>
      <c r="B37" s="10">
        <v>0</v>
      </c>
      <c r="C37" s="10">
        <v>0</v>
      </c>
      <c r="D37" s="10">
        <v>0.29170000000000001</v>
      </c>
      <c r="E37" s="10">
        <v>0.70830000000000004</v>
      </c>
    </row>
    <row r="38" spans="1:6" ht="15" x14ac:dyDescent="0.2">
      <c r="A38" s="8" t="s">
        <v>23</v>
      </c>
      <c r="B38" s="10">
        <v>0</v>
      </c>
      <c r="C38" s="10">
        <v>0.12</v>
      </c>
      <c r="D38" s="10">
        <v>0.16</v>
      </c>
      <c r="E38" s="10">
        <v>0.72</v>
      </c>
    </row>
    <row r="39" spans="1:6" ht="15" x14ac:dyDescent="0.2">
      <c r="A39" s="8" t="s">
        <v>25</v>
      </c>
      <c r="B39" s="10">
        <v>0</v>
      </c>
      <c r="C39" s="10">
        <v>0.16</v>
      </c>
      <c r="D39" s="10">
        <v>0.36</v>
      </c>
      <c r="E39" s="10">
        <v>0.48</v>
      </c>
    </row>
    <row r="40" spans="1:6" ht="15" x14ac:dyDescent="0.2">
      <c r="A40" s="8" t="s">
        <v>27</v>
      </c>
    </row>
    <row r="41" spans="1:6" ht="15" x14ac:dyDescent="0.2">
      <c r="A41" s="8" t="s">
        <v>19</v>
      </c>
    </row>
    <row r="42" spans="1:6" ht="15" x14ac:dyDescent="0.2">
      <c r="A42" s="8" t="s">
        <v>24</v>
      </c>
    </row>
    <row r="43" spans="1:6" ht="15" x14ac:dyDescent="0.2">
      <c r="A43" s="8" t="s">
        <v>20</v>
      </c>
    </row>
    <row r="44" spans="1:6" ht="15" x14ac:dyDescent="0.2">
      <c r="A44" s="8" t="s">
        <v>22</v>
      </c>
    </row>
    <row r="45" spans="1:6" ht="15" x14ac:dyDescent="0.2">
      <c r="A45" s="8" t="s">
        <v>28</v>
      </c>
    </row>
    <row r="46" spans="1:6" ht="15" x14ac:dyDescent="0.2">
      <c r="A46" s="8" t="s">
        <v>21</v>
      </c>
    </row>
    <row r="47" spans="1:6" ht="15" x14ac:dyDescent="0.2">
      <c r="A47" s="8" t="s">
        <v>30</v>
      </c>
    </row>
    <row r="48" spans="1:6" ht="15" x14ac:dyDescent="0.2">
      <c r="A48" s="8" t="s">
        <v>29</v>
      </c>
    </row>
  </sheetData>
  <sortState xmlns:xlrd2="http://schemas.microsoft.com/office/spreadsheetml/2017/richdata2" ref="A22:F33">
    <sortCondition descending="1" ref="F22:F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 Project</vt:lpstr>
      <vt:lpstr>New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Trudy Cherasaro</dc:creator>
  <cp:lastModifiedBy>Jim Wright</cp:lastModifiedBy>
  <dcterms:created xsi:type="dcterms:W3CDTF">2021-07-30T19:16:01Z</dcterms:created>
  <dcterms:modified xsi:type="dcterms:W3CDTF">2022-01-30T23:43:22Z</dcterms:modified>
</cp:coreProperties>
</file>