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czm\Documents\excel-python\"/>
    </mc:Choice>
  </mc:AlternateContent>
  <xr:revisionPtr revIDLastSave="0" documentId="13_ncr:1_{A53056BA-7F15-4E8C-B73E-B73628B134F3}" xr6:coauthVersionLast="47" xr6:coauthVersionMax="47" xr10:uidLastSave="{00000000-0000-0000-0000-000000000000}"/>
  <bookViews>
    <workbookView xWindow="-105" yWindow="0" windowWidth="14610" windowHeight="15585" activeTab="1" xr2:uid="{A1CE356C-0B63-4298-806A-3DDE37C20EEE}"/>
  </bookViews>
  <sheets>
    <sheet name="Summary" sheetId="2" r:id="rId1"/>
    <sheet name="Simulation" sheetId="3" r:id="rId2"/>
    <sheet name="Inputs" sheetId="1" r:id="rId3"/>
    <sheet name="Lis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0" i="1" l="1"/>
  <c r="L28" i="1" s="1"/>
  <c r="F3" i="1"/>
  <c r="L3" i="1" s="1"/>
  <c r="L19" i="1" s="1"/>
  <c r="G3" i="1"/>
  <c r="L11" i="1" s="1"/>
  <c r="L27" i="1" s="1"/>
  <c r="BN72" i="1" l="1"/>
  <c r="BM72" i="1"/>
  <c r="BL72" i="1"/>
  <c r="BK72" i="1"/>
  <c r="BJ72" i="1"/>
  <c r="BI72" i="1"/>
  <c r="BH72" i="1"/>
  <c r="BG72" i="1"/>
  <c r="BF72" i="1"/>
  <c r="BE72" i="1"/>
  <c r="BD72" i="1"/>
  <c r="BC72" i="1"/>
  <c r="BN71" i="1"/>
  <c r="BM71" i="1"/>
  <c r="BL71" i="1"/>
  <c r="BK71" i="1"/>
  <c r="BJ71" i="1"/>
  <c r="BI71" i="1"/>
  <c r="BH71" i="1"/>
  <c r="BG71" i="1"/>
  <c r="BF71" i="1"/>
  <c r="BE71" i="1"/>
  <c r="BD71" i="1"/>
  <c r="BC71" i="1"/>
  <c r="C93" i="1"/>
  <c r="G98" i="1" s="1"/>
  <c r="B27" i="1"/>
  <c r="C91" i="1"/>
  <c r="G94" i="1" s="1"/>
  <c r="G71" i="1" s="1"/>
  <c r="G97" i="1"/>
  <c r="B22" i="1" l="1"/>
  <c r="H48" i="1" l="1"/>
  <c r="B9" i="1"/>
  <c r="H47" i="1"/>
  <c r="H98" i="1" s="1"/>
  <c r="B6" i="1"/>
  <c r="G60" i="1" l="1"/>
  <c r="H62" i="1"/>
  <c r="B17" i="1"/>
  <c r="G54" i="1" s="1"/>
  <c r="G55" i="1" s="1"/>
  <c r="G56" i="1" s="1"/>
  <c r="G62" i="1"/>
  <c r="C90" i="1"/>
  <c r="C92" i="1" s="1"/>
  <c r="H50" i="1"/>
  <c r="H51" i="1"/>
  <c r="I47" i="1"/>
  <c r="I98" i="1" s="1"/>
  <c r="H46" i="1"/>
  <c r="I62" i="1" l="1"/>
  <c r="H54" i="1"/>
  <c r="I50" i="1"/>
  <c r="I51" i="1"/>
  <c r="I46" i="1"/>
  <c r="J47" i="1"/>
  <c r="J98" i="1" s="1"/>
  <c r="H60" i="1" l="1"/>
  <c r="H55" i="1"/>
  <c r="H56" i="1" s="1"/>
  <c r="H57" i="1" s="1"/>
  <c r="J62" i="1"/>
  <c r="I54" i="1"/>
  <c r="G57" i="1"/>
  <c r="J50" i="1"/>
  <c r="J51" i="1"/>
  <c r="K47" i="1"/>
  <c r="K98" i="1" s="1"/>
  <c r="J46" i="1"/>
  <c r="I60" i="1" l="1"/>
  <c r="I55" i="1"/>
  <c r="I56" i="1" s="1"/>
  <c r="I57" i="1" s="1"/>
  <c r="J54" i="1"/>
  <c r="K62" i="1"/>
  <c r="K50" i="1"/>
  <c r="K51" i="1"/>
  <c r="L47" i="1"/>
  <c r="L98" i="1" s="1"/>
  <c r="K46" i="1"/>
  <c r="J60" i="1" l="1"/>
  <c r="J55" i="1"/>
  <c r="J56" i="1" s="1"/>
  <c r="J57" i="1" s="1"/>
  <c r="K54" i="1"/>
  <c r="L62" i="1"/>
  <c r="L50" i="1"/>
  <c r="L51" i="1"/>
  <c r="M47" i="1"/>
  <c r="M98" i="1" s="1"/>
  <c r="L46" i="1"/>
  <c r="K60" i="1" l="1"/>
  <c r="K55" i="1"/>
  <c r="K56" i="1" s="1"/>
  <c r="L54" i="1"/>
  <c r="M62" i="1"/>
  <c r="M50" i="1"/>
  <c r="M51" i="1"/>
  <c r="N47" i="1"/>
  <c r="N98" i="1" s="1"/>
  <c r="M46" i="1"/>
  <c r="L60" i="1" l="1"/>
  <c r="L55" i="1"/>
  <c r="L56" i="1" s="1"/>
  <c r="L57" i="1" s="1"/>
  <c r="K57" i="1"/>
  <c r="M54" i="1"/>
  <c r="N62" i="1"/>
  <c r="N50" i="1"/>
  <c r="N51" i="1"/>
  <c r="O47" i="1"/>
  <c r="O98" i="1" s="1"/>
  <c r="N46" i="1"/>
  <c r="M60" i="1" l="1"/>
  <c r="M55" i="1"/>
  <c r="M56" i="1" s="1"/>
  <c r="M57" i="1" s="1"/>
  <c r="N54" i="1"/>
  <c r="O62" i="1"/>
  <c r="O50" i="1"/>
  <c r="O51" i="1"/>
  <c r="P47" i="1"/>
  <c r="P98" i="1" s="1"/>
  <c r="O46" i="1"/>
  <c r="N60" i="1" l="1"/>
  <c r="N55" i="1"/>
  <c r="N56" i="1" s="1"/>
  <c r="N57" i="1" s="1"/>
  <c r="O54" i="1"/>
  <c r="P62" i="1"/>
  <c r="P50" i="1"/>
  <c r="P51" i="1"/>
  <c r="Q47" i="1"/>
  <c r="Q98" i="1" s="1"/>
  <c r="P46" i="1"/>
  <c r="P54" i="1" l="1"/>
  <c r="P55" i="1" s="1"/>
  <c r="P56" i="1" s="1"/>
  <c r="P57" i="1" s="1"/>
  <c r="O60" i="1"/>
  <c r="O55" i="1"/>
  <c r="O56" i="1" s="1"/>
  <c r="O57" i="1" s="1"/>
  <c r="Q62" i="1"/>
  <c r="Q50" i="1"/>
  <c r="Q51" i="1"/>
  <c r="R47" i="1"/>
  <c r="R98" i="1" s="1"/>
  <c r="Q46" i="1"/>
  <c r="P60" i="1" l="1"/>
  <c r="Q54" i="1"/>
  <c r="R62" i="1"/>
  <c r="R50" i="1"/>
  <c r="R51" i="1"/>
  <c r="S47" i="1"/>
  <c r="S98" i="1" s="1"/>
  <c r="R46" i="1"/>
  <c r="Q60" i="1" l="1"/>
  <c r="Q55" i="1"/>
  <c r="Q56" i="1" s="1"/>
  <c r="Q57" i="1" s="1"/>
  <c r="R54" i="1"/>
  <c r="S62" i="1"/>
  <c r="S50" i="1"/>
  <c r="S51" i="1"/>
  <c r="T47" i="1"/>
  <c r="T98" i="1" s="1"/>
  <c r="S46" i="1"/>
  <c r="R60" i="1" l="1"/>
  <c r="R55" i="1"/>
  <c r="R56" i="1" s="1"/>
  <c r="R57" i="1" s="1"/>
  <c r="S54" i="1"/>
  <c r="T62" i="1"/>
  <c r="T50" i="1"/>
  <c r="T51" i="1"/>
  <c r="U47" i="1"/>
  <c r="U98" i="1" s="1"/>
  <c r="T46" i="1"/>
  <c r="T54" i="1" l="1"/>
  <c r="T55" i="1" s="1"/>
  <c r="T56" i="1" s="1"/>
  <c r="T57" i="1" s="1"/>
  <c r="S60" i="1"/>
  <c r="S55" i="1"/>
  <c r="S56" i="1" s="1"/>
  <c r="S57" i="1" s="1"/>
  <c r="U62" i="1"/>
  <c r="U50" i="1"/>
  <c r="U51" i="1"/>
  <c r="V47" i="1"/>
  <c r="V98" i="1" s="1"/>
  <c r="U46" i="1"/>
  <c r="T60" i="1" l="1"/>
  <c r="U54" i="1"/>
  <c r="U55" i="1" s="1"/>
  <c r="U56" i="1" s="1"/>
  <c r="U57" i="1" s="1"/>
  <c r="V62" i="1"/>
  <c r="V50" i="1"/>
  <c r="V51" i="1"/>
  <c r="W47" i="1"/>
  <c r="W98" i="1" s="1"/>
  <c r="V46" i="1"/>
  <c r="U60" i="1" l="1"/>
  <c r="V54" i="1"/>
  <c r="W62" i="1"/>
  <c r="W50" i="1"/>
  <c r="W51" i="1"/>
  <c r="X47" i="1"/>
  <c r="X98" i="1" s="1"/>
  <c r="W46" i="1"/>
  <c r="V60" i="1" l="1"/>
  <c r="V55" i="1"/>
  <c r="V56" i="1" s="1"/>
  <c r="V57" i="1" s="1"/>
  <c r="W54" i="1"/>
  <c r="X62" i="1"/>
  <c r="X50" i="1"/>
  <c r="X51" i="1"/>
  <c r="Y47" i="1"/>
  <c r="Y98" i="1" s="1"/>
  <c r="X46" i="1"/>
  <c r="X54" i="1" l="1"/>
  <c r="X55" i="1" s="1"/>
  <c r="X56" i="1" s="1"/>
  <c r="X57" i="1" s="1"/>
  <c r="W60" i="1"/>
  <c r="W55" i="1"/>
  <c r="W56" i="1" s="1"/>
  <c r="W57" i="1" s="1"/>
  <c r="Y62" i="1"/>
  <c r="Y50" i="1"/>
  <c r="Y51" i="1"/>
  <c r="Z47" i="1"/>
  <c r="Z98" i="1" s="1"/>
  <c r="Y46" i="1"/>
  <c r="X60" i="1" l="1"/>
  <c r="Y54" i="1"/>
  <c r="Z62" i="1"/>
  <c r="Z50" i="1"/>
  <c r="Z51" i="1"/>
  <c r="AA47" i="1"/>
  <c r="AA98" i="1" s="1"/>
  <c r="Z46" i="1"/>
  <c r="Z54" i="1" l="1"/>
  <c r="Z55" i="1" s="1"/>
  <c r="Z56" i="1" s="1"/>
  <c r="Z57" i="1" s="1"/>
  <c r="Y60" i="1"/>
  <c r="Y55" i="1"/>
  <c r="Y56" i="1" s="1"/>
  <c r="Y57" i="1" s="1"/>
  <c r="AA62" i="1"/>
  <c r="AA50" i="1"/>
  <c r="AA51" i="1"/>
  <c r="AB47" i="1"/>
  <c r="AB98" i="1" s="1"/>
  <c r="AA46" i="1"/>
  <c r="Z60" i="1" l="1"/>
  <c r="AA54" i="1"/>
  <c r="AA55" i="1" s="1"/>
  <c r="AA56" i="1" s="1"/>
  <c r="AB62" i="1"/>
  <c r="AB50" i="1"/>
  <c r="AB51" i="1"/>
  <c r="AC47" i="1"/>
  <c r="AC98" i="1" s="1"/>
  <c r="AB46" i="1"/>
  <c r="AA57" i="1" l="1"/>
  <c r="AA60" i="1"/>
  <c r="AB54" i="1"/>
  <c r="AC62" i="1"/>
  <c r="AC50" i="1"/>
  <c r="AC51" i="1"/>
  <c r="AD47" i="1"/>
  <c r="AD98" i="1" s="1"/>
  <c r="AC46" i="1"/>
  <c r="AB60" i="1" l="1"/>
  <c r="AB55" i="1"/>
  <c r="AB56" i="1" s="1"/>
  <c r="AB57" i="1" s="1"/>
  <c r="AC54" i="1"/>
  <c r="AD62" i="1"/>
  <c r="AD50" i="1"/>
  <c r="AD51" i="1"/>
  <c r="AE47" i="1"/>
  <c r="AE98" i="1" s="1"/>
  <c r="AD46" i="1"/>
  <c r="AC60" i="1" l="1"/>
  <c r="AC55" i="1"/>
  <c r="AC56" i="1" s="1"/>
  <c r="AC57" i="1" s="1"/>
  <c r="AD54" i="1"/>
  <c r="AD55" i="1" s="1"/>
  <c r="AD56" i="1" s="1"/>
  <c r="AD57" i="1" s="1"/>
  <c r="AE62" i="1"/>
  <c r="AE50" i="1"/>
  <c r="AE51" i="1"/>
  <c r="AF47" i="1"/>
  <c r="AF98" i="1" s="1"/>
  <c r="AE46" i="1"/>
  <c r="AD60" i="1" l="1"/>
  <c r="AE54" i="1"/>
  <c r="AF62" i="1"/>
  <c r="AF50" i="1"/>
  <c r="AF51" i="1"/>
  <c r="AG47" i="1"/>
  <c r="AG98" i="1" s="1"/>
  <c r="AF46" i="1"/>
  <c r="AE60" i="1" l="1"/>
  <c r="AE55" i="1"/>
  <c r="AE56" i="1" s="1"/>
  <c r="AE57" i="1" s="1"/>
  <c r="AG62" i="1"/>
  <c r="AF54" i="1"/>
  <c r="AG50" i="1"/>
  <c r="AG51" i="1"/>
  <c r="AH47" i="1"/>
  <c r="AH98" i="1" s="1"/>
  <c r="AG46" i="1"/>
  <c r="AF60" i="1" l="1"/>
  <c r="AF55" i="1"/>
  <c r="AF56" i="1" s="1"/>
  <c r="AF57" i="1" s="1"/>
  <c r="AG54" i="1"/>
  <c r="AH62" i="1"/>
  <c r="AH50" i="1"/>
  <c r="AH51" i="1"/>
  <c r="AI47" i="1"/>
  <c r="AI98" i="1" s="1"/>
  <c r="AH46" i="1"/>
  <c r="AG60" i="1" l="1"/>
  <c r="AG55" i="1"/>
  <c r="AG56" i="1" s="1"/>
  <c r="AG57" i="1" s="1"/>
  <c r="AH54" i="1"/>
  <c r="AI62" i="1"/>
  <c r="AI50" i="1"/>
  <c r="AI51" i="1"/>
  <c r="AJ47" i="1"/>
  <c r="AJ98" i="1" s="1"/>
  <c r="AI46" i="1"/>
  <c r="AH60" i="1" l="1"/>
  <c r="AH55" i="1"/>
  <c r="AH56" i="1" s="1"/>
  <c r="AH57" i="1" s="1"/>
  <c r="AJ62" i="1"/>
  <c r="AI54" i="1"/>
  <c r="AJ50" i="1"/>
  <c r="AJ51" i="1"/>
  <c r="AK47" i="1"/>
  <c r="AK98" i="1" s="1"/>
  <c r="AJ46" i="1"/>
  <c r="AI60" i="1" l="1"/>
  <c r="AI55" i="1"/>
  <c r="AI56" i="1" s="1"/>
  <c r="AJ54" i="1"/>
  <c r="AK62" i="1"/>
  <c r="AK50" i="1"/>
  <c r="AK51" i="1"/>
  <c r="AL47" i="1"/>
  <c r="AL98" i="1" s="1"/>
  <c r="AK46" i="1"/>
  <c r="AI57" i="1" l="1"/>
  <c r="AJ60" i="1"/>
  <c r="AJ55" i="1"/>
  <c r="AJ56" i="1" s="1"/>
  <c r="AJ57" i="1" s="1"/>
  <c r="AL62" i="1"/>
  <c r="AK54" i="1"/>
  <c r="AL50" i="1"/>
  <c r="AL51" i="1"/>
  <c r="AM47" i="1"/>
  <c r="AM98" i="1" s="1"/>
  <c r="AL46" i="1"/>
  <c r="AK60" i="1" l="1"/>
  <c r="AK55" i="1"/>
  <c r="AK56" i="1" s="1"/>
  <c r="AK57" i="1" s="1"/>
  <c r="AL54" i="1"/>
  <c r="AM62" i="1"/>
  <c r="AM51" i="1"/>
  <c r="AM50" i="1"/>
  <c r="AN47" i="1"/>
  <c r="AN98" i="1" s="1"/>
  <c r="AM46" i="1"/>
  <c r="AL60" i="1" l="1"/>
  <c r="AL55" i="1"/>
  <c r="AL56" i="1" s="1"/>
  <c r="AL57" i="1" s="1"/>
  <c r="AM54" i="1"/>
  <c r="AN62" i="1"/>
  <c r="AN50" i="1"/>
  <c r="AN51" i="1"/>
  <c r="AO47" i="1"/>
  <c r="AO98" i="1" s="1"/>
  <c r="AN46" i="1"/>
  <c r="AM60" i="1" l="1"/>
  <c r="AM55" i="1"/>
  <c r="AM56" i="1" s="1"/>
  <c r="AM57" i="1" s="1"/>
  <c r="AO62" i="1"/>
  <c r="AN54" i="1"/>
  <c r="AO51" i="1"/>
  <c r="AO50" i="1"/>
  <c r="AP47" i="1"/>
  <c r="AP98" i="1" s="1"/>
  <c r="AO46" i="1"/>
  <c r="AN60" i="1" l="1"/>
  <c r="AN55" i="1"/>
  <c r="AN56" i="1" s="1"/>
  <c r="AN57" i="1" s="1"/>
  <c r="AO54" i="1"/>
  <c r="AP62" i="1"/>
  <c r="AP51" i="1"/>
  <c r="AP50" i="1"/>
  <c r="AQ47" i="1"/>
  <c r="AQ98" i="1" s="1"/>
  <c r="AP46" i="1"/>
  <c r="AP54" i="1" l="1"/>
  <c r="AP55" i="1" s="1"/>
  <c r="AP56" i="1" s="1"/>
  <c r="AP57" i="1" s="1"/>
  <c r="AO60" i="1"/>
  <c r="AO55" i="1"/>
  <c r="AO56" i="1" s="1"/>
  <c r="AO57" i="1" s="1"/>
  <c r="AQ62" i="1"/>
  <c r="AQ51" i="1"/>
  <c r="AQ50" i="1"/>
  <c r="AR47" i="1"/>
  <c r="AR98" i="1" s="1"/>
  <c r="AQ46" i="1"/>
  <c r="AP60" i="1" l="1"/>
  <c r="AQ54" i="1"/>
  <c r="AQ55" i="1" s="1"/>
  <c r="AQ56" i="1" s="1"/>
  <c r="AR62" i="1"/>
  <c r="AR51" i="1"/>
  <c r="AR50" i="1"/>
  <c r="AS47" i="1"/>
  <c r="AS98" i="1" s="1"/>
  <c r="AR46" i="1"/>
  <c r="AQ60" i="1" l="1"/>
  <c r="AR54" i="1"/>
  <c r="AQ57" i="1"/>
  <c r="AS62" i="1"/>
  <c r="AS51" i="1"/>
  <c r="AS50" i="1"/>
  <c r="AT47" i="1"/>
  <c r="AT98" i="1" s="1"/>
  <c r="AS46" i="1"/>
  <c r="AS54" i="1" l="1"/>
  <c r="AS55" i="1" s="1"/>
  <c r="AS56" i="1" s="1"/>
  <c r="AS57" i="1" s="1"/>
  <c r="AR60" i="1"/>
  <c r="AR55" i="1"/>
  <c r="AR56" i="1" s="1"/>
  <c r="AR57" i="1" s="1"/>
  <c r="AT62" i="1"/>
  <c r="AT51" i="1"/>
  <c r="AT50" i="1"/>
  <c r="AU47" i="1"/>
  <c r="AU98" i="1" s="1"/>
  <c r="AT46" i="1"/>
  <c r="AS60" i="1" l="1"/>
  <c r="AT54" i="1"/>
  <c r="AT55" i="1" s="1"/>
  <c r="AT56" i="1" s="1"/>
  <c r="AT57" i="1" s="1"/>
  <c r="F98" i="1"/>
  <c r="AU62" i="1"/>
  <c r="AU51" i="1"/>
  <c r="AU50" i="1"/>
  <c r="AV47" i="1"/>
  <c r="AV98" i="1" s="1"/>
  <c r="AU46" i="1"/>
  <c r="AT60" i="1" l="1"/>
  <c r="AU54" i="1"/>
  <c r="AV62" i="1"/>
  <c r="AV51" i="1"/>
  <c r="AV50" i="1"/>
  <c r="AW47" i="1"/>
  <c r="AW98" i="1" s="1"/>
  <c r="AV46" i="1"/>
  <c r="AV54" i="1" l="1"/>
  <c r="AV55" i="1" s="1"/>
  <c r="AV56" i="1" s="1"/>
  <c r="AV57" i="1" s="1"/>
  <c r="AU60" i="1"/>
  <c r="AU55" i="1"/>
  <c r="AU56" i="1" s="1"/>
  <c r="AU57" i="1" s="1"/>
  <c r="AW62" i="1"/>
  <c r="AW51" i="1"/>
  <c r="AW50" i="1"/>
  <c r="AX47" i="1"/>
  <c r="AX98" i="1" s="1"/>
  <c r="AW46" i="1"/>
  <c r="AV60" i="1" l="1"/>
  <c r="AW54" i="1"/>
  <c r="AW55" i="1" s="1"/>
  <c r="AW56" i="1" s="1"/>
  <c r="AW57" i="1" s="1"/>
  <c r="AX62" i="1"/>
  <c r="AX51" i="1"/>
  <c r="AX50" i="1"/>
  <c r="AY47" i="1"/>
  <c r="AY98" i="1" s="1"/>
  <c r="AX46" i="1"/>
  <c r="AW60" i="1" l="1"/>
  <c r="AX54" i="1"/>
  <c r="AX55" i="1" s="1"/>
  <c r="AX56" i="1" s="1"/>
  <c r="AX57" i="1" s="1"/>
  <c r="AY62" i="1"/>
  <c r="AY51" i="1"/>
  <c r="AY50" i="1"/>
  <c r="AZ47" i="1"/>
  <c r="AZ98" i="1" s="1"/>
  <c r="AY46" i="1"/>
  <c r="AX60" i="1" l="1"/>
  <c r="AY54" i="1"/>
  <c r="AZ62" i="1"/>
  <c r="AZ51" i="1"/>
  <c r="AZ50" i="1"/>
  <c r="BA47" i="1"/>
  <c r="BA98" i="1" s="1"/>
  <c r="AZ46" i="1"/>
  <c r="AY60" i="1" l="1"/>
  <c r="AY55" i="1"/>
  <c r="AY56" i="1" s="1"/>
  <c r="AZ54" i="1"/>
  <c r="BA62" i="1"/>
  <c r="BA51" i="1"/>
  <c r="BA50" i="1"/>
  <c r="BB47" i="1"/>
  <c r="BB98" i="1" s="1"/>
  <c r="BA46" i="1"/>
  <c r="BA54" i="1" l="1"/>
  <c r="BA55" i="1" s="1"/>
  <c r="BA56" i="1" s="1"/>
  <c r="BA57" i="1" s="1"/>
  <c r="AY57" i="1"/>
  <c r="AZ60" i="1"/>
  <c r="AZ55" i="1"/>
  <c r="AZ56" i="1" s="1"/>
  <c r="AZ57" i="1" s="1"/>
  <c r="BB51" i="1"/>
  <c r="BB62" i="1"/>
  <c r="BB50" i="1"/>
  <c r="BC47" i="1"/>
  <c r="BB46" i="1"/>
  <c r="BA60" i="1" l="1"/>
  <c r="BB54" i="1"/>
  <c r="BC51" i="1"/>
  <c r="BC62" i="1"/>
  <c r="BC50" i="1"/>
  <c r="BD47" i="1"/>
  <c r="BC46" i="1"/>
  <c r="BB60" i="1" l="1"/>
  <c r="BB55" i="1"/>
  <c r="BB56" i="1" s="1"/>
  <c r="BB57" i="1" s="1"/>
  <c r="BC54" i="1"/>
  <c r="BD51" i="1"/>
  <c r="BD62" i="1"/>
  <c r="BD50" i="1"/>
  <c r="BE47" i="1"/>
  <c r="BD46" i="1"/>
  <c r="BD54" i="1" l="1"/>
  <c r="BD55" i="1" s="1"/>
  <c r="BD56" i="1" s="1"/>
  <c r="BD57" i="1" s="1"/>
  <c r="BC60" i="1"/>
  <c r="BC55" i="1"/>
  <c r="BC56" i="1" s="1"/>
  <c r="BC57" i="1" s="1"/>
  <c r="BE51" i="1"/>
  <c r="BE62" i="1"/>
  <c r="BE50" i="1"/>
  <c r="BF47" i="1"/>
  <c r="BE46" i="1"/>
  <c r="BD60" i="1" l="1"/>
  <c r="BF51" i="1"/>
  <c r="BF62" i="1"/>
  <c r="BE54" i="1"/>
  <c r="BF50" i="1"/>
  <c r="BG47" i="1"/>
  <c r="BF46" i="1"/>
  <c r="BE60" i="1" l="1"/>
  <c r="BE55" i="1"/>
  <c r="BE56" i="1" s="1"/>
  <c r="BE57" i="1" s="1"/>
  <c r="BG51" i="1"/>
  <c r="BG62" i="1"/>
  <c r="BF54" i="1"/>
  <c r="BG50" i="1"/>
  <c r="BH47" i="1"/>
  <c r="BG46" i="1"/>
  <c r="BF60" i="1" l="1"/>
  <c r="BF55" i="1"/>
  <c r="BF56" i="1" s="1"/>
  <c r="BF57" i="1" s="1"/>
  <c r="BH51" i="1"/>
  <c r="BH62" i="1"/>
  <c r="BG54" i="1"/>
  <c r="BH50" i="1"/>
  <c r="BI47" i="1"/>
  <c r="BH46" i="1"/>
  <c r="BG60" i="1" l="1"/>
  <c r="BG55" i="1"/>
  <c r="BG56" i="1" s="1"/>
  <c r="BG57" i="1" s="1"/>
  <c r="BI51" i="1"/>
  <c r="BI62" i="1"/>
  <c r="BH54" i="1"/>
  <c r="BI50" i="1"/>
  <c r="BJ47" i="1"/>
  <c r="BI46" i="1"/>
  <c r="BH60" i="1" l="1"/>
  <c r="BH55" i="1"/>
  <c r="BH56" i="1" s="1"/>
  <c r="BH57" i="1" s="1"/>
  <c r="BI54" i="1"/>
  <c r="BJ51" i="1"/>
  <c r="BJ62" i="1"/>
  <c r="BJ50" i="1"/>
  <c r="BK47" i="1"/>
  <c r="BJ46" i="1"/>
  <c r="BI60" i="1" l="1"/>
  <c r="BI55" i="1"/>
  <c r="BI56" i="1" s="1"/>
  <c r="BI57" i="1" s="1"/>
  <c r="BK51" i="1"/>
  <c r="BK62" i="1"/>
  <c r="BJ54" i="1"/>
  <c r="BK50" i="1"/>
  <c r="BL47" i="1"/>
  <c r="BK46" i="1"/>
  <c r="BJ60" i="1" l="1"/>
  <c r="BJ55" i="1"/>
  <c r="BJ56" i="1" s="1"/>
  <c r="BJ57" i="1" s="1"/>
  <c r="BK54" i="1"/>
  <c r="BK55" i="1" s="1"/>
  <c r="BK56" i="1" s="1"/>
  <c r="BK57" i="1" s="1"/>
  <c r="BL51" i="1"/>
  <c r="BL62" i="1"/>
  <c r="BL50" i="1"/>
  <c r="BM47" i="1"/>
  <c r="BL46" i="1"/>
  <c r="BK60" i="1" l="1"/>
  <c r="BL54" i="1"/>
  <c r="BM51" i="1"/>
  <c r="BM62" i="1"/>
  <c r="BM50" i="1"/>
  <c r="BN47" i="1"/>
  <c r="BM46" i="1"/>
  <c r="BL60" i="1" l="1"/>
  <c r="BL55" i="1"/>
  <c r="BL56" i="1" s="1"/>
  <c r="BL57" i="1" s="1"/>
  <c r="BN51" i="1"/>
  <c r="BN62" i="1"/>
  <c r="F62" i="1" s="1"/>
  <c r="F22" i="1" s="1"/>
  <c r="BM54" i="1"/>
  <c r="BN50" i="1"/>
  <c r="BN46" i="1"/>
  <c r="BM60" i="1" l="1"/>
  <c r="BM55" i="1"/>
  <c r="BM56" i="1" s="1"/>
  <c r="BM57" i="1" s="1"/>
  <c r="H90" i="1"/>
  <c r="H99" i="1" s="1"/>
  <c r="G90" i="1"/>
  <c r="I90" i="1"/>
  <c r="I99" i="1" s="1"/>
  <c r="J90" i="1"/>
  <c r="J99" i="1" s="1"/>
  <c r="K90" i="1"/>
  <c r="K99" i="1" s="1"/>
  <c r="L90" i="1"/>
  <c r="L99" i="1" s="1"/>
  <c r="M90" i="1"/>
  <c r="M99" i="1" s="1"/>
  <c r="N90" i="1"/>
  <c r="N99" i="1" s="1"/>
  <c r="O90" i="1"/>
  <c r="O99" i="1" s="1"/>
  <c r="P90" i="1"/>
  <c r="P99" i="1" s="1"/>
  <c r="Q90" i="1"/>
  <c r="Q99" i="1" s="1"/>
  <c r="R90" i="1"/>
  <c r="R99" i="1" s="1"/>
  <c r="S90" i="1"/>
  <c r="S99" i="1" s="1"/>
  <c r="T90" i="1"/>
  <c r="T99" i="1" s="1"/>
  <c r="U90" i="1"/>
  <c r="U99" i="1" s="1"/>
  <c r="V90" i="1"/>
  <c r="V99" i="1" s="1"/>
  <c r="W90" i="1"/>
  <c r="W99" i="1" s="1"/>
  <c r="X90" i="1"/>
  <c r="X99" i="1" s="1"/>
  <c r="Y90" i="1"/>
  <c r="Y99" i="1" s="1"/>
  <c r="Z90" i="1"/>
  <c r="Z99" i="1" s="1"/>
  <c r="AA90" i="1"/>
  <c r="AA99" i="1" s="1"/>
  <c r="AB90" i="1"/>
  <c r="AB99" i="1" s="1"/>
  <c r="AC90" i="1"/>
  <c r="AC99" i="1" s="1"/>
  <c r="AD90" i="1"/>
  <c r="AD99" i="1" s="1"/>
  <c r="AE90" i="1"/>
  <c r="AE99" i="1" s="1"/>
  <c r="AF90" i="1"/>
  <c r="AF99" i="1" s="1"/>
  <c r="AG90" i="1"/>
  <c r="AG99" i="1" s="1"/>
  <c r="AH90" i="1"/>
  <c r="AH99" i="1" s="1"/>
  <c r="AI90" i="1"/>
  <c r="AI99" i="1" s="1"/>
  <c r="AJ90" i="1"/>
  <c r="AJ99" i="1" s="1"/>
  <c r="AK90" i="1"/>
  <c r="AK99" i="1" s="1"/>
  <c r="AL90" i="1"/>
  <c r="AL99" i="1" s="1"/>
  <c r="AM90" i="1"/>
  <c r="AM99" i="1" s="1"/>
  <c r="AN90" i="1"/>
  <c r="AN99" i="1" s="1"/>
  <c r="AO90" i="1"/>
  <c r="AO99" i="1" s="1"/>
  <c r="AP90" i="1"/>
  <c r="AP99" i="1" s="1"/>
  <c r="AQ90" i="1"/>
  <c r="AQ99" i="1" s="1"/>
  <c r="AR90" i="1"/>
  <c r="AR99" i="1" s="1"/>
  <c r="AS90" i="1"/>
  <c r="AS99" i="1" s="1"/>
  <c r="AT90" i="1"/>
  <c r="AT99" i="1" s="1"/>
  <c r="AU90" i="1"/>
  <c r="AU99" i="1" s="1"/>
  <c r="AV90" i="1"/>
  <c r="AV99" i="1" s="1"/>
  <c r="AW90" i="1"/>
  <c r="AW99" i="1" s="1"/>
  <c r="AX90" i="1"/>
  <c r="AX99" i="1" s="1"/>
  <c r="AY90" i="1"/>
  <c r="AY99" i="1" s="1"/>
  <c r="AZ90" i="1"/>
  <c r="AZ99" i="1" s="1"/>
  <c r="BA90" i="1"/>
  <c r="BA99" i="1" s="1"/>
  <c r="BB90" i="1"/>
  <c r="BB99" i="1" s="1"/>
  <c r="BN54" i="1"/>
  <c r="F54" i="1" s="1"/>
  <c r="F14" i="1" s="1"/>
  <c r="G14" i="1" s="1"/>
  <c r="F51" i="1"/>
  <c r="F50" i="1"/>
  <c r="G22" i="1" l="1"/>
  <c r="B37" i="1" a="1"/>
  <c r="B37" i="1" s="1"/>
  <c r="H64" i="1" s="1"/>
  <c r="BN60" i="1"/>
  <c r="BN55" i="1"/>
  <c r="BN56" i="1" s="1"/>
  <c r="BN57" i="1" s="1"/>
  <c r="G99" i="1"/>
  <c r="F90" i="1"/>
  <c r="G91" i="1"/>
  <c r="H91" i="1"/>
  <c r="H100" i="1" s="1"/>
  <c r="H72" i="1" s="1"/>
  <c r="I91" i="1"/>
  <c r="I100" i="1" s="1"/>
  <c r="I72" i="1" s="1"/>
  <c r="J91" i="1"/>
  <c r="J100" i="1" s="1"/>
  <c r="J72" i="1" s="1"/>
  <c r="K91" i="1"/>
  <c r="K100" i="1" s="1"/>
  <c r="K72" i="1" s="1"/>
  <c r="L91" i="1"/>
  <c r="L100" i="1" s="1"/>
  <c r="L72" i="1" s="1"/>
  <c r="M91" i="1"/>
  <c r="M100" i="1" s="1"/>
  <c r="M72" i="1" s="1"/>
  <c r="N91" i="1"/>
  <c r="N100" i="1" s="1"/>
  <c r="N72" i="1" s="1"/>
  <c r="O91" i="1"/>
  <c r="O100" i="1" s="1"/>
  <c r="O72" i="1" s="1"/>
  <c r="P91" i="1"/>
  <c r="P100" i="1" s="1"/>
  <c r="P72" i="1" s="1"/>
  <c r="Q91" i="1"/>
  <c r="Q100" i="1" s="1"/>
  <c r="Q72" i="1" s="1"/>
  <c r="R91" i="1"/>
  <c r="R100" i="1" s="1"/>
  <c r="R72" i="1" s="1"/>
  <c r="S91" i="1"/>
  <c r="S100" i="1" s="1"/>
  <c r="S72" i="1" s="1"/>
  <c r="T91" i="1"/>
  <c r="T100" i="1" s="1"/>
  <c r="T72" i="1" s="1"/>
  <c r="U91" i="1"/>
  <c r="U100" i="1" s="1"/>
  <c r="U72" i="1" s="1"/>
  <c r="V91" i="1"/>
  <c r="V100" i="1" s="1"/>
  <c r="V72" i="1" s="1"/>
  <c r="W91" i="1"/>
  <c r="W100" i="1" s="1"/>
  <c r="W72" i="1" s="1"/>
  <c r="X91" i="1"/>
  <c r="X100" i="1" s="1"/>
  <c r="X72" i="1" s="1"/>
  <c r="Y91" i="1"/>
  <c r="Y100" i="1" s="1"/>
  <c r="Y72" i="1" s="1"/>
  <c r="Z91" i="1"/>
  <c r="Z100" i="1" s="1"/>
  <c r="Z72" i="1" s="1"/>
  <c r="AA91" i="1"/>
  <c r="AA100" i="1" s="1"/>
  <c r="AA72" i="1" s="1"/>
  <c r="AB91" i="1"/>
  <c r="AB100" i="1" s="1"/>
  <c r="AB72" i="1" s="1"/>
  <c r="AC91" i="1"/>
  <c r="AC100" i="1" s="1"/>
  <c r="AC72" i="1" s="1"/>
  <c r="AD91" i="1"/>
  <c r="AD100" i="1" s="1"/>
  <c r="AD72" i="1" s="1"/>
  <c r="AE91" i="1"/>
  <c r="AE100" i="1" s="1"/>
  <c r="AE72" i="1" s="1"/>
  <c r="AF91" i="1"/>
  <c r="AF100" i="1" s="1"/>
  <c r="AF72" i="1" s="1"/>
  <c r="AG91" i="1"/>
  <c r="AG100" i="1" s="1"/>
  <c r="AG72" i="1" s="1"/>
  <c r="AH91" i="1"/>
  <c r="AH100" i="1" s="1"/>
  <c r="AH72" i="1" s="1"/>
  <c r="AI91" i="1"/>
  <c r="AI100" i="1" s="1"/>
  <c r="AI72" i="1" s="1"/>
  <c r="AJ91" i="1"/>
  <c r="AJ100" i="1" s="1"/>
  <c r="AJ72" i="1" s="1"/>
  <c r="AK91" i="1"/>
  <c r="AK100" i="1" s="1"/>
  <c r="AK72" i="1" s="1"/>
  <c r="AL91" i="1"/>
  <c r="AL100" i="1" s="1"/>
  <c r="AL72" i="1" s="1"/>
  <c r="AM91" i="1"/>
  <c r="AM100" i="1" s="1"/>
  <c r="AM72" i="1" s="1"/>
  <c r="AN91" i="1"/>
  <c r="AN100" i="1" s="1"/>
  <c r="AN72" i="1" s="1"/>
  <c r="AO91" i="1"/>
  <c r="AO100" i="1" s="1"/>
  <c r="AO72" i="1" s="1"/>
  <c r="AP91" i="1"/>
  <c r="AP100" i="1" s="1"/>
  <c r="AP72" i="1" s="1"/>
  <c r="AQ91" i="1"/>
  <c r="AQ100" i="1" s="1"/>
  <c r="AQ72" i="1" s="1"/>
  <c r="AR91" i="1"/>
  <c r="AR100" i="1" s="1"/>
  <c r="AR72" i="1" s="1"/>
  <c r="AS91" i="1"/>
  <c r="AS100" i="1" s="1"/>
  <c r="AS72" i="1" s="1"/>
  <c r="AT91" i="1"/>
  <c r="AT100" i="1" s="1"/>
  <c r="AT72" i="1" s="1"/>
  <c r="AU91" i="1"/>
  <c r="AU100" i="1" s="1"/>
  <c r="AU72" i="1" s="1"/>
  <c r="AV91" i="1"/>
  <c r="AV100" i="1" s="1"/>
  <c r="AV72" i="1" s="1"/>
  <c r="AW91" i="1"/>
  <c r="AW100" i="1" s="1"/>
  <c r="AW72" i="1" s="1"/>
  <c r="AX91" i="1"/>
  <c r="AX100" i="1" s="1"/>
  <c r="AX72" i="1" s="1"/>
  <c r="AY91" i="1"/>
  <c r="AY100" i="1" s="1"/>
  <c r="AY72" i="1" s="1"/>
  <c r="AZ91" i="1"/>
  <c r="AZ100" i="1" s="1"/>
  <c r="AZ72" i="1" s="1"/>
  <c r="BA91" i="1"/>
  <c r="BA100" i="1" s="1"/>
  <c r="BA72" i="1" s="1"/>
  <c r="BB91" i="1"/>
  <c r="BB100" i="1" s="1"/>
  <c r="BB72" i="1" s="1"/>
  <c r="G64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C61" i="1"/>
  <c r="AD61" i="1"/>
  <c r="AE61" i="1"/>
  <c r="AF61" i="1"/>
  <c r="AG61" i="1"/>
  <c r="AH61" i="1"/>
  <c r="AI61" i="1"/>
  <c r="AJ61" i="1"/>
  <c r="AK61" i="1"/>
  <c r="AL61" i="1"/>
  <c r="AM61" i="1"/>
  <c r="AN61" i="1"/>
  <c r="AO61" i="1"/>
  <c r="AP61" i="1"/>
  <c r="AQ61" i="1"/>
  <c r="AR61" i="1"/>
  <c r="AS61" i="1"/>
  <c r="AT61" i="1"/>
  <c r="AU61" i="1"/>
  <c r="AV61" i="1"/>
  <c r="AW61" i="1"/>
  <c r="AX61" i="1"/>
  <c r="AY61" i="1"/>
  <c r="AZ61" i="1"/>
  <c r="BA61" i="1"/>
  <c r="BB61" i="1"/>
  <c r="BC61" i="1"/>
  <c r="BD61" i="1"/>
  <c r="BE61" i="1"/>
  <c r="BF61" i="1"/>
  <c r="BG61" i="1"/>
  <c r="BH61" i="1"/>
  <c r="BI61" i="1"/>
  <c r="BJ61" i="1"/>
  <c r="BK61" i="1"/>
  <c r="BL61" i="1"/>
  <c r="BM61" i="1"/>
  <c r="BN61" i="1"/>
  <c r="G67" i="1" l="1"/>
  <c r="G63" i="1"/>
  <c r="F56" i="1"/>
  <c r="F16" i="1" s="1"/>
  <c r="G16" i="1" s="1"/>
  <c r="BN66" i="1"/>
  <c r="BK64" i="1"/>
  <c r="Y66" i="1"/>
  <c r="H66" i="1"/>
  <c r="AX64" i="1"/>
  <c r="G65" i="1"/>
  <c r="AP66" i="1"/>
  <c r="AG64" i="1"/>
  <c r="BE64" i="1"/>
  <c r="Y65" i="1"/>
  <c r="AX66" i="1"/>
  <c r="G66" i="1"/>
  <c r="AG65" i="1"/>
  <c r="AX65" i="1"/>
  <c r="X66" i="1"/>
  <c r="BK65" i="1"/>
  <c r="Q66" i="1"/>
  <c r="BF66" i="1"/>
  <c r="AO65" i="1"/>
  <c r="P64" i="1"/>
  <c r="AP65" i="1"/>
  <c r="BF64" i="1"/>
  <c r="AH64" i="1"/>
  <c r="O65" i="1"/>
  <c r="BK66" i="1"/>
  <c r="AO66" i="1"/>
  <c r="O66" i="1"/>
  <c r="BJ66" i="1"/>
  <c r="AL64" i="1"/>
  <c r="BI66" i="1"/>
  <c r="BB64" i="1"/>
  <c r="AT66" i="1"/>
  <c r="AK65" i="1"/>
  <c r="AC65" i="1"/>
  <c r="T66" i="1"/>
  <c r="L65" i="1"/>
  <c r="BC65" i="1"/>
  <c r="AF64" i="1"/>
  <c r="AU66" i="1"/>
  <c r="U66" i="1"/>
  <c r="BN64" i="1"/>
  <c r="BH65" i="1"/>
  <c r="BA66" i="1"/>
  <c r="AS64" i="1"/>
  <c r="AK66" i="1"/>
  <c r="AB65" i="1"/>
  <c r="T64" i="1"/>
  <c r="L66" i="1"/>
  <c r="AW65" i="1"/>
  <c r="W65" i="1"/>
  <c r="BC64" i="1"/>
  <c r="AC64" i="1"/>
  <c r="L64" i="1"/>
  <c r="BN65" i="1"/>
  <c r="BF65" i="1"/>
  <c r="BA65" i="1"/>
  <c r="AS65" i="1"/>
  <c r="AJ64" i="1"/>
  <c r="AB66" i="1"/>
  <c r="T65" i="1"/>
  <c r="J65" i="1"/>
  <c r="AN64" i="1"/>
  <c r="W66" i="1"/>
  <c r="J66" i="1"/>
  <c r="BM65" i="1"/>
  <c r="BI64" i="1"/>
  <c r="BE65" i="1"/>
  <c r="AZ64" i="1"/>
  <c r="AV64" i="1"/>
  <c r="AR64" i="1"/>
  <c r="AM65" i="1"/>
  <c r="AJ66" i="1"/>
  <c r="AE66" i="1"/>
  <c r="Z66" i="1"/>
  <c r="W64" i="1"/>
  <c r="R64" i="1"/>
  <c r="N66" i="1"/>
  <c r="J64" i="1"/>
  <c r="AW66" i="1"/>
  <c r="AJ65" i="1"/>
  <c r="AE65" i="1"/>
  <c r="R65" i="1"/>
  <c r="BM66" i="1"/>
  <c r="BH64" i="1"/>
  <c r="BD65" i="1"/>
  <c r="AZ65" i="1"/>
  <c r="AU65" i="1"/>
  <c r="AR66" i="1"/>
  <c r="AM66" i="1"/>
  <c r="AH65" i="1"/>
  <c r="AE64" i="1"/>
  <c r="Z65" i="1"/>
  <c r="V64" i="1"/>
  <c r="R66" i="1"/>
  <c r="M66" i="1"/>
  <c r="I65" i="1"/>
  <c r="AR65" i="1"/>
  <c r="AB64" i="1"/>
  <c r="O64" i="1"/>
  <c r="BL64" i="1"/>
  <c r="BH66" i="1"/>
  <c r="BC66" i="1"/>
  <c r="AZ66" i="1"/>
  <c r="AU64" i="1"/>
  <c r="AP64" i="1"/>
  <c r="AM64" i="1"/>
  <c r="AH66" i="1"/>
  <c r="AD64" i="1"/>
  <c r="Z64" i="1"/>
  <c r="U65" i="1"/>
  <c r="Q65" i="1"/>
  <c r="M65" i="1"/>
  <c r="I66" i="1"/>
  <c r="BM64" i="1"/>
  <c r="BJ65" i="1"/>
  <c r="BG65" i="1"/>
  <c r="BE66" i="1"/>
  <c r="BB66" i="1"/>
  <c r="AY66" i="1"/>
  <c r="AW64" i="1"/>
  <c r="AT64" i="1"/>
  <c r="AQ64" i="1"/>
  <c r="AO64" i="1"/>
  <c r="AL66" i="1"/>
  <c r="AI64" i="1"/>
  <c r="AG66" i="1"/>
  <c r="AD66" i="1"/>
  <c r="AA64" i="1"/>
  <c r="Y64" i="1"/>
  <c r="V66" i="1"/>
  <c r="S64" i="1"/>
  <c r="Q64" i="1"/>
  <c r="N65" i="1"/>
  <c r="K64" i="1"/>
  <c r="I64" i="1"/>
  <c r="BL65" i="1"/>
  <c r="BJ64" i="1"/>
  <c r="BG64" i="1"/>
  <c r="BD64" i="1"/>
  <c r="BB65" i="1"/>
  <c r="AY64" i="1"/>
  <c r="AV65" i="1"/>
  <c r="AT65" i="1"/>
  <c r="AQ65" i="1"/>
  <c r="AN65" i="1"/>
  <c r="AL65" i="1"/>
  <c r="AI65" i="1"/>
  <c r="AF65" i="1"/>
  <c r="AD65" i="1"/>
  <c r="AA65" i="1"/>
  <c r="X64" i="1"/>
  <c r="V65" i="1"/>
  <c r="S65" i="1"/>
  <c r="P65" i="1"/>
  <c r="N64" i="1"/>
  <c r="K66" i="1"/>
  <c r="H65" i="1"/>
  <c r="BL66" i="1"/>
  <c r="BI65" i="1"/>
  <c r="BG66" i="1"/>
  <c r="BD66" i="1"/>
  <c r="BA64" i="1"/>
  <c r="AY65" i="1"/>
  <c r="AV66" i="1"/>
  <c r="AS66" i="1"/>
  <c r="AQ66" i="1"/>
  <c r="AN66" i="1"/>
  <c r="AK64" i="1"/>
  <c r="AI66" i="1"/>
  <c r="AF66" i="1"/>
  <c r="AC66" i="1"/>
  <c r="AA66" i="1"/>
  <c r="X65" i="1"/>
  <c r="U64" i="1"/>
  <c r="S66" i="1"/>
  <c r="P66" i="1"/>
  <c r="M64" i="1"/>
  <c r="K65" i="1"/>
  <c r="F55" i="1"/>
  <c r="F99" i="1"/>
  <c r="B100" i="1" s="1"/>
  <c r="F91" i="1"/>
  <c r="G100" i="1"/>
  <c r="F100" i="1" s="1"/>
  <c r="B101" i="1" s="1"/>
  <c r="AZ63" i="1"/>
  <c r="AZ67" i="1"/>
  <c r="AJ63" i="1"/>
  <c r="AJ67" i="1"/>
  <c r="T63" i="1"/>
  <c r="T67" i="1"/>
  <c r="BG63" i="1"/>
  <c r="BG67" i="1"/>
  <c r="AY63" i="1"/>
  <c r="AY67" i="1"/>
  <c r="AQ63" i="1"/>
  <c r="AQ67" i="1"/>
  <c r="AI63" i="1"/>
  <c r="AI67" i="1"/>
  <c r="AA63" i="1"/>
  <c r="AA67" i="1"/>
  <c r="S63" i="1"/>
  <c r="S67" i="1"/>
  <c r="K63" i="1"/>
  <c r="K67" i="1"/>
  <c r="BN63" i="1"/>
  <c r="BN67" i="1"/>
  <c r="BF63" i="1"/>
  <c r="BF67" i="1"/>
  <c r="AX63" i="1"/>
  <c r="AX67" i="1"/>
  <c r="AP63" i="1"/>
  <c r="AP67" i="1"/>
  <c r="AH63" i="1"/>
  <c r="AH67" i="1"/>
  <c r="Z63" i="1"/>
  <c r="Z67" i="1"/>
  <c r="R63" i="1"/>
  <c r="R67" i="1"/>
  <c r="J63" i="1"/>
  <c r="J67" i="1"/>
  <c r="BI63" i="1"/>
  <c r="BI67" i="1"/>
  <c r="AS63" i="1"/>
  <c r="AS67" i="1"/>
  <c r="AC63" i="1"/>
  <c r="AC67" i="1"/>
  <c r="BH63" i="1"/>
  <c r="BH67" i="1"/>
  <c r="AR63" i="1"/>
  <c r="AR67" i="1"/>
  <c r="AB63" i="1"/>
  <c r="AB67" i="1"/>
  <c r="L63" i="1"/>
  <c r="L67" i="1"/>
  <c r="BM63" i="1"/>
  <c r="BM67" i="1"/>
  <c r="BE63" i="1"/>
  <c r="BE67" i="1"/>
  <c r="AW63" i="1"/>
  <c r="AW67" i="1"/>
  <c r="AO63" i="1"/>
  <c r="AO67" i="1"/>
  <c r="AG63" i="1"/>
  <c r="AG67" i="1"/>
  <c r="Y63" i="1"/>
  <c r="Y67" i="1"/>
  <c r="Q63" i="1"/>
  <c r="Q67" i="1"/>
  <c r="I63" i="1"/>
  <c r="I67" i="1"/>
  <c r="BL63" i="1"/>
  <c r="BL67" i="1"/>
  <c r="AV63" i="1"/>
  <c r="AV67" i="1"/>
  <c r="AF63" i="1"/>
  <c r="AF67" i="1"/>
  <c r="H63" i="1"/>
  <c r="H67" i="1"/>
  <c r="BK63" i="1"/>
  <c r="BK67" i="1"/>
  <c r="BC63" i="1"/>
  <c r="BC67" i="1"/>
  <c r="AU63" i="1"/>
  <c r="AU67" i="1"/>
  <c r="AM63" i="1"/>
  <c r="AM67" i="1"/>
  <c r="AE63" i="1"/>
  <c r="AE67" i="1"/>
  <c r="W63" i="1"/>
  <c r="W67" i="1"/>
  <c r="O63" i="1"/>
  <c r="O67" i="1"/>
  <c r="BA63" i="1"/>
  <c r="BA67" i="1"/>
  <c r="AK63" i="1"/>
  <c r="AK67" i="1"/>
  <c r="U63" i="1"/>
  <c r="U67" i="1"/>
  <c r="M63" i="1"/>
  <c r="M67" i="1"/>
  <c r="BD63" i="1"/>
  <c r="BD67" i="1"/>
  <c r="AN63" i="1"/>
  <c r="AN67" i="1"/>
  <c r="X63" i="1"/>
  <c r="X67" i="1"/>
  <c r="P63" i="1"/>
  <c r="P67" i="1"/>
  <c r="BJ63" i="1"/>
  <c r="BJ67" i="1"/>
  <c r="BB63" i="1"/>
  <c r="BB67" i="1"/>
  <c r="AT63" i="1"/>
  <c r="AT67" i="1"/>
  <c r="AL63" i="1"/>
  <c r="AL67" i="1"/>
  <c r="AD63" i="1"/>
  <c r="AD67" i="1"/>
  <c r="V63" i="1"/>
  <c r="V67" i="1"/>
  <c r="N63" i="1"/>
  <c r="N67" i="1"/>
  <c r="F61" i="1"/>
  <c r="F21" i="1" s="1"/>
  <c r="G21" i="1" s="1"/>
  <c r="F57" i="1" l="1"/>
  <c r="F15" i="1"/>
  <c r="G15" i="1" s="1"/>
  <c r="G68" i="1"/>
  <c r="G75" i="1" s="1"/>
  <c r="G76" i="1" s="1"/>
  <c r="F65" i="1"/>
  <c r="F25" i="1" s="1"/>
  <c r="G25" i="1" s="1"/>
  <c r="F64" i="1"/>
  <c r="F24" i="1" s="1"/>
  <c r="G24" i="1" s="1"/>
  <c r="F66" i="1"/>
  <c r="F26" i="1" s="1"/>
  <c r="G26" i="1" s="1"/>
  <c r="B99" i="1"/>
  <c r="G101" i="1"/>
  <c r="G72" i="1"/>
  <c r="F72" i="1" s="1"/>
  <c r="H68" i="1"/>
  <c r="H75" i="1" s="1"/>
  <c r="F67" i="1"/>
  <c r="F27" i="1" s="1"/>
  <c r="G27" i="1" s="1"/>
  <c r="F63" i="1"/>
  <c r="F23" i="1" s="1"/>
  <c r="G23" i="1" s="1"/>
  <c r="I68" i="1"/>
  <c r="I75" i="1" s="1"/>
  <c r="J68" i="1"/>
  <c r="J75" i="1" s="1"/>
  <c r="F17" i="1" l="1"/>
  <c r="G17" i="1" s="1"/>
  <c r="G79" i="1"/>
  <c r="G80" i="1" s="1"/>
  <c r="H97" i="1"/>
  <c r="H101" i="1" s="1"/>
  <c r="H94" i="1"/>
  <c r="H71" i="1" s="1"/>
  <c r="H76" i="1"/>
  <c r="I76" i="1" s="1"/>
  <c r="J76" i="1" s="1"/>
  <c r="I94" i="1" l="1"/>
  <c r="I71" i="1" s="1"/>
  <c r="I79" i="1" s="1"/>
  <c r="I97" i="1"/>
  <c r="I101" i="1" s="1"/>
  <c r="H79" i="1"/>
  <c r="H80" i="1" s="1"/>
  <c r="L68" i="1"/>
  <c r="L75" i="1" s="1"/>
  <c r="K68" i="1"/>
  <c r="K75" i="1" s="1"/>
  <c r="I80" i="1" l="1"/>
  <c r="J94" i="1"/>
  <c r="J71" i="1" s="1"/>
  <c r="J79" i="1" s="1"/>
  <c r="J97" i="1"/>
  <c r="J101" i="1" s="1"/>
  <c r="K76" i="1"/>
  <c r="J80" i="1" l="1"/>
  <c r="K97" i="1"/>
  <c r="K101" i="1" s="1"/>
  <c r="K94" i="1"/>
  <c r="K71" i="1" s="1"/>
  <c r="K79" i="1" s="1"/>
  <c r="L76" i="1"/>
  <c r="M68" i="1"/>
  <c r="M75" i="1" s="1"/>
  <c r="K80" i="1" l="1"/>
  <c r="L94" i="1"/>
  <c r="L71" i="1" s="1"/>
  <c r="L79" i="1" s="1"/>
  <c r="L97" i="1"/>
  <c r="L101" i="1" s="1"/>
  <c r="M76" i="1"/>
  <c r="N68" i="1"/>
  <c r="N75" i="1" s="1"/>
  <c r="L80" i="1" l="1"/>
  <c r="M94" i="1"/>
  <c r="M71" i="1" s="1"/>
  <c r="M79" i="1" s="1"/>
  <c r="M97" i="1"/>
  <c r="M101" i="1" s="1"/>
  <c r="N76" i="1"/>
  <c r="O68" i="1"/>
  <c r="O75" i="1" s="1"/>
  <c r="M80" i="1" l="1"/>
  <c r="N94" i="1"/>
  <c r="N71" i="1" s="1"/>
  <c r="N79" i="1" s="1"/>
  <c r="N97" i="1"/>
  <c r="N101" i="1" s="1"/>
  <c r="O76" i="1"/>
  <c r="P68" i="1"/>
  <c r="P75" i="1" s="1"/>
  <c r="N80" i="1" l="1"/>
  <c r="O97" i="1"/>
  <c r="O101" i="1" s="1"/>
  <c r="O94" i="1"/>
  <c r="O71" i="1" s="1"/>
  <c r="O79" i="1" s="1"/>
  <c r="P76" i="1"/>
  <c r="Q68" i="1"/>
  <c r="Q75" i="1" s="1"/>
  <c r="O80" i="1" l="1"/>
  <c r="P94" i="1"/>
  <c r="P71" i="1" s="1"/>
  <c r="P79" i="1" s="1"/>
  <c r="P97" i="1"/>
  <c r="P101" i="1" s="1"/>
  <c r="Q76" i="1"/>
  <c r="R68" i="1"/>
  <c r="R75" i="1" s="1"/>
  <c r="P80" i="1" l="1"/>
  <c r="Q97" i="1"/>
  <c r="Q101" i="1" s="1"/>
  <c r="Q94" i="1"/>
  <c r="Q71" i="1" s="1"/>
  <c r="Q79" i="1" s="1"/>
  <c r="R76" i="1"/>
  <c r="S68" i="1"/>
  <c r="S75" i="1" s="1"/>
  <c r="Q80" i="1" l="1"/>
  <c r="R97" i="1"/>
  <c r="R101" i="1" s="1"/>
  <c r="R94" i="1"/>
  <c r="R71" i="1" s="1"/>
  <c r="R79" i="1" s="1"/>
  <c r="S76" i="1"/>
  <c r="T68" i="1"/>
  <c r="T75" i="1" s="1"/>
  <c r="R80" i="1" l="1"/>
  <c r="S97" i="1"/>
  <c r="S101" i="1" s="1"/>
  <c r="S94" i="1"/>
  <c r="S71" i="1" s="1"/>
  <c r="S79" i="1" s="1"/>
  <c r="T76" i="1"/>
  <c r="U68" i="1"/>
  <c r="U75" i="1" s="1"/>
  <c r="S80" i="1" l="1"/>
  <c r="T97" i="1"/>
  <c r="T101" i="1" s="1"/>
  <c r="T94" i="1"/>
  <c r="T71" i="1" s="1"/>
  <c r="T79" i="1" s="1"/>
  <c r="U76" i="1"/>
  <c r="V68" i="1"/>
  <c r="V75" i="1" s="1"/>
  <c r="T80" i="1" l="1"/>
  <c r="U97" i="1"/>
  <c r="U101" i="1" s="1"/>
  <c r="U94" i="1"/>
  <c r="U71" i="1" s="1"/>
  <c r="U79" i="1" s="1"/>
  <c r="V76" i="1"/>
  <c r="W68" i="1"/>
  <c r="W75" i="1" s="1"/>
  <c r="U80" i="1" l="1"/>
  <c r="V97" i="1"/>
  <c r="V101" i="1" s="1"/>
  <c r="V94" i="1"/>
  <c r="V71" i="1" s="1"/>
  <c r="V79" i="1" s="1"/>
  <c r="W76" i="1"/>
  <c r="X68" i="1"/>
  <c r="X75" i="1" s="1"/>
  <c r="V80" i="1" l="1"/>
  <c r="W97" i="1"/>
  <c r="W101" i="1" s="1"/>
  <c r="W94" i="1"/>
  <c r="W71" i="1" s="1"/>
  <c r="W79" i="1" s="1"/>
  <c r="X76" i="1"/>
  <c r="Y68" i="1"/>
  <c r="Y75" i="1" s="1"/>
  <c r="W80" i="1" l="1"/>
  <c r="X94" i="1"/>
  <c r="X71" i="1" s="1"/>
  <c r="X79" i="1" s="1"/>
  <c r="X97" i="1"/>
  <c r="X101" i="1" s="1"/>
  <c r="Y76" i="1"/>
  <c r="Z68" i="1"/>
  <c r="Z75" i="1" s="1"/>
  <c r="X80" i="1" l="1"/>
  <c r="Y97" i="1"/>
  <c r="Y101" i="1" s="1"/>
  <c r="Y94" i="1"/>
  <c r="Y71" i="1" s="1"/>
  <c r="Y79" i="1" s="1"/>
  <c r="Z76" i="1"/>
  <c r="AA68" i="1"/>
  <c r="AA75" i="1" s="1"/>
  <c r="Y80" i="1" l="1"/>
  <c r="Z94" i="1"/>
  <c r="Z71" i="1" s="1"/>
  <c r="Z79" i="1" s="1"/>
  <c r="Z97" i="1"/>
  <c r="Z101" i="1" s="1"/>
  <c r="AA76" i="1"/>
  <c r="AB68" i="1"/>
  <c r="AB75" i="1" s="1"/>
  <c r="Z80" i="1" l="1"/>
  <c r="AA94" i="1"/>
  <c r="AA71" i="1" s="1"/>
  <c r="AA79" i="1" s="1"/>
  <c r="AA97" i="1"/>
  <c r="AA101" i="1" s="1"/>
  <c r="AB76" i="1"/>
  <c r="AC68" i="1"/>
  <c r="AC75" i="1" s="1"/>
  <c r="AA80" i="1" l="1"/>
  <c r="AB94" i="1"/>
  <c r="AB71" i="1" s="1"/>
  <c r="AB79" i="1" s="1"/>
  <c r="AB97" i="1"/>
  <c r="AB101" i="1" s="1"/>
  <c r="AC76" i="1"/>
  <c r="AD68" i="1"/>
  <c r="AD75" i="1" s="1"/>
  <c r="AB80" i="1" l="1"/>
  <c r="AC97" i="1"/>
  <c r="AC101" i="1" s="1"/>
  <c r="AC94" i="1"/>
  <c r="AC71" i="1" s="1"/>
  <c r="AC79" i="1" s="1"/>
  <c r="AD76" i="1"/>
  <c r="AE68" i="1"/>
  <c r="AE75" i="1" s="1"/>
  <c r="AC80" i="1" l="1"/>
  <c r="AD94" i="1"/>
  <c r="AD71" i="1" s="1"/>
  <c r="AD79" i="1" s="1"/>
  <c r="AD97" i="1"/>
  <c r="AD101" i="1" s="1"/>
  <c r="AE76" i="1"/>
  <c r="AF68" i="1"/>
  <c r="AF75" i="1" s="1"/>
  <c r="AD80" i="1" l="1"/>
  <c r="AE97" i="1"/>
  <c r="AE101" i="1" s="1"/>
  <c r="AE94" i="1"/>
  <c r="AE71" i="1" s="1"/>
  <c r="AE79" i="1" s="1"/>
  <c r="AF76" i="1"/>
  <c r="AG68" i="1"/>
  <c r="AG75" i="1" s="1"/>
  <c r="AE80" i="1" l="1"/>
  <c r="AF94" i="1"/>
  <c r="AF71" i="1" s="1"/>
  <c r="AF79" i="1" s="1"/>
  <c r="AF97" i="1"/>
  <c r="AF101" i="1" s="1"/>
  <c r="AG76" i="1"/>
  <c r="AH68" i="1"/>
  <c r="AH75" i="1" s="1"/>
  <c r="AF80" i="1" l="1"/>
  <c r="AG97" i="1"/>
  <c r="AG101" i="1" s="1"/>
  <c r="AG94" i="1"/>
  <c r="AG71" i="1" s="1"/>
  <c r="AG79" i="1" s="1"/>
  <c r="AH76" i="1"/>
  <c r="AI68" i="1"/>
  <c r="AI75" i="1" s="1"/>
  <c r="AG80" i="1" l="1"/>
  <c r="AH97" i="1"/>
  <c r="AH101" i="1" s="1"/>
  <c r="AH94" i="1"/>
  <c r="AH71" i="1" s="1"/>
  <c r="AH79" i="1" s="1"/>
  <c r="AI76" i="1"/>
  <c r="AJ68" i="1"/>
  <c r="AJ75" i="1" s="1"/>
  <c r="AH80" i="1" l="1"/>
  <c r="AI97" i="1"/>
  <c r="AI101" i="1" s="1"/>
  <c r="AI94" i="1"/>
  <c r="AI71" i="1" s="1"/>
  <c r="AI79" i="1" s="1"/>
  <c r="AJ76" i="1"/>
  <c r="AK68" i="1"/>
  <c r="AK75" i="1" s="1"/>
  <c r="AI80" i="1" l="1"/>
  <c r="AJ97" i="1"/>
  <c r="AJ101" i="1" s="1"/>
  <c r="AJ94" i="1"/>
  <c r="AJ71" i="1" s="1"/>
  <c r="AJ79" i="1" s="1"/>
  <c r="AK76" i="1"/>
  <c r="AL68" i="1"/>
  <c r="AL75" i="1" s="1"/>
  <c r="AJ80" i="1" l="1"/>
  <c r="AK94" i="1"/>
  <c r="AK71" i="1" s="1"/>
  <c r="AK79" i="1" s="1"/>
  <c r="AK97" i="1"/>
  <c r="AK101" i="1" s="1"/>
  <c r="AL76" i="1"/>
  <c r="AM68" i="1"/>
  <c r="AM75" i="1" s="1"/>
  <c r="AK80" i="1" l="1"/>
  <c r="AL94" i="1"/>
  <c r="AL71" i="1" s="1"/>
  <c r="AL79" i="1" s="1"/>
  <c r="AL97" i="1"/>
  <c r="AL101" i="1" s="1"/>
  <c r="AM76" i="1"/>
  <c r="AN68" i="1"/>
  <c r="AN75" i="1" s="1"/>
  <c r="AL80" i="1" l="1"/>
  <c r="AM97" i="1"/>
  <c r="AM101" i="1" s="1"/>
  <c r="AM94" i="1"/>
  <c r="AM71" i="1" s="1"/>
  <c r="AM79" i="1" s="1"/>
  <c r="AN76" i="1"/>
  <c r="AO68" i="1"/>
  <c r="AO75" i="1" s="1"/>
  <c r="AM80" i="1" l="1"/>
  <c r="AN94" i="1"/>
  <c r="AN71" i="1" s="1"/>
  <c r="AN79" i="1" s="1"/>
  <c r="AN97" i="1"/>
  <c r="AN101" i="1" s="1"/>
  <c r="AO76" i="1"/>
  <c r="AP68" i="1"/>
  <c r="AP75" i="1" s="1"/>
  <c r="AN80" i="1" l="1"/>
  <c r="AO94" i="1"/>
  <c r="AO71" i="1" s="1"/>
  <c r="AO79" i="1" s="1"/>
  <c r="AO97" i="1"/>
  <c r="AO101" i="1" s="1"/>
  <c r="AP76" i="1"/>
  <c r="AQ68" i="1"/>
  <c r="AQ75" i="1" s="1"/>
  <c r="AO80" i="1" l="1"/>
  <c r="AP97" i="1"/>
  <c r="AP101" i="1" s="1"/>
  <c r="AP94" i="1"/>
  <c r="AP71" i="1" s="1"/>
  <c r="AP79" i="1" s="1"/>
  <c r="AQ76" i="1"/>
  <c r="AR68" i="1"/>
  <c r="AR75" i="1" s="1"/>
  <c r="AP80" i="1" l="1"/>
  <c r="AQ97" i="1"/>
  <c r="AQ101" i="1" s="1"/>
  <c r="AQ94" i="1"/>
  <c r="AQ71" i="1" s="1"/>
  <c r="AQ79" i="1" s="1"/>
  <c r="AR76" i="1"/>
  <c r="AS68" i="1"/>
  <c r="AS75" i="1" s="1"/>
  <c r="AQ80" i="1" l="1"/>
  <c r="AR94" i="1"/>
  <c r="AR71" i="1" s="1"/>
  <c r="AR79" i="1" s="1"/>
  <c r="AR97" i="1"/>
  <c r="AR101" i="1" s="1"/>
  <c r="AS76" i="1"/>
  <c r="AT68" i="1"/>
  <c r="AT75" i="1" s="1"/>
  <c r="AR80" i="1" l="1"/>
  <c r="AS94" i="1"/>
  <c r="AS71" i="1" s="1"/>
  <c r="AS79" i="1" s="1"/>
  <c r="AS97" i="1"/>
  <c r="AS101" i="1" s="1"/>
  <c r="AT76" i="1"/>
  <c r="AU68" i="1"/>
  <c r="AU75" i="1" s="1"/>
  <c r="AS80" i="1" l="1"/>
  <c r="AT94" i="1"/>
  <c r="AT71" i="1" s="1"/>
  <c r="AT79" i="1" s="1"/>
  <c r="AT97" i="1"/>
  <c r="AT101" i="1" s="1"/>
  <c r="AU76" i="1"/>
  <c r="AV68" i="1"/>
  <c r="AV75" i="1" s="1"/>
  <c r="AT80" i="1" l="1"/>
  <c r="AU97" i="1"/>
  <c r="AU101" i="1" s="1"/>
  <c r="AU94" i="1"/>
  <c r="AU71" i="1" s="1"/>
  <c r="AU79" i="1" s="1"/>
  <c r="AV76" i="1"/>
  <c r="AW68" i="1"/>
  <c r="AW75" i="1" s="1"/>
  <c r="AU80" i="1" l="1"/>
  <c r="AV94" i="1"/>
  <c r="AV71" i="1" s="1"/>
  <c r="AV79" i="1" s="1"/>
  <c r="AV97" i="1"/>
  <c r="AV101" i="1" s="1"/>
  <c r="AW76" i="1"/>
  <c r="AX68" i="1"/>
  <c r="AX75" i="1" s="1"/>
  <c r="AV80" i="1" l="1"/>
  <c r="AW94" i="1"/>
  <c r="AW71" i="1" s="1"/>
  <c r="AW79" i="1" s="1"/>
  <c r="AW97" i="1"/>
  <c r="AW101" i="1" s="1"/>
  <c r="AX76" i="1"/>
  <c r="AY68" i="1"/>
  <c r="AY75" i="1" s="1"/>
  <c r="AW80" i="1" l="1"/>
  <c r="AX97" i="1"/>
  <c r="AX101" i="1" s="1"/>
  <c r="AX94" i="1"/>
  <c r="AX71" i="1" s="1"/>
  <c r="AX79" i="1" s="1"/>
  <c r="AY76" i="1"/>
  <c r="AZ68" i="1"/>
  <c r="AZ75" i="1" s="1"/>
  <c r="AX80" i="1" l="1"/>
  <c r="AY94" i="1"/>
  <c r="AY71" i="1" s="1"/>
  <c r="AY79" i="1" s="1"/>
  <c r="AY97" i="1"/>
  <c r="AY101" i="1" s="1"/>
  <c r="AZ76" i="1"/>
  <c r="BA68" i="1"/>
  <c r="BA75" i="1" s="1"/>
  <c r="AY80" i="1" l="1"/>
  <c r="AZ97" i="1"/>
  <c r="AZ101" i="1" s="1"/>
  <c r="AZ94" i="1"/>
  <c r="AZ71" i="1" s="1"/>
  <c r="AZ79" i="1" s="1"/>
  <c r="BA76" i="1"/>
  <c r="BB68" i="1"/>
  <c r="BB75" i="1" s="1"/>
  <c r="AZ80" i="1" l="1"/>
  <c r="BA97" i="1"/>
  <c r="BA101" i="1" s="1"/>
  <c r="BA94" i="1"/>
  <c r="BA71" i="1" s="1"/>
  <c r="BA79" i="1" s="1"/>
  <c r="BB76" i="1"/>
  <c r="BC68" i="1"/>
  <c r="BC75" i="1" s="1"/>
  <c r="BC79" i="1" s="1"/>
  <c r="BA80" i="1" l="1"/>
  <c r="BB94" i="1"/>
  <c r="BB97" i="1"/>
  <c r="BB101" i="1" s="1"/>
  <c r="BC76" i="1"/>
  <c r="BD68" i="1"/>
  <c r="BD75" i="1" s="1"/>
  <c r="BD79" i="1" s="1"/>
  <c r="F94" i="1" l="1"/>
  <c r="BB71" i="1"/>
  <c r="BD76" i="1"/>
  <c r="BE68" i="1"/>
  <c r="BE75" i="1" s="1"/>
  <c r="BE79" i="1" s="1"/>
  <c r="F71" i="1" l="1"/>
  <c r="F31" i="1" s="1"/>
  <c r="G31" i="1" s="1"/>
  <c r="BB79" i="1"/>
  <c r="BB80" i="1" s="1"/>
  <c r="BC80" i="1" s="1"/>
  <c r="BD80" i="1" s="1"/>
  <c r="BE80" i="1" s="1"/>
  <c r="BE76" i="1"/>
  <c r="BF68" i="1"/>
  <c r="BF75" i="1" s="1"/>
  <c r="BF79" i="1" s="1"/>
  <c r="BF80" i="1" l="1"/>
  <c r="BF76" i="1"/>
  <c r="BG68" i="1"/>
  <c r="BG75" i="1" s="1"/>
  <c r="BG79" i="1" s="1"/>
  <c r="BG80" i="1" l="1"/>
  <c r="BG76" i="1"/>
  <c r="BH68" i="1"/>
  <c r="BH75" i="1" s="1"/>
  <c r="BH79" i="1" s="1"/>
  <c r="BH80" i="1" l="1"/>
  <c r="BH76" i="1"/>
  <c r="BI68" i="1"/>
  <c r="BI75" i="1" s="1"/>
  <c r="BI79" i="1" s="1"/>
  <c r="BI80" i="1" l="1"/>
  <c r="BI76" i="1"/>
  <c r="BJ68" i="1"/>
  <c r="BJ75" i="1" s="1"/>
  <c r="BJ79" i="1" s="1"/>
  <c r="BJ80" i="1" l="1"/>
  <c r="BJ76" i="1"/>
  <c r="BK68" i="1"/>
  <c r="BK75" i="1" s="1"/>
  <c r="BK79" i="1" s="1"/>
  <c r="BK80" i="1" l="1"/>
  <c r="BK76" i="1"/>
  <c r="BL68" i="1"/>
  <c r="BL75" i="1" s="1"/>
  <c r="BL79" i="1" s="1"/>
  <c r="BL80" i="1" l="1"/>
  <c r="BL76" i="1"/>
  <c r="BM68" i="1"/>
  <c r="BM75" i="1" s="1"/>
  <c r="BM79" i="1" s="1"/>
  <c r="BM80" i="1" l="1"/>
  <c r="BM76" i="1"/>
  <c r="F60" i="1"/>
  <c r="BN68" i="1"/>
  <c r="BN75" i="1" s="1"/>
  <c r="F68" i="1" l="1"/>
  <c r="F79" i="1" s="1"/>
  <c r="F20" i="1"/>
  <c r="G20" i="1" s="1"/>
  <c r="BN79" i="1"/>
  <c r="F5" i="1"/>
  <c r="F4" i="1"/>
  <c r="L21" i="1" s="1"/>
  <c r="BN76" i="1"/>
  <c r="G8" i="1" l="1"/>
  <c r="F39" i="1"/>
  <c r="G39" i="1" s="1"/>
  <c r="F75" i="1"/>
  <c r="F28" i="1"/>
  <c r="G28" i="1" s="1"/>
  <c r="F7" i="1"/>
  <c r="F6" i="1"/>
  <c r="F10" i="1"/>
  <c r="G4" i="1"/>
  <c r="L29" i="1" s="1"/>
  <c r="G5" i="1"/>
  <c r="BN80" i="1"/>
  <c r="F8" i="1" l="1"/>
  <c r="F35" i="1"/>
  <c r="G35" i="1" s="1"/>
  <c r="F9" i="1"/>
  <c r="L5" i="1"/>
  <c r="G6" i="1"/>
  <c r="L13" i="1" s="1"/>
  <c r="G7" i="1"/>
  <c r="G10" i="1"/>
  <c r="G9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<sst xmlns="http://schemas.openxmlformats.org/spreadsheetml/2006/main" count="169" uniqueCount="95">
  <si>
    <t>Assumptions</t>
  </si>
  <si>
    <t>Land</t>
  </si>
  <si>
    <t>Acquisition</t>
  </si>
  <si>
    <t>Area m2</t>
  </si>
  <si>
    <t>Price m2</t>
  </si>
  <si>
    <t>Down payment %</t>
  </si>
  <si>
    <t>Construction</t>
  </si>
  <si>
    <t>Developable area</t>
  </si>
  <si>
    <t>Soft Cost</t>
  </si>
  <si>
    <t>Hard Cost</t>
  </si>
  <si>
    <t>Absortions</t>
  </si>
  <si>
    <t xml:space="preserve">Avg Hard Cost m2 </t>
  </si>
  <si>
    <t>Monthly absorption</t>
  </si>
  <si>
    <t>Price sale m2</t>
  </si>
  <si>
    <t>Avg Units size</t>
  </si>
  <si>
    <t>Units</t>
  </si>
  <si>
    <t>Revenue</t>
  </si>
  <si>
    <t>Multi-Unit Apartments</t>
  </si>
  <si>
    <t>Comission</t>
  </si>
  <si>
    <t>Closing Cost</t>
  </si>
  <si>
    <t xml:space="preserve">Net Income </t>
  </si>
  <si>
    <t>Expenses</t>
  </si>
  <si>
    <t>Construction Management</t>
  </si>
  <si>
    <t>Contigency</t>
  </si>
  <si>
    <t>Trust fee</t>
  </si>
  <si>
    <t>Developer</t>
  </si>
  <si>
    <t>Marketing</t>
  </si>
  <si>
    <t>Financing Cost</t>
  </si>
  <si>
    <t>Interest</t>
  </si>
  <si>
    <t>Unlevered Cash Flow</t>
  </si>
  <si>
    <t>Net Cash Flow</t>
  </si>
  <si>
    <t>Cumulative</t>
  </si>
  <si>
    <t>Levered Cash Flow</t>
  </si>
  <si>
    <t>Pre-Tax IRR</t>
  </si>
  <si>
    <t>NPV</t>
  </si>
  <si>
    <t>Invested Capital</t>
  </si>
  <si>
    <t>Date</t>
  </si>
  <si>
    <t>NOI</t>
  </si>
  <si>
    <t>MOIC</t>
  </si>
  <si>
    <t>Payback</t>
  </si>
  <si>
    <t>Year</t>
  </si>
  <si>
    <t>Month</t>
  </si>
  <si>
    <t>Sales start (Month)</t>
  </si>
  <si>
    <t>Total</t>
  </si>
  <si>
    <t>Sales</t>
  </si>
  <si>
    <t>Titling</t>
  </si>
  <si>
    <t>Monthly Titling</t>
  </si>
  <si>
    <t>Titling start (Month)</t>
  </si>
  <si>
    <t>Construction start (Month)</t>
  </si>
  <si>
    <r>
      <t>Construction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Period</t>
    </r>
    <r>
      <rPr>
        <sz val="9"/>
        <rFont val="Calibri"/>
        <family val="2"/>
        <scheme val="minor"/>
      </rPr>
      <t xml:space="preserve"> (Month)</t>
    </r>
  </si>
  <si>
    <t>Commison</t>
  </si>
  <si>
    <t>Management</t>
  </si>
  <si>
    <t>Developer Fee</t>
  </si>
  <si>
    <t>Titling cost</t>
  </si>
  <si>
    <t xml:space="preserve">Financing Cash flow </t>
  </si>
  <si>
    <t>SFL</t>
  </si>
  <si>
    <t>Gross Sales</t>
  </si>
  <si>
    <t>Max Loan -to-Gross Sales</t>
  </si>
  <si>
    <t>Advance</t>
  </si>
  <si>
    <r>
      <t xml:space="preserve">Financing Costs | </t>
    </r>
    <r>
      <rPr>
        <i/>
        <sz val="12"/>
        <color indexed="8"/>
        <rFont val="Calibri"/>
        <family val="2"/>
        <scheme val="minor"/>
      </rPr>
      <t>Mx$mm's</t>
    </r>
  </si>
  <si>
    <t>Interests</t>
  </si>
  <si>
    <t>Interest Rate</t>
  </si>
  <si>
    <t>Accelerated Amortization</t>
  </si>
  <si>
    <r>
      <t xml:space="preserve">Loan Balance | </t>
    </r>
    <r>
      <rPr>
        <i/>
        <sz val="12"/>
        <color indexed="8"/>
        <rFont val="Calibri"/>
        <family val="2"/>
        <scheme val="minor"/>
      </rPr>
      <t>Mx$mm's</t>
    </r>
  </si>
  <si>
    <t>Loan Amount</t>
  </si>
  <si>
    <t>Beginning Balance</t>
  </si>
  <si>
    <t>Month Start</t>
  </si>
  <si>
    <t>Down payment</t>
  </si>
  <si>
    <t>Openning Fee</t>
  </si>
  <si>
    <t>Advances</t>
  </si>
  <si>
    <t>Payments</t>
  </si>
  <si>
    <t>Ending Balance</t>
  </si>
  <si>
    <t>Check</t>
  </si>
  <si>
    <t>Construction Loan</t>
  </si>
  <si>
    <t>Financing Plans</t>
  </si>
  <si>
    <t xml:space="preserve">Soft Cost % </t>
  </si>
  <si>
    <t>Interest rate</t>
  </si>
  <si>
    <t>Time</t>
  </si>
  <si>
    <t>Months projects</t>
  </si>
  <si>
    <t xml:space="preserve"> </t>
  </si>
  <si>
    <t>Invesment Summary</t>
  </si>
  <si>
    <t>Sensitivy analysis</t>
  </si>
  <si>
    <t>M2</t>
  </si>
  <si>
    <t xml:space="preserve">Cash Flow </t>
  </si>
  <si>
    <t xml:space="preserve">Inputs </t>
  </si>
  <si>
    <t xml:space="preserve">No. Simulation </t>
  </si>
  <si>
    <r>
      <t>Construction Period</t>
    </r>
    <r>
      <rPr>
        <sz val="9"/>
        <rFont val="Calibri"/>
        <family val="2"/>
        <scheme val="minor"/>
      </rPr>
      <t xml:space="preserve"> (Month)</t>
    </r>
  </si>
  <si>
    <t>Variable</t>
  </si>
  <si>
    <t>Range</t>
  </si>
  <si>
    <t xml:space="preserve">Avg Sales price </t>
  </si>
  <si>
    <t>count</t>
  </si>
  <si>
    <t>mean</t>
  </si>
  <si>
    <t>std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</si>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</sst>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* #,##0_-;\(#,##0\)_-;_-* &quot;-&quot;_-;_-@_-"/>
    <numFmt numFmtId="165" formatCode="#,##0\ &quot;M2&quot;"/>
    <numFmt numFmtId="166" formatCode="_-&quot;$&quot;* #,##0_-;\-&quot;$&quot;* #,##0_-;_-&quot;$&quot;* &quot;-&quot;??_-;_-@_-"/>
    <numFmt numFmtId="167" formatCode="0.0%"/>
    <numFmt numFmtId="168" formatCode="_-&quot;$&quot;* #,##0.000000000_-;\-&quot;$&quot;* #,##0.000000000_-;_-&quot;$&quot;* &quot;-&quot;??_-;_-@_-"/>
    <numFmt numFmtId="169" formatCode="0.0\x"/>
    <numFmt numFmtId="170" formatCode="#\ &quot;Años&quot;"/>
    <numFmt numFmtId="171" formatCode="_-&quot;$&quot;* #,##0.0_-;\-&quot;$&quot;* #,##0.0_-;_-&quot;$&quot;* &quot;-&quot;?_-;_-@_-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sz val="9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sz val="10"/>
      <name val="Arial Unicode MS"/>
    </font>
    <font>
      <sz val="8"/>
      <color theme="1"/>
      <name val="Calibri"/>
      <family val="2"/>
      <scheme val="minor"/>
    </font>
    <font>
      <sz val="11"/>
      <name val="Calibri"/>
      <family val="2"/>
    </font>
    <font>
      <b/>
      <sz val="12"/>
      <color indexed="8"/>
      <name val="Calibri"/>
      <family val="2"/>
      <scheme val="minor"/>
    </font>
    <font>
      <i/>
      <sz val="12"/>
      <color indexed="8"/>
      <name val="Calibri"/>
      <family val="2"/>
      <scheme val="minor"/>
    </font>
    <font>
      <sz val="10"/>
      <name val="Verdana"/>
      <family val="2"/>
    </font>
    <font>
      <sz val="8"/>
      <name val="Calibri"/>
      <family val="2"/>
    </font>
    <font>
      <sz val="8"/>
      <name val="Calibri"/>
      <family val="2"/>
      <scheme val="minor"/>
    </font>
    <font>
      <sz val="11"/>
      <color theme="4"/>
      <name val="Calibri"/>
      <family val="2"/>
      <scheme val="minor"/>
    </font>
    <font>
      <sz val="8"/>
      <color theme="4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30C7B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9" fillId="0" borderId="0"/>
    <xf numFmtId="0" fontId="9" fillId="0" borderId="0"/>
    <xf numFmtId="9" fontId="1" fillId="0" borderId="0" applyFont="0" applyFill="0" applyBorder="0" applyAlignment="0" applyProtection="0"/>
    <xf numFmtId="0" fontId="16" fillId="0" borderId="0"/>
  </cellStyleXfs>
  <cellXfs count="84">
    <xf numFmtId="0" fontId="0" fillId="0" borderId="0" xfId="0"/>
    <xf numFmtId="0" fontId="0" fillId="2" borderId="0" xfId="0" applyFill="1"/>
    <xf numFmtId="0" fontId="2" fillId="2" borderId="0" xfId="0" applyFont="1" applyFill="1"/>
    <xf numFmtId="164" fontId="6" fillId="0" borderId="0" xfId="1" applyNumberFormat="1" applyFont="1"/>
    <xf numFmtId="9" fontId="0" fillId="0" borderId="0" xfId="0" applyNumberFormat="1"/>
    <xf numFmtId="0" fontId="0" fillId="3" borderId="0" xfId="0" applyFill="1"/>
    <xf numFmtId="0" fontId="7" fillId="3" borderId="0" xfId="0" applyFont="1" applyFill="1"/>
    <xf numFmtId="165" fontId="0" fillId="0" borderId="0" xfId="0" applyNumberFormat="1"/>
    <xf numFmtId="166" fontId="0" fillId="0" borderId="0" xfId="0" applyNumberFormat="1"/>
    <xf numFmtId="0" fontId="4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8" fillId="0" borderId="0" xfId="0" applyFont="1"/>
    <xf numFmtId="0" fontId="3" fillId="0" borderId="1" xfId="0" applyFont="1" applyBorder="1" applyAlignment="1">
      <alignment horizontal="right"/>
    </xf>
    <xf numFmtId="0" fontId="1" fillId="0" borderId="0" xfId="3" applyAlignment="1">
      <alignment horizontal="right"/>
    </xf>
    <xf numFmtId="0" fontId="5" fillId="0" borderId="0" xfId="4" applyFont="1"/>
    <xf numFmtId="0" fontId="10" fillId="0" borderId="1" xfId="5" applyFont="1" applyBorder="1" applyAlignment="1">
      <alignment horizontal="right"/>
    </xf>
    <xf numFmtId="0" fontId="10" fillId="0" borderId="0" xfId="5" applyFont="1" applyAlignment="1">
      <alignment horizontal="right"/>
    </xf>
    <xf numFmtId="0" fontId="10" fillId="0" borderId="2" xfId="5" applyFont="1" applyBorder="1" applyAlignment="1">
      <alignment horizontal="right"/>
    </xf>
    <xf numFmtId="0" fontId="11" fillId="0" borderId="0" xfId="0" applyFont="1"/>
    <xf numFmtId="10" fontId="0" fillId="0" borderId="0" xfId="6" applyNumberFormat="1" applyFont="1" applyAlignment="1">
      <alignment horizontal="center" vertic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44" fontId="0" fillId="0" borderId="0" xfId="0" applyNumberFormat="1"/>
    <xf numFmtId="0" fontId="12" fillId="0" borderId="0" xfId="3" applyFont="1" applyAlignment="1">
      <alignment horizontal="right"/>
    </xf>
    <xf numFmtId="0" fontId="13" fillId="0" borderId="0" xfId="3" applyFont="1"/>
    <xf numFmtId="0" fontId="13" fillId="0" borderId="3" xfId="3" applyFont="1" applyBorder="1"/>
    <xf numFmtId="0" fontId="14" fillId="0" borderId="0" xfId="3" applyFont="1"/>
    <xf numFmtId="0" fontId="17" fillId="0" borderId="0" xfId="7" applyFont="1" applyAlignment="1">
      <alignment horizontal="right"/>
    </xf>
    <xf numFmtId="44" fontId="18" fillId="0" borderId="0" xfId="2" applyFont="1"/>
    <xf numFmtId="44" fontId="12" fillId="0" borderId="0" xfId="2" applyFont="1"/>
    <xf numFmtId="10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right"/>
    </xf>
    <xf numFmtId="9" fontId="19" fillId="0" borderId="0" xfId="0" applyNumberFormat="1" applyFont="1" applyAlignment="1">
      <alignment horizontal="center"/>
    </xf>
    <xf numFmtId="44" fontId="20" fillId="0" borderId="0" xfId="2" applyFont="1"/>
    <xf numFmtId="9" fontId="0" fillId="0" borderId="0" xfId="0" applyNumberFormat="1" applyAlignment="1">
      <alignment horizontal="center"/>
    </xf>
    <xf numFmtId="168" fontId="12" fillId="0" borderId="0" xfId="0" applyNumberFormat="1" applyFont="1"/>
    <xf numFmtId="166" fontId="12" fillId="0" borderId="0" xfId="0" applyNumberFormat="1" applyFont="1"/>
    <xf numFmtId="166" fontId="12" fillId="0" borderId="0" xfId="0" applyNumberFormat="1" applyFont="1" applyAlignment="1">
      <alignment horizontal="center"/>
    </xf>
    <xf numFmtId="166" fontId="12" fillId="0" borderId="1" xfId="0" applyNumberFormat="1" applyFont="1" applyBorder="1"/>
    <xf numFmtId="1" fontId="21" fillId="0" borderId="0" xfId="0" applyNumberFormat="1" applyFont="1" applyAlignment="1">
      <alignment horizontal="center"/>
    </xf>
    <xf numFmtId="10" fontId="0" fillId="0" borderId="1" xfId="6" applyNumberFormat="1" applyFont="1" applyBorder="1" applyAlignment="1">
      <alignment horizontal="center" vertical="center"/>
    </xf>
    <xf numFmtId="44" fontId="0" fillId="0" borderId="0" xfId="0" applyNumberFormat="1" applyAlignment="1">
      <alignment horizontal="center" vertical="center"/>
    </xf>
    <xf numFmtId="10" fontId="22" fillId="0" borderId="0" xfId="6" applyNumberFormat="1" applyFont="1" applyAlignment="1">
      <alignment horizontal="center"/>
    </xf>
    <xf numFmtId="169" fontId="0" fillId="0" borderId="0" xfId="0" applyNumberFormat="1" applyAlignment="1">
      <alignment horizontal="center" vertical="center"/>
    </xf>
    <xf numFmtId="170" fontId="0" fillId="0" borderId="2" xfId="0" applyNumberFormat="1" applyBorder="1" applyAlignment="1">
      <alignment horizontal="center" vertical="center"/>
    </xf>
    <xf numFmtId="165" fontId="0" fillId="4" borderId="0" xfId="0" applyNumberFormat="1" applyFill="1"/>
    <xf numFmtId="166" fontId="0" fillId="4" borderId="0" xfId="2" applyNumberFormat="1" applyFont="1" applyFill="1" applyAlignment="1">
      <alignment horizontal="center"/>
    </xf>
    <xf numFmtId="9" fontId="0" fillId="4" borderId="0" xfId="0" applyNumberFormat="1" applyFill="1"/>
    <xf numFmtId="166" fontId="0" fillId="4" borderId="0" xfId="2" applyNumberFormat="1" applyFont="1" applyFill="1"/>
    <xf numFmtId="0" fontId="0" fillId="4" borderId="0" xfId="0" applyFill="1"/>
    <xf numFmtId="10" fontId="0" fillId="4" borderId="0" xfId="6" applyNumberFormat="1" applyFont="1" applyFill="1"/>
    <xf numFmtId="0" fontId="0" fillId="4" borderId="0" xfId="0" applyFill="1" applyAlignment="1">
      <alignment horizontal="right"/>
    </xf>
    <xf numFmtId="167" fontId="0" fillId="4" borderId="0" xfId="6" applyNumberFormat="1" applyFont="1" applyFill="1"/>
    <xf numFmtId="10" fontId="0" fillId="4" borderId="0" xfId="0" applyNumberFormat="1" applyFill="1"/>
    <xf numFmtId="10" fontId="0" fillId="0" borderId="0" xfId="0" applyNumberFormat="1"/>
    <xf numFmtId="166" fontId="3" fillId="0" borderId="0" xfId="0" applyNumberFormat="1" applyFont="1"/>
    <xf numFmtId="171" fontId="3" fillId="0" borderId="0" xfId="0" applyNumberFormat="1" applyFont="1"/>
    <xf numFmtId="44" fontId="0" fillId="0" borderId="1" xfId="2" applyFont="1" applyBorder="1"/>
    <xf numFmtId="44" fontId="0" fillId="0" borderId="0" xfId="2" applyFont="1" applyBorder="1"/>
    <xf numFmtId="44" fontId="0" fillId="0" borderId="4" xfId="2" applyFont="1" applyBorder="1"/>
    <xf numFmtId="44" fontId="0" fillId="0" borderId="3" xfId="2" applyFont="1" applyBorder="1"/>
    <xf numFmtId="0" fontId="3" fillId="3" borderId="0" xfId="0" applyFont="1" applyFill="1" applyAlignment="1">
      <alignment horizontal="center" vertical="center"/>
    </xf>
    <xf numFmtId="0" fontId="3" fillId="3" borderId="0" xfId="0" applyFont="1" applyFill="1"/>
    <xf numFmtId="0" fontId="3" fillId="3" borderId="0" xfId="0" applyFont="1" applyFill="1" applyAlignment="1">
      <alignment horizontal="center"/>
    </xf>
    <xf numFmtId="10" fontId="0" fillId="0" borderId="4" xfId="6" applyNumberFormat="1" applyFont="1" applyBorder="1" applyAlignment="1">
      <alignment horizontal="center" vertical="center"/>
    </xf>
    <xf numFmtId="10" fontId="0" fillId="0" borderId="3" xfId="6" applyNumberFormat="1" applyFont="1" applyBorder="1" applyAlignment="1">
      <alignment horizontal="center" vertical="center"/>
    </xf>
    <xf numFmtId="10" fontId="0" fillId="0" borderId="0" xfId="6" applyNumberFormat="1" applyFont="1" applyBorder="1" applyAlignment="1">
      <alignment horizontal="center" vertical="center"/>
    </xf>
    <xf numFmtId="166" fontId="0" fillId="0" borderId="1" xfId="0" applyNumberFormat="1" applyBorder="1"/>
    <xf numFmtId="0" fontId="0" fillId="0" borderId="5" xfId="0" applyBorder="1" applyAlignment="1">
      <alignment horizontal="right"/>
    </xf>
    <xf numFmtId="166" fontId="0" fillId="0" borderId="5" xfId="0" applyNumberFormat="1" applyBorder="1"/>
    <xf numFmtId="10" fontId="0" fillId="0" borderId="5" xfId="6" applyNumberFormat="1" applyFont="1" applyBorder="1" applyAlignment="1">
      <alignment horizontal="center" vertical="center"/>
    </xf>
    <xf numFmtId="0" fontId="5" fillId="0" borderId="6" xfId="4" applyFont="1" applyBorder="1"/>
    <xf numFmtId="166" fontId="0" fillId="0" borderId="6" xfId="0" applyNumberFormat="1" applyBorder="1"/>
    <xf numFmtId="10" fontId="0" fillId="0" borderId="6" xfId="6" applyNumberFormat="1" applyFont="1" applyBorder="1" applyAlignment="1">
      <alignment horizontal="center" vertical="center"/>
    </xf>
    <xf numFmtId="166" fontId="12" fillId="0" borderId="6" xfId="0" applyNumberFormat="1" applyFont="1" applyBorder="1"/>
    <xf numFmtId="3" fontId="0" fillId="4" borderId="0" xfId="0" applyNumberFormat="1" applyFill="1"/>
    <xf numFmtId="44" fontId="0" fillId="4" borderId="0" xfId="2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9" fontId="0" fillId="4" borderId="0" xfId="0" applyNumberFormat="1" applyFill="1" applyAlignment="1">
      <alignment horizontal="center"/>
    </xf>
    <xf numFmtId="167" fontId="0" fillId="4" borderId="0" xfId="0" applyNumberFormat="1" applyFill="1"/>
    <xf numFmtId="0" fontId="3" fillId="3" borderId="0" xfId="0" applyFont="1" applyFill="1" applyAlignment="1">
      <alignment horizontal="center" vertical="center"/>
    </xf>
  </cellXfs>
  <cellStyles count="8">
    <cellStyle name="Comma" xfId="1" builtinId="3"/>
    <cellStyle name="Currency" xfId="2" builtinId="4"/>
    <cellStyle name="Normal" xfId="0" builtinId="0"/>
    <cellStyle name="Normal 10" xfId="4" xr:uid="{30756671-C9FE-438D-B138-B0B4515AE0BF}"/>
    <cellStyle name="Normal 103" xfId="3" xr:uid="{670659FD-67D1-45DD-AAF8-07A1C42C3B75}"/>
    <cellStyle name="Normal 2 93" xfId="7" xr:uid="{2E2373D4-F8E3-4095-A75D-A806D7FF6412}"/>
    <cellStyle name="Normal 97" xfId="5" xr:uid="{F4D7B565-B0EF-4EE0-98D5-A22B3681F4D2}"/>
    <cellStyle name="Percent" xfId="6" builtinId="5"/>
  </cellStyles>
  <dxfs count="11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colors>
    <mruColors>
      <color rgb="FF30C7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64998-C8DA-4AF0-89CF-6FE169B0AAF5}">
  <dimension ref="A1"/>
  <sheetViews>
    <sheetView showGridLines="0" workbookViewId="0">
      <selection activeCell="E26" sqref="E26:F26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6B54A-4872-4B3F-B90F-CC9DD4DF95E2}">
  <dimension ref="A1:T11"/>
  <sheetViews>
    <sheetView showGridLines="0" tabSelected="1" workbookViewId="0">
      <selection activeCell="F16" sqref="F16"/>
    </sheetView>
  </sheetViews>
  <sheetFormatPr defaultRowHeight="15"/>
  <cols>
    <col min="1" max="1" width="24.28515625" bestFit="1" customWidth="1"/>
    <col min="2" max="2" width="11.5703125" bestFit="1" customWidth="1"/>
    <col min="3" max="3" width="12.5703125" bestFit="1" customWidth="1"/>
    <col min="4" max="5" width="11.5703125" bestFit="1" customWidth="1"/>
  </cols>
  <sheetData>
    <row r="1" spans="1:20">
      <c r="A1" s="2" t="s">
        <v>84</v>
      </c>
      <c r="B1" s="1"/>
      <c r="C1" s="1"/>
    </row>
    <row r="2" spans="1:20">
      <c r="A2" t="s">
        <v>85</v>
      </c>
      <c r="B2" s="76">
        <v>50000</v>
      </c>
      <c r="C2" s="50"/>
      <c r="F2" s="6"/>
      <c r="G2" s="6" t="s">
        <v>29</v>
      </c>
      <c r="H2" s="6"/>
      <c r="I2" s="6"/>
      <c r="J2" s="6"/>
      <c r="K2" s="6"/>
      <c r="L2" s="6"/>
      <c r="N2" s="6" t="s">
        <v>32</v>
      </c>
      <c r="O2" s="6"/>
      <c r="P2" s="6"/>
      <c r="Q2" s="6"/>
      <c r="R2" s="6"/>
      <c r="S2" s="6"/>
      <c r="T2" s="6"/>
    </row>
    <row r="3" spans="1:20">
      <c r="A3" s="6" t="s">
        <v>87</v>
      </c>
      <c r="B3" s="79" t="s">
        <v>88</v>
      </c>
      <c r="C3" s="79"/>
      <c r="G3" t="s">
        <v>33</v>
      </c>
      <c r="H3" t="s">
        <v>36</v>
      </c>
      <c r="I3" t="s">
        <v>37</v>
      </c>
      <c r="J3" t="s">
        <v>38</v>
      </c>
      <c r="K3" t="s">
        <v>39</v>
      </c>
      <c r="O3" t="s">
        <v>33</v>
      </c>
      <c r="P3" t="s">
        <v>36</v>
      </c>
      <c r="Q3" t="s">
        <v>37</v>
      </c>
      <c r="R3" t="s">
        <v>38</v>
      </c>
      <c r="S3" t="s">
        <v>39</v>
      </c>
    </row>
    <row r="4" spans="1:20">
      <c r="A4" t="s">
        <v>11</v>
      </c>
      <c r="B4" s="77">
        <v>14500</v>
      </c>
      <c r="C4" s="77">
        <v>20000</v>
      </c>
      <c r="D4" s="23"/>
      <c r="E4" s="23"/>
      <c r="F4" t="s">
        <v>90</v>
      </c>
      <c r="G4">
        <v>100</v>
      </c>
      <c r="H4">
        <v>100</v>
      </c>
      <c r="I4">
        <v>100</v>
      </c>
      <c r="J4">
        <v>100</v>
      </c>
      <c r="K4">
        <v>100</v>
      </c>
      <c r="N4" t="s">
        <v>90</v>
      </c>
      <c r="O4">
        <v>100</v>
      </c>
      <c r="P4">
        <v>100</v>
      </c>
      <c r="Q4">
        <v>100</v>
      </c>
      <c r="R4">
        <v>100</v>
      </c>
      <c r="S4">
        <v>100</v>
      </c>
    </row>
    <row r="5" spans="1:20">
      <c r="A5" t="s">
        <v>48</v>
      </c>
      <c r="B5" s="78">
        <v>6</v>
      </c>
      <c r="C5" s="78">
        <v>10</v>
      </c>
      <c r="F5" t="s">
        <v>91</v>
      </c>
      <c r="G5">
        <v>0.1293270081639295</v>
      </c>
      <c r="H5">
        <v>3</v>
      </c>
      <c r="I5">
        <v>0.12285849206966067</v>
      </c>
      <c r="J5">
        <v>1.2032210456456545</v>
      </c>
      <c r="K5">
        <v>2.8333333333333326</v>
      </c>
      <c r="N5" t="s">
        <v>91</v>
      </c>
      <c r="O5">
        <v>0.1293270081639295</v>
      </c>
      <c r="P5">
        <v>3</v>
      </c>
      <c r="Q5">
        <v>0.12285849206966067</v>
      </c>
      <c r="R5">
        <v>1.2032210456456545</v>
      </c>
      <c r="S5">
        <v>2.8333333333333326</v>
      </c>
    </row>
    <row r="6" spans="1:20">
      <c r="A6" t="s">
        <v>86</v>
      </c>
      <c r="B6" s="80">
        <v>17</v>
      </c>
      <c r="C6" s="80">
        <v>24</v>
      </c>
      <c r="F6" t="s">
        <v>92</v>
      </c>
      <c r="G6">
        <v>5.7849305212813819E-2</v>
      </c>
      <c r="H6">
        <v>0</v>
      </c>
      <c r="I6">
        <v>5.0933323673294777E-2</v>
      </c>
      <c r="J6">
        <v>9.381316062518312E-2</v>
      </c>
      <c r="K6">
        <v>0.34674209228677716</v>
      </c>
      <c r="N6" t="s">
        <v>92</v>
      </c>
      <c r="O6">
        <v>5.7849305212813819E-2</v>
      </c>
      <c r="P6">
        <v>0</v>
      </c>
      <c r="Q6">
        <v>5.0933323673294777E-2</v>
      </c>
      <c r="R6">
        <v>9.381316062518312E-2</v>
      </c>
      <c r="S6">
        <v>0.34674209228677716</v>
      </c>
    </row>
    <row r="7" spans="1:20">
      <c r="A7" t="s">
        <v>42</v>
      </c>
      <c r="B7" s="80">
        <v>9</v>
      </c>
      <c r="C7" s="80">
        <v>15</v>
      </c>
      <c r="F7" t="s">
        <v>93</v>
      </c>
      <c r="G7">
        <v>-6.1609450631181062E-2</v>
      </c>
      <c r="H7">
        <v>3</v>
      </c>
      <c r="I7">
        <v>-6.8004487179487177E-2</v>
      </c>
      <c r="J7">
        <v>0.91604430807996473</v>
      </c>
      <c r="K7">
        <v>2.5</v>
      </c>
      <c r="N7" t="s">
        <v>93</v>
      </c>
      <c r="O7">
        <v>-6.1609450631181062E-2</v>
      </c>
      <c r="P7">
        <v>3</v>
      </c>
      <c r="Q7">
        <v>-6.8004487179487177E-2</v>
      </c>
      <c r="R7">
        <v>0.91604430807996473</v>
      </c>
      <c r="S7">
        <v>2.5</v>
      </c>
    </row>
    <row r="8" spans="1:20">
      <c r="A8" t="s">
        <v>12</v>
      </c>
      <c r="B8" s="80">
        <v>7</v>
      </c>
      <c r="C8" s="80">
        <v>12</v>
      </c>
      <c r="F8" s="4">
        <v>0.25</v>
      </c>
      <c r="G8">
        <v>9.3932805341568448E-2</v>
      </c>
      <c r="H8">
        <v>3</v>
      </c>
      <c r="I8">
        <v>9.1204126706479385E-2</v>
      </c>
      <c r="J8">
        <v>1.1397715728070104</v>
      </c>
      <c r="K8">
        <v>2.6666666666666665</v>
      </c>
      <c r="N8" s="4">
        <v>0.25</v>
      </c>
      <c r="O8">
        <v>9.3932805341568448E-2</v>
      </c>
      <c r="P8">
        <v>3</v>
      </c>
      <c r="Q8">
        <v>9.1204126706479385E-2</v>
      </c>
      <c r="R8">
        <v>1.1397715728070104</v>
      </c>
      <c r="S8">
        <v>2.6666666666666665</v>
      </c>
    </row>
    <row r="9" spans="1:20">
      <c r="A9" t="s">
        <v>57</v>
      </c>
      <c r="B9" s="81">
        <v>0.45</v>
      </c>
      <c r="C9" s="81">
        <v>0.65</v>
      </c>
      <c r="F9" s="4">
        <v>0.5</v>
      </c>
      <c r="G9">
        <v>0.12634759381564564</v>
      </c>
      <c r="H9">
        <v>3</v>
      </c>
      <c r="I9">
        <v>0.1245668072640978</v>
      </c>
      <c r="J9">
        <v>1.2013011281387969</v>
      </c>
      <c r="K9">
        <v>2.8333333333333335</v>
      </c>
      <c r="N9" s="4">
        <v>0.5</v>
      </c>
      <c r="O9">
        <v>0.12634759381564564</v>
      </c>
      <c r="P9">
        <v>3</v>
      </c>
      <c r="Q9">
        <v>0.1245668072640978</v>
      </c>
      <c r="R9">
        <v>1.2013011281387969</v>
      </c>
      <c r="S9">
        <v>2.8333333333333335</v>
      </c>
    </row>
    <row r="10" spans="1:20">
      <c r="A10" s="26" t="s">
        <v>76</v>
      </c>
      <c r="B10" s="81">
        <v>0.08</v>
      </c>
      <c r="C10" s="81">
        <v>0.12</v>
      </c>
      <c r="F10" s="4">
        <v>0.75</v>
      </c>
      <c r="G10">
        <v>0.16693185541441008</v>
      </c>
      <c r="H10">
        <v>3</v>
      </c>
      <c r="I10">
        <v>0.15558098808842311</v>
      </c>
      <c r="J10">
        <v>1.2614546208611457</v>
      </c>
      <c r="K10">
        <v>2.9166666666666665</v>
      </c>
      <c r="N10" s="4">
        <v>0.75</v>
      </c>
      <c r="O10">
        <v>0.16693185541441008</v>
      </c>
      <c r="P10">
        <v>3</v>
      </c>
      <c r="Q10">
        <v>0.15558098808842311</v>
      </c>
      <c r="R10">
        <v>1.2614546208611457</v>
      </c>
      <c r="S10">
        <v>2.9166666666666665</v>
      </c>
    </row>
    <row r="11" spans="1:20">
      <c r="A11" s="26" t="s">
        <v>13</v>
      </c>
      <c r="B11" s="49">
        <v>30000</v>
      </c>
      <c r="C11" s="49">
        <v>40000</v>
      </c>
      <c r="F11" t="s">
        <v>94</v>
      </c>
      <c r="G11">
        <v>0.2687129164406945</v>
      </c>
      <c r="H11">
        <v>3</v>
      </c>
      <c r="I11">
        <v>0.22296861859573591</v>
      </c>
      <c r="J11">
        <v>1.4078141955858368</v>
      </c>
      <c r="K11">
        <v>5.083333333333333</v>
      </c>
      <c r="N11" t="s">
        <v>94</v>
      </c>
      <c r="O11">
        <v>0.2687129164406945</v>
      </c>
      <c r="P11">
        <v>3</v>
      </c>
      <c r="Q11">
        <v>0.22296861859573591</v>
      </c>
      <c r="R11">
        <v>1.4078141955858368</v>
      </c>
      <c r="S11">
        <v>5.083333333333333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30391-7AA7-480B-8DCD-92F21DF341B3}">
  <dimension ref="A2:BN105"/>
  <sheetViews>
    <sheetView showGridLines="0" zoomScale="85" zoomScaleNormal="85" workbookViewId="0">
      <selection activeCell="F3" sqref="F3:G3"/>
    </sheetView>
  </sheetViews>
  <sheetFormatPr defaultRowHeight="15" outlineLevelRow="1"/>
  <cols>
    <col min="1" max="1" width="22.7109375" bestFit="1" customWidth="1"/>
    <col min="2" max="3" width="16.28515625" bestFit="1" customWidth="1"/>
    <col min="4" max="4" width="10.42578125" customWidth="1"/>
    <col min="5" max="5" width="28.85546875" bestFit="1" customWidth="1"/>
    <col min="6" max="6" width="19.5703125" bestFit="1" customWidth="1"/>
    <col min="7" max="7" width="19.28515625" bestFit="1" customWidth="1"/>
    <col min="8" max="9" width="16.28515625" bestFit="1" customWidth="1"/>
    <col min="10" max="11" width="12" bestFit="1" customWidth="1"/>
    <col min="12" max="12" width="20" bestFit="1" customWidth="1"/>
    <col min="13" max="16" width="16.28515625" bestFit="1" customWidth="1"/>
    <col min="17" max="33" width="13.140625" bestFit="1" customWidth="1"/>
    <col min="34" max="36" width="12.140625" bestFit="1" customWidth="1"/>
    <col min="37" max="66" width="12" bestFit="1" customWidth="1"/>
  </cols>
  <sheetData>
    <row r="2" spans="1:17">
      <c r="A2" s="2" t="s">
        <v>0</v>
      </c>
      <c r="B2" s="1"/>
      <c r="C2" s="1"/>
      <c r="E2" s="2" t="s">
        <v>80</v>
      </c>
      <c r="F2" s="1"/>
      <c r="G2" s="1"/>
      <c r="H2" s="1"/>
      <c r="K2" s="1"/>
      <c r="L2" s="2" t="s">
        <v>81</v>
      </c>
      <c r="M2" s="1"/>
      <c r="N2" s="1"/>
      <c r="O2" s="1"/>
      <c r="P2" s="1"/>
      <c r="Q2" s="1"/>
    </row>
    <row r="3" spans="1:17">
      <c r="A3" s="6" t="s">
        <v>1</v>
      </c>
      <c r="B3" s="6"/>
      <c r="E3" s="6"/>
      <c r="F3" s="6" t="str">
        <f>E74</f>
        <v>Unlevered Cash Flow</v>
      </c>
      <c r="G3" s="6" t="str">
        <f>E78</f>
        <v>Levered Cash Flow</v>
      </c>
      <c r="H3" s="23"/>
      <c r="K3" s="5"/>
      <c r="L3" s="6" t="str">
        <f>F3</f>
        <v>Unlevered Cash Flow</v>
      </c>
      <c r="M3" s="5"/>
      <c r="N3" s="5"/>
      <c r="O3" s="5"/>
      <c r="P3" s="5"/>
    </row>
    <row r="4" spans="1:17">
      <c r="A4" s="3" t="s">
        <v>3</v>
      </c>
      <c r="B4" s="46">
        <v>10000</v>
      </c>
      <c r="E4" s="16" t="s">
        <v>33</v>
      </c>
      <c r="F4" s="41">
        <f>(1+IRR(G75:BN75,0.2/12))^12-1</f>
        <v>1.3989117662302153E-2</v>
      </c>
      <c r="G4" s="41">
        <f>(1+IRR(G79:BN79,0.2/12))^12-1</f>
        <v>-0.16212834266465292</v>
      </c>
      <c r="K4" s="5"/>
      <c r="L4" s="6" t="s">
        <v>35</v>
      </c>
      <c r="M4" s="83" t="s">
        <v>13</v>
      </c>
      <c r="N4" s="83"/>
      <c r="O4" s="83"/>
      <c r="P4" s="83"/>
    </row>
    <row r="5" spans="1:17">
      <c r="A5" s="3" t="s">
        <v>4</v>
      </c>
      <c r="B5" s="47">
        <v>500</v>
      </c>
      <c r="E5" s="17" t="s">
        <v>34</v>
      </c>
      <c r="F5" s="42">
        <f>XNPV(12%/12,G75:BN75,G46:BN46)</f>
        <v>9310111.5249032974</v>
      </c>
      <c r="G5" s="23">
        <f>XNPV(12%/12,G79:BN79,G46:BN46)</f>
        <v>-36172515.582231052</v>
      </c>
      <c r="K5" s="5"/>
      <c r="L5" s="23">
        <f>F6</f>
        <v>-476464547.84000009</v>
      </c>
      <c r="M5" s="56">
        <v>30000</v>
      </c>
      <c r="N5" s="57">
        <v>33000</v>
      </c>
      <c r="O5" s="57">
        <v>36300</v>
      </c>
      <c r="P5" s="57">
        <v>39930</v>
      </c>
    </row>
    <row r="6" spans="1:17">
      <c r="A6" s="3" t="s">
        <v>2</v>
      </c>
      <c r="B6" s="8">
        <f>B5*B4</f>
        <v>5000000</v>
      </c>
      <c r="E6" s="17" t="s">
        <v>35</v>
      </c>
      <c r="F6" s="42">
        <f>MIN(G76:BN76)</f>
        <v>-476464547.84000009</v>
      </c>
      <c r="G6" s="23">
        <f>MIN(G80:BN80)</f>
        <v>-152462847.99999988</v>
      </c>
      <c r="K6" s="63" t="s">
        <v>9</v>
      </c>
      <c r="L6" s="56">
        <v>15000</v>
      </c>
      <c r="M6" s="60">
        <f t="dataTable" ref="M6:P9" dt2D="1" dtr="1" r1="B18" r2="B11" ca="1"/>
        <v>-399289082.35294145</v>
      </c>
      <c r="N6" s="58">
        <v>-402837990.58823508</v>
      </c>
      <c r="O6" s="58">
        <v>-406741789.64705867</v>
      </c>
      <c r="P6" s="58">
        <v>-411035968.61176473</v>
      </c>
    </row>
    <row r="7" spans="1:17">
      <c r="A7" s="3" t="s">
        <v>5</v>
      </c>
      <c r="B7" s="48">
        <v>0.2</v>
      </c>
      <c r="E7" s="17" t="s">
        <v>36</v>
      </c>
      <c r="F7" s="10">
        <f>INDEX(G46:BN46,1,MATCH(MIN(G76:BN76),G76:BN76,0))</f>
        <v>3</v>
      </c>
      <c r="G7" s="10">
        <f>INDEX(G46:BN46,1,MATCH(MIN(G80:BN80),G80:BN80,0))</f>
        <v>3</v>
      </c>
      <c r="K7" s="64" t="s">
        <v>82</v>
      </c>
      <c r="L7" s="57">
        <v>16500</v>
      </c>
      <c r="M7" s="61">
        <v>-435169082.35294145</v>
      </c>
      <c r="N7" s="59">
        <v>-438717990.58823508</v>
      </c>
      <c r="O7" s="59">
        <v>-442621789.64705867</v>
      </c>
      <c r="P7" s="59">
        <v>-446915968.61176473</v>
      </c>
    </row>
    <row r="8" spans="1:17">
      <c r="A8" s="6" t="s">
        <v>6</v>
      </c>
      <c r="B8" s="5"/>
      <c r="E8" s="17" t="s">
        <v>37</v>
      </c>
      <c r="F8" s="43">
        <f>F75/F54</f>
        <v>1.4592770191807115E-2</v>
      </c>
      <c r="G8" s="43">
        <f>F79/F54</f>
        <v>-5.6573896474859588E-2</v>
      </c>
      <c r="K8" s="5"/>
      <c r="L8" s="57">
        <v>18150</v>
      </c>
      <c r="M8" s="61">
        <v>-474637082.35294145</v>
      </c>
      <c r="N8" s="59">
        <v>-478185990.58823508</v>
      </c>
      <c r="O8" s="59">
        <v>-482089789.64705867</v>
      </c>
      <c r="P8" s="59">
        <v>-486383968.61176473</v>
      </c>
    </row>
    <row r="9" spans="1:17">
      <c r="A9" s="3" t="s">
        <v>7</v>
      </c>
      <c r="B9" s="46">
        <f>B4*0.8*2.6</f>
        <v>20800</v>
      </c>
      <c r="E9" s="17" t="s">
        <v>38</v>
      </c>
      <c r="F9" s="44">
        <f>ABS((F75+ABS(F6))/F6)</f>
        <v>1.0195802320283709</v>
      </c>
      <c r="G9" s="44">
        <f>ABS((F79+ABS(G6))/G6)</f>
        <v>0.76277374887640348</v>
      </c>
      <c r="K9" s="5"/>
      <c r="L9" s="57">
        <v>19965</v>
      </c>
      <c r="M9" s="61">
        <v>-518051882.35294145</v>
      </c>
      <c r="N9" s="59">
        <v>-521600790.58823508</v>
      </c>
      <c r="O9" s="59">
        <v>-525504589.64705867</v>
      </c>
      <c r="P9" s="59">
        <v>-529798768.61176473</v>
      </c>
    </row>
    <row r="10" spans="1:17">
      <c r="A10" s="3" t="s">
        <v>75</v>
      </c>
      <c r="B10" s="48">
        <v>0.13</v>
      </c>
      <c r="E10" s="18" t="s">
        <v>39</v>
      </c>
      <c r="F10" s="45">
        <f>(COUNTIF(G76:BN76,"&lt;"&amp;0)+1)/12</f>
        <v>2.75</v>
      </c>
      <c r="G10" s="45">
        <f>(COUNTIF(G80:BN80,"&lt;"&amp;0)+1)/12</f>
        <v>5.083333333333333</v>
      </c>
      <c r="L10" t="s">
        <v>79</v>
      </c>
    </row>
    <row r="11" spans="1:17">
      <c r="A11" s="3" t="s">
        <v>11</v>
      </c>
      <c r="B11" s="49">
        <v>18190</v>
      </c>
      <c r="C11" s="8"/>
      <c r="K11" s="5"/>
      <c r="L11" s="6" t="str">
        <f>G3</f>
        <v>Levered Cash Flow</v>
      </c>
      <c r="M11" s="5"/>
      <c r="N11" s="5"/>
      <c r="O11" s="5"/>
      <c r="P11" s="5"/>
    </row>
    <row r="12" spans="1:17">
      <c r="A12" s="3" t="s">
        <v>48</v>
      </c>
      <c r="B12" s="50">
        <v>7</v>
      </c>
      <c r="K12" s="5"/>
      <c r="L12" s="6" t="s">
        <v>35</v>
      </c>
      <c r="M12" s="62" t="s">
        <v>13</v>
      </c>
      <c r="N12" s="62"/>
      <c r="O12" s="62"/>
      <c r="P12" s="62"/>
    </row>
    <row r="13" spans="1:17" ht="15.75">
      <c r="A13" s="3" t="s">
        <v>49</v>
      </c>
      <c r="B13" s="50">
        <v>20</v>
      </c>
      <c r="E13" s="12" t="s">
        <v>16</v>
      </c>
      <c r="K13" s="5"/>
      <c r="L13" s="23">
        <f>G6</f>
        <v>-152462847.99999988</v>
      </c>
      <c r="M13" s="56">
        <v>30000</v>
      </c>
      <c r="N13" s="57">
        <v>33000</v>
      </c>
      <c r="O13" s="57">
        <v>36300</v>
      </c>
      <c r="P13" s="57">
        <v>39930</v>
      </c>
    </row>
    <row r="14" spans="1:17">
      <c r="A14" s="3" t="s">
        <v>22</v>
      </c>
      <c r="B14" s="51">
        <v>0.1</v>
      </c>
      <c r="C14" s="20"/>
      <c r="E14" s="11" t="s">
        <v>17</v>
      </c>
      <c r="F14" s="8">
        <f>F54</f>
        <v>639308800</v>
      </c>
      <c r="G14" s="20">
        <f>F14/$F$14</f>
        <v>1</v>
      </c>
      <c r="K14" s="63" t="s">
        <v>9</v>
      </c>
      <c r="L14" s="56">
        <v>15000</v>
      </c>
      <c r="M14" s="60">
        <f t="dataTable" ref="M14:P17" dt2D="1" dtr="1" r1="B18" r2="B11"/>
        <v>-92743731.092436954</v>
      </c>
      <c r="N14" s="58">
        <v>-101918104.20168068</v>
      </c>
      <c r="O14" s="58">
        <v>-112009914.62184875</v>
      </c>
      <c r="P14" s="58">
        <v>-123110906.08403362</v>
      </c>
    </row>
    <row r="15" spans="1:17">
      <c r="A15" s="6" t="s">
        <v>10</v>
      </c>
      <c r="B15" s="5"/>
      <c r="E15" s="11" t="s">
        <v>18</v>
      </c>
      <c r="F15" s="8">
        <f t="shared" ref="F15:F17" si="0">F55</f>
        <v>-31965440.000000004</v>
      </c>
      <c r="G15" s="20">
        <f t="shared" ref="G15:G17" si="1">F15/$F$14</f>
        <v>-0.05</v>
      </c>
      <c r="K15" s="64" t="s">
        <v>82</v>
      </c>
      <c r="L15" s="57">
        <v>16500</v>
      </c>
      <c r="M15" s="61">
        <v>-118925882.35294119</v>
      </c>
      <c r="N15" s="59">
        <v>-101918104.20168068</v>
      </c>
      <c r="O15" s="59">
        <v>-112009914.62184875</v>
      </c>
      <c r="P15" s="59">
        <v>-123110906.08403362</v>
      </c>
    </row>
    <row r="16" spans="1:17">
      <c r="A16" s="3" t="s">
        <v>15</v>
      </c>
      <c r="B16" s="52">
        <v>200</v>
      </c>
      <c r="C16" s="8"/>
      <c r="E16" s="11" t="s">
        <v>19</v>
      </c>
      <c r="F16" s="8">
        <f t="shared" si="0"/>
        <v>1598272.0000000002</v>
      </c>
      <c r="G16" s="20">
        <f t="shared" si="1"/>
        <v>2.5000000000000005E-3</v>
      </c>
      <c r="K16" s="5"/>
      <c r="L16" s="57">
        <v>18150</v>
      </c>
      <c r="M16" s="61">
        <v>-158393882.35294113</v>
      </c>
      <c r="N16" s="59">
        <v>-130318470.58823521</v>
      </c>
      <c r="O16" s="59">
        <v>-112009914.62184875</v>
      </c>
      <c r="P16" s="59">
        <v>-123110906.08403362</v>
      </c>
    </row>
    <row r="17" spans="1:16">
      <c r="A17" s="3" t="s">
        <v>14</v>
      </c>
      <c r="B17" s="7">
        <f>B9/B16</f>
        <v>104</v>
      </c>
      <c r="E17" s="13" t="s">
        <v>20</v>
      </c>
      <c r="F17" s="68">
        <f t="shared" si="0"/>
        <v>608941632</v>
      </c>
      <c r="G17" s="41">
        <f t="shared" si="1"/>
        <v>0.95250000000000001</v>
      </c>
      <c r="K17" s="5"/>
      <c r="L17" s="57">
        <v>19965</v>
      </c>
      <c r="M17" s="61">
        <v>-201808682.35294104</v>
      </c>
      <c r="N17" s="59">
        <v>-173733270.58823508</v>
      </c>
      <c r="O17" s="59">
        <v>-142850317.64705867</v>
      </c>
      <c r="P17" s="59">
        <v>-123110906.08403362</v>
      </c>
    </row>
    <row r="18" spans="1:16">
      <c r="A18" s="3" t="s">
        <v>89</v>
      </c>
      <c r="B18" s="49">
        <v>30736</v>
      </c>
      <c r="G18" s="20"/>
    </row>
    <row r="19" spans="1:16" ht="15.75">
      <c r="A19" s="3" t="s">
        <v>50</v>
      </c>
      <c r="B19" s="53">
        <v>0.05</v>
      </c>
      <c r="E19" s="12" t="s">
        <v>21</v>
      </c>
      <c r="G19" s="20"/>
      <c r="K19" s="5"/>
      <c r="L19" s="6" t="str">
        <f>L3</f>
        <v>Unlevered Cash Flow</v>
      </c>
      <c r="M19" s="5"/>
      <c r="N19" s="5"/>
      <c r="O19" s="5"/>
      <c r="P19" s="5"/>
    </row>
    <row r="20" spans="1:16">
      <c r="A20" s="3" t="s">
        <v>42</v>
      </c>
      <c r="B20" s="50">
        <v>12</v>
      </c>
      <c r="E20" s="11" t="s">
        <v>1</v>
      </c>
      <c r="F20" s="8">
        <f t="shared" ref="F20:F28" si="2">F60</f>
        <v>5000000</v>
      </c>
      <c r="G20" s="20">
        <f t="shared" ref="G20:G28" si="3">F20/$F$14</f>
        <v>7.8209466223521408E-3</v>
      </c>
      <c r="K20" s="5"/>
      <c r="L20" s="6" t="str">
        <f>E4</f>
        <v>Pre-Tax IRR</v>
      </c>
      <c r="M20" s="62" t="s">
        <v>13</v>
      </c>
      <c r="N20" s="62"/>
      <c r="O20" s="62"/>
      <c r="P20" s="62"/>
    </row>
    <row r="21" spans="1:16">
      <c r="A21" s="3" t="s">
        <v>12</v>
      </c>
      <c r="B21" s="50">
        <v>10</v>
      </c>
      <c r="E21" s="11" t="s">
        <v>8</v>
      </c>
      <c r="F21" s="8">
        <f t="shared" si="2"/>
        <v>83110144</v>
      </c>
      <c r="G21" s="20">
        <f t="shared" si="3"/>
        <v>0.13</v>
      </c>
      <c r="K21" s="5"/>
      <c r="L21" s="55">
        <f>F4</f>
        <v>1.3989117662302153E-2</v>
      </c>
      <c r="M21" s="56">
        <v>30000</v>
      </c>
      <c r="N21" s="57">
        <v>33000</v>
      </c>
      <c r="O21" s="57">
        <v>36300</v>
      </c>
      <c r="P21" s="57">
        <v>39930</v>
      </c>
    </row>
    <row r="22" spans="1:16">
      <c r="A22" s="3" t="s">
        <v>47</v>
      </c>
      <c r="B22">
        <f>B12+B13</f>
        <v>27</v>
      </c>
      <c r="E22" s="11" t="s">
        <v>9</v>
      </c>
      <c r="F22" s="8">
        <f t="shared" si="2"/>
        <v>378352000</v>
      </c>
      <c r="G22" s="20">
        <f t="shared" si="3"/>
        <v>0.5918141592920354</v>
      </c>
      <c r="K22" s="63" t="s">
        <v>9</v>
      </c>
      <c r="L22" s="56">
        <v>15000</v>
      </c>
      <c r="M22" s="65">
        <f t="dataTable" ref="M22:P25" dt2D="1" dtr="1" r1="B18" r2="B11" ca="1"/>
        <v>0.12481437445974186</v>
      </c>
      <c r="N22" s="41">
        <v>0.18786142076833667</v>
      </c>
      <c r="O22" s="41">
        <v>0.25004197968526864</v>
      </c>
      <c r="P22" s="41">
        <v>0.31098903991358218</v>
      </c>
    </row>
    <row r="23" spans="1:16">
      <c r="A23" s="3" t="s">
        <v>46</v>
      </c>
      <c r="B23" s="50">
        <v>30</v>
      </c>
      <c r="E23" s="11" t="s">
        <v>22</v>
      </c>
      <c r="F23" s="8">
        <f t="shared" si="2"/>
        <v>46146214.400000006</v>
      </c>
      <c r="G23" s="20">
        <f t="shared" si="3"/>
        <v>7.2181415929203546E-2</v>
      </c>
      <c r="K23" s="64" t="s">
        <v>82</v>
      </c>
      <c r="L23" s="57">
        <v>16500</v>
      </c>
      <c r="M23" s="66">
        <v>6.2131671894722684E-2</v>
      </c>
      <c r="N23" s="67">
        <v>0.125669805663992</v>
      </c>
      <c r="O23" s="67">
        <v>0.18872584311915275</v>
      </c>
      <c r="P23" s="67">
        <v>0.25090465378637949</v>
      </c>
    </row>
    <row r="24" spans="1:16">
      <c r="A24" s="3" t="s">
        <v>53</v>
      </c>
      <c r="B24" s="54">
        <v>5.0000000000000001E-3</v>
      </c>
      <c r="E24" s="11" t="s">
        <v>24</v>
      </c>
      <c r="F24" s="8">
        <f t="shared" si="2"/>
        <v>6393088</v>
      </c>
      <c r="G24" s="20">
        <f t="shared" si="3"/>
        <v>0.01</v>
      </c>
      <c r="K24" s="5"/>
      <c r="L24" s="57">
        <v>18150</v>
      </c>
      <c r="M24" s="66">
        <v>-7.2284812063860837E-4</v>
      </c>
      <c r="N24" s="67">
        <v>6.290290021042555E-2</v>
      </c>
      <c r="O24" s="67">
        <v>0.12645285181031074</v>
      </c>
      <c r="P24" s="67">
        <v>0.18951284473760777</v>
      </c>
    </row>
    <row r="25" spans="1:16">
      <c r="A25" s="6" t="s">
        <v>74</v>
      </c>
      <c r="B25" s="5"/>
      <c r="E25" s="11" t="s">
        <v>25</v>
      </c>
      <c r="F25" s="8">
        <f t="shared" si="2"/>
        <v>38358528</v>
      </c>
      <c r="G25" s="20">
        <f t="shared" si="3"/>
        <v>0.06</v>
      </c>
      <c r="K25" s="5"/>
      <c r="L25" s="57">
        <v>19965</v>
      </c>
      <c r="M25" s="66">
        <v>-6.3330711597366807E-2</v>
      </c>
      <c r="N25" s="67">
        <v>-3.2603901622185738E-5</v>
      </c>
      <c r="O25" s="67">
        <v>6.3607020637791001E-2</v>
      </c>
      <c r="P25" s="67">
        <v>0.12716572413378602</v>
      </c>
    </row>
    <row r="26" spans="1:16">
      <c r="A26" s="3" t="s">
        <v>5</v>
      </c>
      <c r="B26" s="48">
        <v>0.2</v>
      </c>
      <c r="E26" s="11" t="s">
        <v>26</v>
      </c>
      <c r="F26" s="8">
        <f t="shared" si="2"/>
        <v>19179264</v>
      </c>
      <c r="G26" s="20">
        <f t="shared" si="3"/>
        <v>0.03</v>
      </c>
    </row>
    <row r="27" spans="1:16">
      <c r="A27" s="3" t="s">
        <v>45</v>
      </c>
      <c r="B27" s="4">
        <f>1-B26</f>
        <v>0.8</v>
      </c>
      <c r="E27" s="11" t="s">
        <v>23</v>
      </c>
      <c r="F27" s="8">
        <f t="shared" si="2"/>
        <v>23073107.200000003</v>
      </c>
      <c r="G27" s="20">
        <f t="shared" si="3"/>
        <v>3.6090707964601773E-2</v>
      </c>
      <c r="K27" s="5"/>
      <c r="L27" s="6" t="str">
        <f>L11</f>
        <v>Levered Cash Flow</v>
      </c>
      <c r="M27" s="5"/>
      <c r="N27" s="5"/>
      <c r="O27" s="5"/>
      <c r="P27" s="5"/>
    </row>
    <row r="28" spans="1:16">
      <c r="A28" s="6" t="s">
        <v>51</v>
      </c>
      <c r="B28" s="5"/>
      <c r="E28" s="13" t="s">
        <v>21</v>
      </c>
      <c r="F28" s="68">
        <f t="shared" si="2"/>
        <v>599612345.60000002</v>
      </c>
      <c r="G28" s="41">
        <f t="shared" si="3"/>
        <v>0.93790722980819285</v>
      </c>
      <c r="K28" s="5"/>
      <c r="L28" s="6" t="str">
        <f>L20</f>
        <v>Pre-Tax IRR</v>
      </c>
      <c r="M28" s="62" t="s">
        <v>13</v>
      </c>
      <c r="N28" s="62"/>
      <c r="O28" s="62"/>
      <c r="P28" s="62"/>
    </row>
    <row r="29" spans="1:16">
      <c r="A29" s="3" t="s">
        <v>52</v>
      </c>
      <c r="B29" s="48">
        <v>0.06</v>
      </c>
      <c r="G29" s="20"/>
      <c r="K29" s="5"/>
      <c r="L29" s="55">
        <f>G4</f>
        <v>-0.16212834266465292</v>
      </c>
      <c r="M29" s="56">
        <v>30000</v>
      </c>
      <c r="N29" s="57">
        <v>33000</v>
      </c>
      <c r="O29" s="57">
        <v>36300</v>
      </c>
      <c r="P29" s="57">
        <v>39930</v>
      </c>
    </row>
    <row r="30" spans="1:16" ht="15.75">
      <c r="A30" s="3" t="s">
        <v>24</v>
      </c>
      <c r="B30" s="48">
        <v>0.01</v>
      </c>
      <c r="E30" s="12" t="s">
        <v>27</v>
      </c>
      <c r="G30" s="20"/>
      <c r="K30" s="63" t="s">
        <v>9</v>
      </c>
      <c r="L30" s="56">
        <v>15000</v>
      </c>
      <c r="M30" s="65">
        <f t="dataTable" ref="M30:P33" dt2D="1" dtr="1" r1="B18" r2="B11" ca="1"/>
        <v>0.17094923461488154</v>
      </c>
      <c r="N30" s="41">
        <v>0.39376189716431753</v>
      </c>
      <c r="O30" s="41">
        <v>0.63268523214052519</v>
      </c>
      <c r="P30" s="41">
        <v>0.88091061583440333</v>
      </c>
    </row>
    <row r="31" spans="1:16">
      <c r="A31" s="3" t="s">
        <v>26</v>
      </c>
      <c r="B31" s="48">
        <v>0.03</v>
      </c>
      <c r="E31" s="69" t="s">
        <v>28</v>
      </c>
      <c r="F31" s="70">
        <f t="shared" ref="F31" si="4">F71</f>
        <v>45497476.266666688</v>
      </c>
      <c r="G31" s="71">
        <f t="shared" ref="G31" si="5">F31/$F$14</f>
        <v>7.1166666666666697E-2</v>
      </c>
      <c r="K31" s="64" t="s">
        <v>82</v>
      </c>
      <c r="L31" s="57">
        <v>16500</v>
      </c>
      <c r="M31" s="66">
        <v>-2.724237453066114E-2</v>
      </c>
      <c r="N31" s="67">
        <v>0.17385251106187716</v>
      </c>
      <c r="O31" s="67">
        <v>0.39712161103352095</v>
      </c>
      <c r="P31" s="67">
        <v>0.63640690739866335</v>
      </c>
    </row>
    <row r="32" spans="1:16">
      <c r="A32" s="6" t="s">
        <v>73</v>
      </c>
      <c r="B32" s="5"/>
      <c r="E32" s="14"/>
      <c r="F32" s="8"/>
      <c r="G32" s="20"/>
      <c r="K32" s="5"/>
      <c r="L32" s="57">
        <v>18150</v>
      </c>
      <c r="M32" s="66">
        <v>-0.20023251907454687</v>
      </c>
      <c r="N32" s="67">
        <v>-2.5004644588639047E-2</v>
      </c>
      <c r="O32" s="67">
        <v>0.17652127603501611</v>
      </c>
      <c r="P32" s="67">
        <v>0.400187139844008</v>
      </c>
    </row>
    <row r="33" spans="1:66">
      <c r="A33" s="25" t="s">
        <v>57</v>
      </c>
      <c r="B33" s="48">
        <v>0.56000000000000005</v>
      </c>
      <c r="G33" s="20"/>
      <c r="K33" s="5"/>
      <c r="L33" s="57">
        <v>19965</v>
      </c>
      <c r="M33" s="66">
        <v>-0.34655893519759962</v>
      </c>
      <c r="N33" s="67">
        <v>-0.19856766976967366</v>
      </c>
      <c r="O33" s="67">
        <v>-2.2964985450227959E-2</v>
      </c>
      <c r="P33" s="67">
        <v>0.17895632954478224</v>
      </c>
    </row>
    <row r="34" spans="1:66" ht="15.75">
      <c r="A34" s="26" t="s">
        <v>58</v>
      </c>
      <c r="B34" s="48">
        <v>0.2</v>
      </c>
      <c r="E34" s="12" t="s">
        <v>29</v>
      </c>
      <c r="G34" s="20"/>
    </row>
    <row r="35" spans="1:66" ht="15.75" thickBot="1">
      <c r="A35" s="26" t="s">
        <v>76</v>
      </c>
      <c r="B35" s="82">
        <v>0.1</v>
      </c>
      <c r="E35" s="72" t="s">
        <v>30</v>
      </c>
      <c r="F35" s="73">
        <f t="shared" ref="F35" si="6">F75</f>
        <v>9329286.3999999762</v>
      </c>
      <c r="G35" s="74">
        <f t="shared" ref="G35" si="7">F35/$F$14</f>
        <v>1.4592770191807115E-2</v>
      </c>
    </row>
    <row r="36" spans="1:66" ht="15.75" thickTop="1">
      <c r="A36" s="6" t="s">
        <v>77</v>
      </c>
      <c r="B36" s="5"/>
      <c r="E36" s="15"/>
      <c r="F36" s="8"/>
      <c r="G36" s="20"/>
    </row>
    <row r="37" spans="1:66">
      <c r="A37" s="25" t="s">
        <v>78</v>
      </c>
      <c r="B37" s="50" cm="1">
        <f t="array" ref="B37">LOOKUP(2,1/(G54:BN54&lt;&gt;0),COLUMN(G54:BN54))-COLUMN(G54)+2</f>
        <v>34</v>
      </c>
      <c r="G37" s="20"/>
    </row>
    <row r="38" spans="1:66" ht="15.75">
      <c r="E38" s="12" t="s">
        <v>32</v>
      </c>
      <c r="G38" s="20"/>
    </row>
    <row r="39" spans="1:66" ht="15.75" thickBot="1">
      <c r="E39" s="72" t="s">
        <v>30</v>
      </c>
      <c r="F39" s="73">
        <f t="shared" ref="F39" si="8">F79</f>
        <v>-36168189.866666712</v>
      </c>
      <c r="G39" s="74">
        <f t="shared" ref="G39" si="9">F39/$F$14</f>
        <v>-5.6573896474859588E-2</v>
      </c>
    </row>
    <row r="40" spans="1:66" ht="15.75" thickTop="1">
      <c r="E40" s="15"/>
      <c r="F40" s="8"/>
    </row>
    <row r="41" spans="1:66">
      <c r="A41" s="2" t="s">
        <v>83</v>
      </c>
      <c r="B41" s="1"/>
      <c r="C41" s="1"/>
    </row>
    <row r="46" spans="1:66">
      <c r="E46" s="11" t="s">
        <v>40</v>
      </c>
      <c r="F46" s="9"/>
      <c r="G46" s="9">
        <v>1</v>
      </c>
      <c r="H46" s="9">
        <f>ROUNDUP(H47/12,0)</f>
        <v>1</v>
      </c>
      <c r="I46" s="9">
        <f t="shared" ref="I46:BN46" si="10">ROUNDUP(I47/12,0)</f>
        <v>1</v>
      </c>
      <c r="J46" s="9">
        <f t="shared" si="10"/>
        <v>1</v>
      </c>
      <c r="K46" s="9">
        <f t="shared" si="10"/>
        <v>1</v>
      </c>
      <c r="L46" s="9">
        <f t="shared" si="10"/>
        <v>1</v>
      </c>
      <c r="M46" s="9">
        <f t="shared" si="10"/>
        <v>1</v>
      </c>
      <c r="N46" s="9">
        <f t="shared" si="10"/>
        <v>1</v>
      </c>
      <c r="O46" s="9">
        <f t="shared" si="10"/>
        <v>1</v>
      </c>
      <c r="P46" s="9">
        <f t="shared" si="10"/>
        <v>1</v>
      </c>
      <c r="Q46" s="9">
        <f t="shared" si="10"/>
        <v>1</v>
      </c>
      <c r="R46" s="9">
        <f t="shared" si="10"/>
        <v>1</v>
      </c>
      <c r="S46" s="9">
        <f t="shared" si="10"/>
        <v>2</v>
      </c>
      <c r="T46" s="9">
        <f t="shared" si="10"/>
        <v>2</v>
      </c>
      <c r="U46" s="9">
        <f t="shared" si="10"/>
        <v>2</v>
      </c>
      <c r="V46" s="9">
        <f t="shared" si="10"/>
        <v>2</v>
      </c>
      <c r="W46" s="9">
        <f t="shared" si="10"/>
        <v>2</v>
      </c>
      <c r="X46" s="9">
        <f t="shared" si="10"/>
        <v>2</v>
      </c>
      <c r="Y46" s="9">
        <f t="shared" si="10"/>
        <v>2</v>
      </c>
      <c r="Z46" s="9">
        <f t="shared" si="10"/>
        <v>2</v>
      </c>
      <c r="AA46" s="9">
        <f t="shared" si="10"/>
        <v>2</v>
      </c>
      <c r="AB46" s="9">
        <f t="shared" si="10"/>
        <v>2</v>
      </c>
      <c r="AC46" s="9">
        <f t="shared" si="10"/>
        <v>2</v>
      </c>
      <c r="AD46" s="9">
        <f t="shared" si="10"/>
        <v>2</v>
      </c>
      <c r="AE46" s="9">
        <f t="shared" si="10"/>
        <v>3</v>
      </c>
      <c r="AF46" s="9">
        <f t="shared" si="10"/>
        <v>3</v>
      </c>
      <c r="AG46" s="9">
        <f t="shared" si="10"/>
        <v>3</v>
      </c>
      <c r="AH46" s="9">
        <f t="shared" si="10"/>
        <v>3</v>
      </c>
      <c r="AI46" s="9">
        <f t="shared" si="10"/>
        <v>3</v>
      </c>
      <c r="AJ46" s="9">
        <f t="shared" si="10"/>
        <v>3</v>
      </c>
      <c r="AK46" s="9">
        <f t="shared" si="10"/>
        <v>3</v>
      </c>
      <c r="AL46" s="9">
        <f t="shared" si="10"/>
        <v>3</v>
      </c>
      <c r="AM46" s="9">
        <f t="shared" si="10"/>
        <v>3</v>
      </c>
      <c r="AN46" s="9">
        <f t="shared" si="10"/>
        <v>3</v>
      </c>
      <c r="AO46" s="9">
        <f t="shared" si="10"/>
        <v>3</v>
      </c>
      <c r="AP46" s="9">
        <f t="shared" si="10"/>
        <v>3</v>
      </c>
      <c r="AQ46" s="9">
        <f t="shared" si="10"/>
        <v>4</v>
      </c>
      <c r="AR46" s="9">
        <f t="shared" si="10"/>
        <v>4</v>
      </c>
      <c r="AS46" s="9">
        <f t="shared" si="10"/>
        <v>4</v>
      </c>
      <c r="AT46" s="9">
        <f t="shared" si="10"/>
        <v>4</v>
      </c>
      <c r="AU46" s="9">
        <f t="shared" si="10"/>
        <v>4</v>
      </c>
      <c r="AV46" s="9">
        <f t="shared" si="10"/>
        <v>4</v>
      </c>
      <c r="AW46" s="9">
        <f t="shared" si="10"/>
        <v>4</v>
      </c>
      <c r="AX46" s="9">
        <f t="shared" si="10"/>
        <v>4</v>
      </c>
      <c r="AY46" s="9">
        <f t="shared" si="10"/>
        <v>4</v>
      </c>
      <c r="AZ46" s="9">
        <f t="shared" si="10"/>
        <v>4</v>
      </c>
      <c r="BA46" s="9">
        <f t="shared" si="10"/>
        <v>4</v>
      </c>
      <c r="BB46" s="9">
        <f t="shared" si="10"/>
        <v>4</v>
      </c>
      <c r="BC46" s="9">
        <f t="shared" si="10"/>
        <v>5</v>
      </c>
      <c r="BD46" s="9">
        <f t="shared" si="10"/>
        <v>5</v>
      </c>
      <c r="BE46" s="9">
        <f t="shared" si="10"/>
        <v>5</v>
      </c>
      <c r="BF46" s="9">
        <f t="shared" si="10"/>
        <v>5</v>
      </c>
      <c r="BG46" s="9">
        <f t="shared" si="10"/>
        <v>5</v>
      </c>
      <c r="BH46" s="9">
        <f t="shared" si="10"/>
        <v>5</v>
      </c>
      <c r="BI46" s="9">
        <f t="shared" si="10"/>
        <v>5</v>
      </c>
      <c r="BJ46" s="9">
        <f t="shared" si="10"/>
        <v>5</v>
      </c>
      <c r="BK46" s="9">
        <f t="shared" si="10"/>
        <v>5</v>
      </c>
      <c r="BL46" s="9">
        <f t="shared" si="10"/>
        <v>5</v>
      </c>
      <c r="BM46" s="9">
        <f t="shared" si="10"/>
        <v>5</v>
      </c>
      <c r="BN46" s="9">
        <f t="shared" si="10"/>
        <v>5</v>
      </c>
    </row>
    <row r="47" spans="1:66">
      <c r="E47" s="11" t="s">
        <v>41</v>
      </c>
      <c r="F47" s="9" t="s">
        <v>43</v>
      </c>
      <c r="G47" s="9">
        <v>1</v>
      </c>
      <c r="H47" s="9">
        <f>G47+1</f>
        <v>2</v>
      </c>
      <c r="I47" s="9">
        <f t="shared" ref="I47:BN47" si="11">H47+1</f>
        <v>3</v>
      </c>
      <c r="J47" s="9">
        <f t="shared" si="11"/>
        <v>4</v>
      </c>
      <c r="K47" s="9">
        <f t="shared" si="11"/>
        <v>5</v>
      </c>
      <c r="L47" s="9">
        <f t="shared" si="11"/>
        <v>6</v>
      </c>
      <c r="M47" s="9">
        <f t="shared" si="11"/>
        <v>7</v>
      </c>
      <c r="N47" s="9">
        <f t="shared" si="11"/>
        <v>8</v>
      </c>
      <c r="O47" s="9">
        <f t="shared" si="11"/>
        <v>9</v>
      </c>
      <c r="P47" s="9">
        <f t="shared" si="11"/>
        <v>10</v>
      </c>
      <c r="Q47" s="9">
        <f t="shared" si="11"/>
        <v>11</v>
      </c>
      <c r="R47" s="9">
        <f t="shared" si="11"/>
        <v>12</v>
      </c>
      <c r="S47" s="9">
        <f t="shared" si="11"/>
        <v>13</v>
      </c>
      <c r="T47" s="9">
        <f t="shared" si="11"/>
        <v>14</v>
      </c>
      <c r="U47" s="9">
        <f t="shared" si="11"/>
        <v>15</v>
      </c>
      <c r="V47" s="9">
        <f t="shared" si="11"/>
        <v>16</v>
      </c>
      <c r="W47" s="9">
        <f t="shared" si="11"/>
        <v>17</v>
      </c>
      <c r="X47" s="9">
        <f t="shared" si="11"/>
        <v>18</v>
      </c>
      <c r="Y47" s="9">
        <f t="shared" si="11"/>
        <v>19</v>
      </c>
      <c r="Z47" s="9">
        <f t="shared" si="11"/>
        <v>20</v>
      </c>
      <c r="AA47" s="9">
        <f t="shared" si="11"/>
        <v>21</v>
      </c>
      <c r="AB47" s="9">
        <f t="shared" si="11"/>
        <v>22</v>
      </c>
      <c r="AC47" s="9">
        <f t="shared" si="11"/>
        <v>23</v>
      </c>
      <c r="AD47" s="9">
        <f t="shared" si="11"/>
        <v>24</v>
      </c>
      <c r="AE47" s="9">
        <f t="shared" si="11"/>
        <v>25</v>
      </c>
      <c r="AF47" s="9">
        <f t="shared" si="11"/>
        <v>26</v>
      </c>
      <c r="AG47" s="9">
        <f t="shared" si="11"/>
        <v>27</v>
      </c>
      <c r="AH47" s="9">
        <f t="shared" si="11"/>
        <v>28</v>
      </c>
      <c r="AI47" s="9">
        <f t="shared" si="11"/>
        <v>29</v>
      </c>
      <c r="AJ47" s="9">
        <f t="shared" si="11"/>
        <v>30</v>
      </c>
      <c r="AK47" s="9">
        <f t="shared" si="11"/>
        <v>31</v>
      </c>
      <c r="AL47" s="9">
        <f t="shared" si="11"/>
        <v>32</v>
      </c>
      <c r="AM47" s="9">
        <f t="shared" si="11"/>
        <v>33</v>
      </c>
      <c r="AN47" s="9">
        <f t="shared" si="11"/>
        <v>34</v>
      </c>
      <c r="AO47" s="9">
        <f t="shared" si="11"/>
        <v>35</v>
      </c>
      <c r="AP47" s="9">
        <f t="shared" si="11"/>
        <v>36</v>
      </c>
      <c r="AQ47" s="9">
        <f t="shared" si="11"/>
        <v>37</v>
      </c>
      <c r="AR47" s="9">
        <f t="shared" si="11"/>
        <v>38</v>
      </c>
      <c r="AS47" s="9">
        <f t="shared" si="11"/>
        <v>39</v>
      </c>
      <c r="AT47" s="9">
        <f t="shared" si="11"/>
        <v>40</v>
      </c>
      <c r="AU47" s="9">
        <f t="shared" si="11"/>
        <v>41</v>
      </c>
      <c r="AV47" s="9">
        <f t="shared" si="11"/>
        <v>42</v>
      </c>
      <c r="AW47" s="9">
        <f t="shared" si="11"/>
        <v>43</v>
      </c>
      <c r="AX47" s="9">
        <f t="shared" si="11"/>
        <v>44</v>
      </c>
      <c r="AY47" s="9">
        <f t="shared" si="11"/>
        <v>45</v>
      </c>
      <c r="AZ47" s="9">
        <f t="shared" si="11"/>
        <v>46</v>
      </c>
      <c r="BA47" s="9">
        <f t="shared" si="11"/>
        <v>47</v>
      </c>
      <c r="BB47" s="9">
        <f t="shared" si="11"/>
        <v>48</v>
      </c>
      <c r="BC47" s="9">
        <f t="shared" si="11"/>
        <v>49</v>
      </c>
      <c r="BD47" s="9">
        <f t="shared" si="11"/>
        <v>50</v>
      </c>
      <c r="BE47" s="9">
        <f t="shared" si="11"/>
        <v>51</v>
      </c>
      <c r="BF47" s="9">
        <f t="shared" si="11"/>
        <v>52</v>
      </c>
      <c r="BG47" s="9">
        <f t="shared" si="11"/>
        <v>53</v>
      </c>
      <c r="BH47" s="9">
        <f t="shared" si="11"/>
        <v>54</v>
      </c>
      <c r="BI47" s="9">
        <f t="shared" si="11"/>
        <v>55</v>
      </c>
      <c r="BJ47" s="9">
        <f t="shared" si="11"/>
        <v>56</v>
      </c>
      <c r="BK47" s="9">
        <f t="shared" si="11"/>
        <v>57</v>
      </c>
      <c r="BL47" s="9">
        <f t="shared" si="11"/>
        <v>58</v>
      </c>
      <c r="BM47" s="9">
        <f t="shared" si="11"/>
        <v>59</v>
      </c>
      <c r="BN47" s="9">
        <f t="shared" si="11"/>
        <v>60</v>
      </c>
    </row>
    <row r="48" spans="1:66">
      <c r="H48" s="19" t="str">
        <f>IF(MOD(COLUMN(),12)=1,YEAR($A$1)+INT((COLUMN()-1)/12),"")</f>
        <v/>
      </c>
    </row>
    <row r="49" spans="3:66" ht="15.75">
      <c r="E49" s="12" t="s">
        <v>15</v>
      </c>
      <c r="G49" s="10"/>
      <c r="H49" s="10"/>
      <c r="I49" s="10"/>
      <c r="J49" s="10"/>
      <c r="K49" s="10"/>
    </row>
    <row r="50" spans="3:66">
      <c r="E50" t="s">
        <v>44</v>
      </c>
      <c r="F50" s="10">
        <f>SUM(G50:BN50)</f>
        <v>200</v>
      </c>
      <c r="G50" s="10">
        <v>0</v>
      </c>
      <c r="H50" s="22">
        <f>IF(H47&lt;$B$20,0,MIN($B$20,$B16-SUM($G50:G50)))</f>
        <v>0</v>
      </c>
      <c r="I50" s="22">
        <f>IF(I47&lt;$B$20,0,MIN($B$20,$B16-SUM($G50:H50)))</f>
        <v>0</v>
      </c>
      <c r="J50" s="22">
        <f>IF(J47&lt;$B$20,0,MIN($B$20,$B16-SUM($G50:I50)))</f>
        <v>0</v>
      </c>
      <c r="K50" s="22">
        <f>IF(K47&lt;$B$20,0,MIN($B$20,$B16-SUM($G50:J50)))</f>
        <v>0</v>
      </c>
      <c r="L50" s="22">
        <f>IF(L47&lt;$B$20,0,MIN($B$20,$B16-SUM($G50:K50)))</f>
        <v>0</v>
      </c>
      <c r="M50" s="22">
        <f>IF(M47&lt;$B$20,0,MIN($B$20,$B16-SUM($G50:L50)))</f>
        <v>0</v>
      </c>
      <c r="N50" s="22">
        <f>IF(N47&lt;$B$20,0,MIN($B$20,$B16-SUM($G50:M50)))</f>
        <v>0</v>
      </c>
      <c r="O50" s="22">
        <f>IF(O47&lt;$B$20,0,MIN($B$20,$B16-SUM($G50:N50)))</f>
        <v>0</v>
      </c>
      <c r="P50" s="22">
        <f>IF(P47&lt;$B$20,0,MIN($B$20,$B16-SUM($G50:O50)))</f>
        <v>0</v>
      </c>
      <c r="Q50" s="22">
        <f>IF(Q47&lt;$B$20,0,MIN($B$20,$B16-SUM($G50:P50)))</f>
        <v>0</v>
      </c>
      <c r="R50" s="22">
        <f>IF(R47&lt;$B$20,0,MIN($B$20,$B16-SUM($G50:Q50)))</f>
        <v>12</v>
      </c>
      <c r="S50" s="22">
        <f>IF(S47&lt;$B$20,0,MIN($B$20,$B16-SUM($G50:R50)))</f>
        <v>12</v>
      </c>
      <c r="T50" s="22">
        <f>IF(T47&lt;$B$20,0,MIN($B$20,$B16-SUM($G50:S50)))</f>
        <v>12</v>
      </c>
      <c r="U50" s="22">
        <f>IF(U47&lt;$B$20,0,MIN($B$20,$B16-SUM($G50:T50)))</f>
        <v>12</v>
      </c>
      <c r="V50" s="22">
        <f>IF(V47&lt;$B$20,0,MIN($B$20,$B16-SUM($G50:U50)))</f>
        <v>12</v>
      </c>
      <c r="W50" s="22">
        <f>IF(W47&lt;$B$20,0,MIN($B$20,$B16-SUM($G50:V50)))</f>
        <v>12</v>
      </c>
      <c r="X50" s="22">
        <f>IF(X47&lt;$B$20,0,MIN($B$20,$B16-SUM($G50:W50)))</f>
        <v>12</v>
      </c>
      <c r="Y50" s="22">
        <f>IF(Y47&lt;$B$20,0,MIN($B$20,$B16-SUM($G50:X50)))</f>
        <v>12</v>
      </c>
      <c r="Z50" s="22">
        <f>IF(Z47&lt;$B$20,0,MIN($B$20,$B16-SUM($G50:Y50)))</f>
        <v>12</v>
      </c>
      <c r="AA50" s="22">
        <f>IF(AA47&lt;$B$20,0,MIN($B$20,$B16-SUM($G50:Z50)))</f>
        <v>12</v>
      </c>
      <c r="AB50" s="22">
        <f>IF(AB47&lt;$B$20,0,MIN($B$20,$B16-SUM($G50:AA50)))</f>
        <v>12</v>
      </c>
      <c r="AC50" s="22">
        <f>IF(AC47&lt;$B$20,0,MIN($B$20,$B16-SUM($G50:AB50)))</f>
        <v>12</v>
      </c>
      <c r="AD50" s="22">
        <f>IF(AD47&lt;$B$20,0,MIN($B$20,$B16-SUM($G50:AC50)))</f>
        <v>12</v>
      </c>
      <c r="AE50" s="22">
        <f>IF(AE47&lt;$B$20,0,MIN($B$20,$B16-SUM($G50:AD50)))</f>
        <v>12</v>
      </c>
      <c r="AF50" s="22">
        <f>IF(AF47&lt;$B$20,0,MIN($B$20,$B16-SUM($G50:AE50)))</f>
        <v>12</v>
      </c>
      <c r="AG50" s="22">
        <f>IF(AG47&lt;$B$20,0,MIN($B$20,$B16-SUM($G50:AF50)))</f>
        <v>12</v>
      </c>
      <c r="AH50" s="22">
        <f>IF(AH47&lt;$B$20,0,MIN($B$20,$B16-SUM($G50:AG50)))</f>
        <v>8</v>
      </c>
      <c r="AI50" s="22">
        <f>IF(AI47&lt;$B$20,0,MIN($B$20,$B16-SUM($G50:AH50)))</f>
        <v>0</v>
      </c>
      <c r="AJ50" s="22">
        <f>IF(AJ47&lt;$B$20,0,MIN($B$20,$B16-SUM($G50:AI50)))</f>
        <v>0</v>
      </c>
      <c r="AK50" s="22">
        <f>IF(AK47&lt;$B$20,0,MIN($B$20,$B16-SUM($G50:AJ50)))</f>
        <v>0</v>
      </c>
      <c r="AL50" s="22">
        <f>IF(AL47&lt;$B$20,0,MIN($B$20,$B16-SUM($G50:AK50)))</f>
        <v>0</v>
      </c>
      <c r="AM50" s="22">
        <f>IF(AM47&lt;$B$20,0,MIN($B$20,$B16-SUM($G50:AL50)))</f>
        <v>0</v>
      </c>
      <c r="AN50" s="22">
        <f>IF(AN47&lt;$B$20,0,MIN($B$20,$B16-SUM($G50:AM50)))</f>
        <v>0</v>
      </c>
      <c r="AO50" s="22">
        <f>IF(AO47&lt;$B$20,0,MIN($B$20,$B16-SUM($G50:AN50)))</f>
        <v>0</v>
      </c>
      <c r="AP50" s="22">
        <f>IF(AP47&lt;$B$20,0,MIN($B$20,$B16-SUM($G50:AO50)))</f>
        <v>0</v>
      </c>
      <c r="AQ50" s="22">
        <f>IF(AQ47&lt;$B$20,0,MIN($B$20,$B16-SUM($G50:AP50)))</f>
        <v>0</v>
      </c>
      <c r="AR50" s="22">
        <f>IF(AR47&lt;$B$20,0,MIN($B$20,$B16-SUM($G50:AQ50)))</f>
        <v>0</v>
      </c>
      <c r="AS50" s="22">
        <f>IF(AS47&lt;$B$20,0,MIN($B$20,$B16-SUM($G50:AR50)))</f>
        <v>0</v>
      </c>
      <c r="AT50" s="22">
        <f>IF(AT47&lt;$B$20,0,MIN($B$20,$B16-SUM($G50:AS50)))</f>
        <v>0</v>
      </c>
      <c r="AU50" s="22">
        <f>IF(AU47&lt;$B$20,0,MIN($B$20,$B16-SUM($G50:AT50)))</f>
        <v>0</v>
      </c>
      <c r="AV50" s="22">
        <f>IF(AV47&lt;$B$20,0,MIN($B$20,$B16-SUM($G50:AU50)))</f>
        <v>0</v>
      </c>
      <c r="AW50" s="22">
        <f>IF(AW47&lt;$B$20,0,MIN($B$20,$B16-SUM($G50:AV50)))</f>
        <v>0</v>
      </c>
      <c r="AX50" s="22">
        <f>IF(AX47&lt;$B$20,0,MIN($B$20,$B16-SUM($G50:AW50)))</f>
        <v>0</v>
      </c>
      <c r="AY50" s="22">
        <f>IF(AY47&lt;$B$20,0,MIN($B$20,$B16-SUM($G50:AX50)))</f>
        <v>0</v>
      </c>
      <c r="AZ50" s="22">
        <f>IF(AZ47&lt;$B$20,0,MIN($B$20,$B16-SUM($G50:AY50)))</f>
        <v>0</v>
      </c>
      <c r="BA50" s="22">
        <f>IF(BA47&lt;$B$20,0,MIN($B$20,$B16-SUM($G50:AZ50)))</f>
        <v>0</v>
      </c>
      <c r="BB50" s="22">
        <f>IF(BB47&lt;$B$20,0,MIN($B$20,$B16-SUM($G50:BA50)))</f>
        <v>0</v>
      </c>
      <c r="BC50" s="22">
        <f>IF(BC47&lt;$B$20,0,MIN($B$20,$B16-SUM($G50:BB50)))</f>
        <v>0</v>
      </c>
      <c r="BD50" s="22">
        <f>IF(BD47&lt;$B$20,0,MIN($B$20,$B16-SUM($G50:BC50)))</f>
        <v>0</v>
      </c>
      <c r="BE50" s="22">
        <f>IF(BE47&lt;$B$20,0,MIN($B$20,$B16-SUM($G50:BD50)))</f>
        <v>0</v>
      </c>
      <c r="BF50" s="22">
        <f>IF(BF47&lt;$B$20,0,MIN($B$20,$B16-SUM($G50:BE50)))</f>
        <v>0</v>
      </c>
      <c r="BG50" s="22">
        <f>IF(BG47&lt;$B$20,0,MIN($B$20,$B16-SUM($G50:BF50)))</f>
        <v>0</v>
      </c>
      <c r="BH50" s="22">
        <f>IF(BH47&lt;$B$20,0,MIN($B$20,$B16-SUM($G50:BG50)))</f>
        <v>0</v>
      </c>
      <c r="BI50" s="22">
        <f>IF(BI47&lt;$B$20,0,MIN($B$20,$B16-SUM($G50:BH50)))</f>
        <v>0</v>
      </c>
      <c r="BJ50" s="22">
        <f>IF(BJ47&lt;$B$20,0,MIN($B$20,$B16-SUM($G50:BI50)))</f>
        <v>0</v>
      </c>
      <c r="BK50" s="22">
        <f>IF(BK47&lt;$B$20,0,MIN($B$20,$B16-SUM($G50:BJ50)))</f>
        <v>0</v>
      </c>
      <c r="BL50" s="22">
        <f>IF(BL47&lt;$B$20,0,MIN($B$20,$B16-SUM($G50:BK50)))</f>
        <v>0</v>
      </c>
      <c r="BM50" s="22">
        <f>IF(BM47&lt;$B$20,0,MIN($B$20,$B16-SUM($G50:BL50)))</f>
        <v>0</v>
      </c>
      <c r="BN50" s="22">
        <f>IF(BN47&lt;$B$20,0,MIN($B$20,$B16-SUM($G50:BM50)))</f>
        <v>0</v>
      </c>
    </row>
    <row r="51" spans="3:66">
      <c r="E51" t="s">
        <v>45</v>
      </c>
      <c r="F51" s="10">
        <f>SUM(G51:BN51)</f>
        <v>200</v>
      </c>
      <c r="G51" s="10">
        <v>0</v>
      </c>
      <c r="H51" s="10">
        <f>IF(H47&lt;$B$22,0,MIN($B$23,$B16-SUM($G51:G51)))</f>
        <v>0</v>
      </c>
      <c r="I51" s="10">
        <f>IF(I47&lt;$B$22,0,MIN($B$23,$B16-SUM($G51:H51)))</f>
        <v>0</v>
      </c>
      <c r="J51" s="10">
        <f>IF(J47&lt;$B$22,0,MIN($B$23,$B16-SUM($G51:I51)))</f>
        <v>0</v>
      </c>
      <c r="K51" s="10">
        <f>IF(K47&lt;$B$22,0,MIN($B$23,$B16-SUM($G51:J51)))</f>
        <v>0</v>
      </c>
      <c r="L51" s="10">
        <f>IF(L47&lt;$B$22,0,MIN($B$23,$B16-SUM($G51:K51)))</f>
        <v>0</v>
      </c>
      <c r="M51" s="10">
        <f>IF(M47&lt;$B$22,0,MIN($B$23,$B16-SUM($G51:L51)))</f>
        <v>0</v>
      </c>
      <c r="N51" s="10">
        <f>IF(N47&lt;$B$22,0,MIN($B$23,$B16-SUM($G51:M51)))</f>
        <v>0</v>
      </c>
      <c r="O51" s="10">
        <f>IF(O47&lt;$B$22,0,MIN($B$23,$B16-SUM($G51:N51)))</f>
        <v>0</v>
      </c>
      <c r="P51" s="10">
        <f>IF(P47&lt;$B$22,0,MIN($B$23,$B16-SUM($G51:O51)))</f>
        <v>0</v>
      </c>
      <c r="Q51" s="10">
        <f>IF(Q47&lt;$B$22,0,MIN($B$23,$B16-SUM($G51:P51)))</f>
        <v>0</v>
      </c>
      <c r="R51" s="10">
        <f>IF(R47&lt;$B$22,0,MIN($B$23,$B16-SUM($G51:Q51)))</f>
        <v>0</v>
      </c>
      <c r="S51" s="10">
        <f>IF(S47&lt;$B$22,0,MIN($B$23,$B16-SUM($G51:R51)))</f>
        <v>0</v>
      </c>
      <c r="T51" s="10">
        <f>IF(T47&lt;$B$22,0,MIN($B$23,$B16-SUM($G51:S51)))</f>
        <v>0</v>
      </c>
      <c r="U51" s="10">
        <f>IF(U47&lt;$B$22,0,MIN($B$23,$B16-SUM($G51:T51)))</f>
        <v>0</v>
      </c>
      <c r="V51" s="10">
        <f>IF(V47&lt;$B$22,0,MIN($B$23,$B16-SUM($G51:U51)))</f>
        <v>0</v>
      </c>
      <c r="W51" s="10">
        <f>IF(W47&lt;$B$22,0,MIN($B$23,$B16-SUM($G51:V51)))</f>
        <v>0</v>
      </c>
      <c r="X51" s="10">
        <f>IF(X47&lt;$B$22,0,MIN($B$23,$B16-SUM($G51:W51)))</f>
        <v>0</v>
      </c>
      <c r="Y51" s="10">
        <f>IF(Y47&lt;$B$22,0,MIN($B$23,$B16-SUM($G51:X51)))</f>
        <v>0</v>
      </c>
      <c r="Z51" s="10">
        <f>IF(Z47&lt;$B$22,0,MIN($B$23,$B16-SUM($G51:Y51)))</f>
        <v>0</v>
      </c>
      <c r="AA51" s="10">
        <f>IF(AA47&lt;$B$22,0,MIN($B$23,$B16-SUM($G51:Z51)))</f>
        <v>0</v>
      </c>
      <c r="AB51" s="10">
        <f>IF(AB47&lt;$B$22,0,MIN($B$23,$B16-SUM($G51:AA51)))</f>
        <v>0</v>
      </c>
      <c r="AC51" s="10">
        <f>IF(AC47&lt;$B$22,0,MIN($B$23,$B16-SUM($G51:AB51)))</f>
        <v>0</v>
      </c>
      <c r="AD51" s="10">
        <f>IF(AD47&lt;$B$22,0,MIN($B$23,$B16-SUM($G51:AC51)))</f>
        <v>0</v>
      </c>
      <c r="AE51" s="10">
        <f>IF(AE47&lt;$B$22,0,MIN($B$23,$B16-SUM($G51:AD51)))</f>
        <v>0</v>
      </c>
      <c r="AF51" s="10">
        <f>IF(AF47&lt;$B$22,0,MIN($B$23,$B16-SUM($G51:AE51)))</f>
        <v>0</v>
      </c>
      <c r="AG51" s="10">
        <f>IF(AG47&lt;$B$22,0,MIN($B$23,$B16-SUM($G51:AF51)))</f>
        <v>30</v>
      </c>
      <c r="AH51" s="10">
        <f>IF(AH47&lt;$B$22,0,MIN($B$23,$B16-SUM($G51:AG51)))</f>
        <v>30</v>
      </c>
      <c r="AI51" s="10">
        <f>IF(AI47&lt;$B$22,0,MIN($B$23,$B16-SUM($G51:AH51)))</f>
        <v>30</v>
      </c>
      <c r="AJ51" s="10">
        <f>IF(AJ47&lt;$B$22,0,MIN($B$23,$B16-SUM($G51:AI51)))</f>
        <v>30</v>
      </c>
      <c r="AK51" s="10">
        <f>IF(AK47&lt;$B$22,0,MIN($B$23,$B16-SUM($G51:AJ51)))</f>
        <v>30</v>
      </c>
      <c r="AL51" s="10">
        <f>IF(AL47&lt;$B$22,0,MIN($B$23,$B16-SUM($G51:AK51)))</f>
        <v>30</v>
      </c>
      <c r="AM51" s="10">
        <f>IF(AM47&lt;$B$22,0,MIN($B$23,$B16-SUM($G51:AL51)))</f>
        <v>20</v>
      </c>
      <c r="AN51" s="10">
        <f>IF(AN47&lt;$B$22,0,MIN($B$23,$B16-SUM($G51:AM51)))</f>
        <v>0</v>
      </c>
      <c r="AO51" s="10">
        <f>IF(AO47&lt;$B$22,0,MIN($B$23,$B16-SUM($G51:AN51)))</f>
        <v>0</v>
      </c>
      <c r="AP51" s="10">
        <f>IF(AP47&lt;$B$22,0,MIN($B$23,$B16-SUM($G51:AO51)))</f>
        <v>0</v>
      </c>
      <c r="AQ51" s="10">
        <f>IF(AQ47&lt;$B$22,0,MIN($B$23,$B16-SUM($G51:AP51)))</f>
        <v>0</v>
      </c>
      <c r="AR51" s="10">
        <f>IF(AR47&lt;$B$22,0,MIN($B$23,$B16-SUM($G51:AQ51)))</f>
        <v>0</v>
      </c>
      <c r="AS51" s="10">
        <f>IF(AS47&lt;$B$22,0,MIN($B$23,$B16-SUM($G51:AR51)))</f>
        <v>0</v>
      </c>
      <c r="AT51" s="10">
        <f>IF(AT47&lt;$B$22,0,MIN($B$23,$B16-SUM($G51:AS51)))</f>
        <v>0</v>
      </c>
      <c r="AU51" s="10">
        <f>IF(AU47&lt;$B$22,0,MIN($B$23,$B16-SUM($G51:AT51)))</f>
        <v>0</v>
      </c>
      <c r="AV51" s="10">
        <f>IF(AV47&lt;$B$22,0,MIN($B$23,$B16-SUM($G51:AU51)))</f>
        <v>0</v>
      </c>
      <c r="AW51" s="10">
        <f>IF(AW47&lt;$B$22,0,MIN($B$23,$B16-SUM($G51:AV51)))</f>
        <v>0</v>
      </c>
      <c r="AX51" s="10">
        <f>IF(AX47&lt;$B$22,0,MIN($B$23,$B16-SUM($G51:AW51)))</f>
        <v>0</v>
      </c>
      <c r="AY51" s="10">
        <f>IF(AY47&lt;$B$22,0,MIN($B$23,$B16-SUM($G51:AX51)))</f>
        <v>0</v>
      </c>
      <c r="AZ51" s="10">
        <f>IF(AZ47&lt;$B$22,0,MIN($B$23,$B16-SUM($G51:AY51)))</f>
        <v>0</v>
      </c>
      <c r="BA51" s="10">
        <f>IF(BA47&lt;$B$22,0,MIN($B$23,$B16-SUM($G51:AZ51)))</f>
        <v>0</v>
      </c>
      <c r="BB51" s="10">
        <f>IF(BB47&lt;$B$22,0,MIN($B$23,$B16-SUM($G51:BA51)))</f>
        <v>0</v>
      </c>
      <c r="BC51" s="10">
        <f>IF(BC47&lt;$B$22,0,MIN($B$23,$B16-SUM($G51:BB51)))</f>
        <v>0</v>
      </c>
      <c r="BD51" s="10">
        <f>IF(BD47&lt;$B$22,0,MIN($B$23,$B16-SUM($G51:BC51)))</f>
        <v>0</v>
      </c>
      <c r="BE51" s="10">
        <f>IF(BE47&lt;$B$22,0,MIN($B$23,$B16-SUM($G51:BD51)))</f>
        <v>0</v>
      </c>
      <c r="BF51" s="10">
        <f>IF(BF47&lt;$B$22,0,MIN($B$23,$B16-SUM($G51:BE51)))</f>
        <v>0</v>
      </c>
      <c r="BG51" s="10">
        <f>IF(BG47&lt;$B$22,0,MIN($B$23,$B16-SUM($G51:BF51)))</f>
        <v>0</v>
      </c>
      <c r="BH51" s="10">
        <f>IF(BH47&lt;$B$22,0,MIN($B$23,$B16-SUM($G51:BG51)))</f>
        <v>0</v>
      </c>
      <c r="BI51" s="10">
        <f>IF(BI47&lt;$B$22,0,MIN($B$23,$B16-SUM($G51:BH51)))</f>
        <v>0</v>
      </c>
      <c r="BJ51" s="10">
        <f>IF(BJ47&lt;$B$22,0,MIN($B$23,$B16-SUM($G51:BI51)))</f>
        <v>0</v>
      </c>
      <c r="BK51" s="10">
        <f>IF(BK47&lt;$B$22,0,MIN($B$23,$B16-SUM($G51:BJ51)))</f>
        <v>0</v>
      </c>
      <c r="BL51" s="10">
        <f>IF(BL47&lt;$B$22,0,MIN($B$23,$B16-SUM($G51:BK51)))</f>
        <v>0</v>
      </c>
      <c r="BM51" s="10">
        <f>IF(BM47&lt;$B$22,0,MIN($B$23,$B16-SUM($G51:BL51)))</f>
        <v>0</v>
      </c>
      <c r="BN51" s="10">
        <f>IF(BN47&lt;$B$22,0,MIN($B$23,$B16-SUM($G51:BM51)))</f>
        <v>0</v>
      </c>
    </row>
    <row r="52" spans="3:66">
      <c r="G52" s="10"/>
      <c r="I52" s="10"/>
      <c r="J52" s="10"/>
      <c r="K52" s="10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</row>
    <row r="53" spans="3:66" ht="15.75">
      <c r="E53" s="12" t="s">
        <v>16</v>
      </c>
      <c r="F53" s="8"/>
    </row>
    <row r="54" spans="3:66">
      <c r="C54" s="37">
        <v>624000000</v>
      </c>
      <c r="E54" s="11" t="s">
        <v>17</v>
      </c>
      <c r="F54" s="37">
        <f>SUM(G54:BN54)</f>
        <v>639308800</v>
      </c>
      <c r="G54" s="38">
        <f t="shared" ref="G54:AL54" si="12">(G50*$B$18*$B$17*$B$26)+(G51*$B$17*$B$18*$B$27)</f>
        <v>0</v>
      </c>
      <c r="H54" s="38">
        <f t="shared" si="12"/>
        <v>0</v>
      </c>
      <c r="I54" s="38">
        <f t="shared" si="12"/>
        <v>0</v>
      </c>
      <c r="J54" s="38">
        <f t="shared" si="12"/>
        <v>0</v>
      </c>
      <c r="K54" s="38">
        <f t="shared" si="12"/>
        <v>0</v>
      </c>
      <c r="L54" s="38">
        <f t="shared" si="12"/>
        <v>0</v>
      </c>
      <c r="M54" s="38">
        <f t="shared" si="12"/>
        <v>0</v>
      </c>
      <c r="N54" s="38">
        <f t="shared" si="12"/>
        <v>0</v>
      </c>
      <c r="O54" s="38">
        <f t="shared" si="12"/>
        <v>0</v>
      </c>
      <c r="P54" s="38">
        <f t="shared" si="12"/>
        <v>0</v>
      </c>
      <c r="Q54" s="38">
        <f t="shared" si="12"/>
        <v>0</v>
      </c>
      <c r="R54" s="38">
        <f t="shared" si="12"/>
        <v>7671705.6000000006</v>
      </c>
      <c r="S54" s="38">
        <f t="shared" si="12"/>
        <v>7671705.6000000006</v>
      </c>
      <c r="T54" s="38">
        <f t="shared" si="12"/>
        <v>7671705.6000000006</v>
      </c>
      <c r="U54" s="38">
        <f t="shared" si="12"/>
        <v>7671705.6000000006</v>
      </c>
      <c r="V54" s="38">
        <f t="shared" si="12"/>
        <v>7671705.6000000006</v>
      </c>
      <c r="W54" s="38">
        <f t="shared" si="12"/>
        <v>7671705.6000000006</v>
      </c>
      <c r="X54" s="38">
        <f t="shared" si="12"/>
        <v>7671705.6000000006</v>
      </c>
      <c r="Y54" s="38">
        <f t="shared" si="12"/>
        <v>7671705.6000000006</v>
      </c>
      <c r="Z54" s="38">
        <f t="shared" si="12"/>
        <v>7671705.6000000006</v>
      </c>
      <c r="AA54" s="38">
        <f t="shared" si="12"/>
        <v>7671705.6000000006</v>
      </c>
      <c r="AB54" s="38">
        <f t="shared" si="12"/>
        <v>7671705.6000000006</v>
      </c>
      <c r="AC54" s="38">
        <f t="shared" si="12"/>
        <v>7671705.6000000006</v>
      </c>
      <c r="AD54" s="38">
        <f t="shared" si="12"/>
        <v>7671705.6000000006</v>
      </c>
      <c r="AE54" s="38">
        <f t="shared" si="12"/>
        <v>7671705.6000000006</v>
      </c>
      <c r="AF54" s="38">
        <f t="shared" si="12"/>
        <v>7671705.6000000006</v>
      </c>
      <c r="AG54" s="38">
        <f t="shared" si="12"/>
        <v>84388761.599999994</v>
      </c>
      <c r="AH54" s="38">
        <f t="shared" si="12"/>
        <v>81831526.400000006</v>
      </c>
      <c r="AI54" s="38">
        <f t="shared" si="12"/>
        <v>76717056</v>
      </c>
      <c r="AJ54" s="38">
        <f t="shared" si="12"/>
        <v>76717056</v>
      </c>
      <c r="AK54" s="38">
        <f t="shared" si="12"/>
        <v>76717056</v>
      </c>
      <c r="AL54" s="38">
        <f t="shared" si="12"/>
        <v>76717056</v>
      </c>
      <c r="AM54" s="38">
        <f t="shared" ref="AM54:BN54" si="13">(AM50*$B$18*$B$17*$B$26)+(AM51*$B$17*$B$18*$B$27)</f>
        <v>51144704</v>
      </c>
      <c r="AN54" s="38">
        <f t="shared" si="13"/>
        <v>0</v>
      </c>
      <c r="AO54" s="38">
        <f t="shared" si="13"/>
        <v>0</v>
      </c>
      <c r="AP54" s="38">
        <f t="shared" si="13"/>
        <v>0</v>
      </c>
      <c r="AQ54" s="38">
        <f t="shared" si="13"/>
        <v>0</v>
      </c>
      <c r="AR54" s="38">
        <f t="shared" si="13"/>
        <v>0</v>
      </c>
      <c r="AS54" s="38">
        <f t="shared" si="13"/>
        <v>0</v>
      </c>
      <c r="AT54" s="38">
        <f t="shared" si="13"/>
        <v>0</v>
      </c>
      <c r="AU54" s="38">
        <f t="shared" si="13"/>
        <v>0</v>
      </c>
      <c r="AV54" s="38">
        <f t="shared" si="13"/>
        <v>0</v>
      </c>
      <c r="AW54" s="38">
        <f t="shared" si="13"/>
        <v>0</v>
      </c>
      <c r="AX54" s="38">
        <f t="shared" si="13"/>
        <v>0</v>
      </c>
      <c r="AY54" s="38">
        <f t="shared" si="13"/>
        <v>0</v>
      </c>
      <c r="AZ54" s="38">
        <f t="shared" si="13"/>
        <v>0</v>
      </c>
      <c r="BA54" s="38">
        <f t="shared" si="13"/>
        <v>0</v>
      </c>
      <c r="BB54" s="38">
        <f t="shared" si="13"/>
        <v>0</v>
      </c>
      <c r="BC54" s="38">
        <f t="shared" si="13"/>
        <v>0</v>
      </c>
      <c r="BD54" s="38">
        <f t="shared" si="13"/>
        <v>0</v>
      </c>
      <c r="BE54" s="38">
        <f t="shared" si="13"/>
        <v>0</v>
      </c>
      <c r="BF54" s="38">
        <f t="shared" si="13"/>
        <v>0</v>
      </c>
      <c r="BG54" s="38">
        <f t="shared" si="13"/>
        <v>0</v>
      </c>
      <c r="BH54" s="38">
        <f t="shared" si="13"/>
        <v>0</v>
      </c>
      <c r="BI54" s="38">
        <f t="shared" si="13"/>
        <v>0</v>
      </c>
      <c r="BJ54" s="38">
        <f t="shared" si="13"/>
        <v>0</v>
      </c>
      <c r="BK54" s="38">
        <f t="shared" si="13"/>
        <v>0</v>
      </c>
      <c r="BL54" s="38">
        <f t="shared" si="13"/>
        <v>0</v>
      </c>
      <c r="BM54" s="38">
        <f t="shared" si="13"/>
        <v>0</v>
      </c>
      <c r="BN54" s="38">
        <f t="shared" si="13"/>
        <v>0</v>
      </c>
    </row>
    <row r="55" spans="3:66">
      <c r="C55" s="37">
        <v>-31200000</v>
      </c>
      <c r="E55" s="11" t="s">
        <v>18</v>
      </c>
      <c r="F55" s="37">
        <f>SUM(G55:BN55)</f>
        <v>-31965440.000000004</v>
      </c>
      <c r="G55" s="38">
        <f t="shared" ref="G55:P56" si="14">G54*-$B$19</f>
        <v>0</v>
      </c>
      <c r="H55" s="38">
        <f t="shared" si="14"/>
        <v>0</v>
      </c>
      <c r="I55" s="38">
        <f t="shared" si="14"/>
        <v>0</v>
      </c>
      <c r="J55" s="38">
        <f t="shared" si="14"/>
        <v>0</v>
      </c>
      <c r="K55" s="38">
        <f t="shared" si="14"/>
        <v>0</v>
      </c>
      <c r="L55" s="38">
        <f t="shared" si="14"/>
        <v>0</v>
      </c>
      <c r="M55" s="38">
        <f t="shared" si="14"/>
        <v>0</v>
      </c>
      <c r="N55" s="38">
        <f t="shared" si="14"/>
        <v>0</v>
      </c>
      <c r="O55" s="38">
        <f t="shared" si="14"/>
        <v>0</v>
      </c>
      <c r="P55" s="38">
        <f t="shared" si="14"/>
        <v>0</v>
      </c>
      <c r="Q55" s="38">
        <f t="shared" ref="Q55:Z56" si="15">Q54*-$B$19</f>
        <v>0</v>
      </c>
      <c r="R55" s="38">
        <f t="shared" si="15"/>
        <v>-383585.28000000003</v>
      </c>
      <c r="S55" s="38">
        <f t="shared" si="15"/>
        <v>-383585.28000000003</v>
      </c>
      <c r="T55" s="38">
        <f t="shared" si="15"/>
        <v>-383585.28000000003</v>
      </c>
      <c r="U55" s="38">
        <f t="shared" si="15"/>
        <v>-383585.28000000003</v>
      </c>
      <c r="V55" s="38">
        <f t="shared" si="15"/>
        <v>-383585.28000000003</v>
      </c>
      <c r="W55" s="38">
        <f t="shared" si="15"/>
        <v>-383585.28000000003</v>
      </c>
      <c r="X55" s="38">
        <f t="shared" si="15"/>
        <v>-383585.28000000003</v>
      </c>
      <c r="Y55" s="38">
        <f t="shared" si="15"/>
        <v>-383585.28000000003</v>
      </c>
      <c r="Z55" s="38">
        <f t="shared" si="15"/>
        <v>-383585.28000000003</v>
      </c>
      <c r="AA55" s="38">
        <f t="shared" ref="AA55:AJ56" si="16">AA54*-$B$19</f>
        <v>-383585.28000000003</v>
      </c>
      <c r="AB55" s="38">
        <f t="shared" si="16"/>
        <v>-383585.28000000003</v>
      </c>
      <c r="AC55" s="38">
        <f t="shared" si="16"/>
        <v>-383585.28000000003</v>
      </c>
      <c r="AD55" s="38">
        <f t="shared" si="16"/>
        <v>-383585.28000000003</v>
      </c>
      <c r="AE55" s="38">
        <f t="shared" si="16"/>
        <v>-383585.28000000003</v>
      </c>
      <c r="AF55" s="38">
        <f t="shared" si="16"/>
        <v>-383585.28000000003</v>
      </c>
      <c r="AG55" s="38">
        <f t="shared" si="16"/>
        <v>-4219438.08</v>
      </c>
      <c r="AH55" s="38">
        <f t="shared" si="16"/>
        <v>-4091576.3200000003</v>
      </c>
      <c r="AI55" s="38">
        <f t="shared" si="16"/>
        <v>-3835852.8000000003</v>
      </c>
      <c r="AJ55" s="38">
        <f t="shared" si="16"/>
        <v>-3835852.8000000003</v>
      </c>
      <c r="AK55" s="38">
        <f t="shared" ref="AK55:AT56" si="17">AK54*-$B$19</f>
        <v>-3835852.8000000003</v>
      </c>
      <c r="AL55" s="38">
        <f t="shared" si="17"/>
        <v>-3835852.8000000003</v>
      </c>
      <c r="AM55" s="38">
        <f t="shared" si="17"/>
        <v>-2557235.2000000002</v>
      </c>
      <c r="AN55" s="38">
        <f t="shared" si="17"/>
        <v>0</v>
      </c>
      <c r="AO55" s="38">
        <f t="shared" si="17"/>
        <v>0</v>
      </c>
      <c r="AP55" s="38">
        <f t="shared" si="17"/>
        <v>0</v>
      </c>
      <c r="AQ55" s="38">
        <f t="shared" si="17"/>
        <v>0</v>
      </c>
      <c r="AR55" s="38">
        <f t="shared" si="17"/>
        <v>0</v>
      </c>
      <c r="AS55" s="38">
        <f t="shared" si="17"/>
        <v>0</v>
      </c>
      <c r="AT55" s="38">
        <f t="shared" si="17"/>
        <v>0</v>
      </c>
      <c r="AU55" s="38">
        <f t="shared" ref="AU55:BD56" si="18">AU54*-$B$19</f>
        <v>0</v>
      </c>
      <c r="AV55" s="38">
        <f t="shared" si="18"/>
        <v>0</v>
      </c>
      <c r="AW55" s="38">
        <f t="shared" si="18"/>
        <v>0</v>
      </c>
      <c r="AX55" s="38">
        <f t="shared" si="18"/>
        <v>0</v>
      </c>
      <c r="AY55" s="38">
        <f t="shared" si="18"/>
        <v>0</v>
      </c>
      <c r="AZ55" s="38">
        <f t="shared" si="18"/>
        <v>0</v>
      </c>
      <c r="BA55" s="38">
        <f t="shared" si="18"/>
        <v>0</v>
      </c>
      <c r="BB55" s="38">
        <f t="shared" si="18"/>
        <v>0</v>
      </c>
      <c r="BC55" s="38">
        <f t="shared" si="18"/>
        <v>0</v>
      </c>
      <c r="BD55" s="38">
        <f t="shared" si="18"/>
        <v>0</v>
      </c>
      <c r="BE55" s="38">
        <f t="shared" ref="BE55:BN56" si="19">BE54*-$B$19</f>
        <v>0</v>
      </c>
      <c r="BF55" s="38">
        <f t="shared" si="19"/>
        <v>0</v>
      </c>
      <c r="BG55" s="38">
        <f t="shared" si="19"/>
        <v>0</v>
      </c>
      <c r="BH55" s="38">
        <f t="shared" si="19"/>
        <v>0</v>
      </c>
      <c r="BI55" s="38">
        <f t="shared" si="19"/>
        <v>0</v>
      </c>
      <c r="BJ55" s="38">
        <f t="shared" si="19"/>
        <v>0</v>
      </c>
      <c r="BK55" s="38">
        <f t="shared" si="19"/>
        <v>0</v>
      </c>
      <c r="BL55" s="38">
        <f t="shared" si="19"/>
        <v>0</v>
      </c>
      <c r="BM55" s="38">
        <f t="shared" si="19"/>
        <v>0</v>
      </c>
      <c r="BN55" s="38">
        <f t="shared" si="19"/>
        <v>0</v>
      </c>
    </row>
    <row r="56" spans="3:66">
      <c r="C56" s="37">
        <v>1560000</v>
      </c>
      <c r="E56" s="11" t="s">
        <v>19</v>
      </c>
      <c r="F56" s="37">
        <f>SUM(G56:BN56)</f>
        <v>1598272.0000000002</v>
      </c>
      <c r="G56" s="38">
        <f t="shared" si="14"/>
        <v>0</v>
      </c>
      <c r="H56" s="38">
        <f t="shared" si="14"/>
        <v>0</v>
      </c>
      <c r="I56" s="38">
        <f t="shared" si="14"/>
        <v>0</v>
      </c>
      <c r="J56" s="38">
        <f t="shared" si="14"/>
        <v>0</v>
      </c>
      <c r="K56" s="38">
        <f t="shared" si="14"/>
        <v>0</v>
      </c>
      <c r="L56" s="38">
        <f t="shared" si="14"/>
        <v>0</v>
      </c>
      <c r="M56" s="38">
        <f t="shared" si="14"/>
        <v>0</v>
      </c>
      <c r="N56" s="38">
        <f t="shared" si="14"/>
        <v>0</v>
      </c>
      <c r="O56" s="38">
        <f t="shared" si="14"/>
        <v>0</v>
      </c>
      <c r="P56" s="38">
        <f t="shared" si="14"/>
        <v>0</v>
      </c>
      <c r="Q56" s="38">
        <f t="shared" si="15"/>
        <v>0</v>
      </c>
      <c r="R56" s="38">
        <f t="shared" si="15"/>
        <v>19179.264000000003</v>
      </c>
      <c r="S56" s="38">
        <f t="shared" si="15"/>
        <v>19179.264000000003</v>
      </c>
      <c r="T56" s="38">
        <f t="shared" si="15"/>
        <v>19179.264000000003</v>
      </c>
      <c r="U56" s="38">
        <f t="shared" si="15"/>
        <v>19179.264000000003</v>
      </c>
      <c r="V56" s="38">
        <f t="shared" si="15"/>
        <v>19179.264000000003</v>
      </c>
      <c r="W56" s="38">
        <f t="shared" si="15"/>
        <v>19179.264000000003</v>
      </c>
      <c r="X56" s="38">
        <f t="shared" si="15"/>
        <v>19179.264000000003</v>
      </c>
      <c r="Y56" s="38">
        <f t="shared" si="15"/>
        <v>19179.264000000003</v>
      </c>
      <c r="Z56" s="38">
        <f t="shared" si="15"/>
        <v>19179.264000000003</v>
      </c>
      <c r="AA56" s="38">
        <f t="shared" si="16"/>
        <v>19179.264000000003</v>
      </c>
      <c r="AB56" s="38">
        <f t="shared" si="16"/>
        <v>19179.264000000003</v>
      </c>
      <c r="AC56" s="38">
        <f t="shared" si="16"/>
        <v>19179.264000000003</v>
      </c>
      <c r="AD56" s="38">
        <f t="shared" si="16"/>
        <v>19179.264000000003</v>
      </c>
      <c r="AE56" s="38">
        <f t="shared" si="16"/>
        <v>19179.264000000003</v>
      </c>
      <c r="AF56" s="38">
        <f t="shared" si="16"/>
        <v>19179.264000000003</v>
      </c>
      <c r="AG56" s="38">
        <f t="shared" si="16"/>
        <v>210971.90400000001</v>
      </c>
      <c r="AH56" s="38">
        <f t="shared" si="16"/>
        <v>204578.81600000002</v>
      </c>
      <c r="AI56" s="38">
        <f t="shared" si="16"/>
        <v>191792.64000000001</v>
      </c>
      <c r="AJ56" s="38">
        <f t="shared" si="16"/>
        <v>191792.64000000001</v>
      </c>
      <c r="AK56" s="38">
        <f t="shared" si="17"/>
        <v>191792.64000000001</v>
      </c>
      <c r="AL56" s="38">
        <f t="shared" si="17"/>
        <v>191792.64000000001</v>
      </c>
      <c r="AM56" s="38">
        <f t="shared" si="17"/>
        <v>127861.76000000001</v>
      </c>
      <c r="AN56" s="38">
        <f t="shared" si="17"/>
        <v>0</v>
      </c>
      <c r="AO56" s="38">
        <f t="shared" si="17"/>
        <v>0</v>
      </c>
      <c r="AP56" s="38">
        <f t="shared" si="17"/>
        <v>0</v>
      </c>
      <c r="AQ56" s="38">
        <f t="shared" si="17"/>
        <v>0</v>
      </c>
      <c r="AR56" s="38">
        <f t="shared" si="17"/>
        <v>0</v>
      </c>
      <c r="AS56" s="38">
        <f t="shared" si="17"/>
        <v>0</v>
      </c>
      <c r="AT56" s="38">
        <f t="shared" si="17"/>
        <v>0</v>
      </c>
      <c r="AU56" s="38">
        <f t="shared" si="18"/>
        <v>0</v>
      </c>
      <c r="AV56" s="38">
        <f t="shared" si="18"/>
        <v>0</v>
      </c>
      <c r="AW56" s="38">
        <f t="shared" si="18"/>
        <v>0</v>
      </c>
      <c r="AX56" s="38">
        <f t="shared" si="18"/>
        <v>0</v>
      </c>
      <c r="AY56" s="38">
        <f t="shared" si="18"/>
        <v>0</v>
      </c>
      <c r="AZ56" s="38">
        <f t="shared" si="18"/>
        <v>0</v>
      </c>
      <c r="BA56" s="38">
        <f t="shared" si="18"/>
        <v>0</v>
      </c>
      <c r="BB56" s="38">
        <f t="shared" si="18"/>
        <v>0</v>
      </c>
      <c r="BC56" s="38">
        <f t="shared" si="18"/>
        <v>0</v>
      </c>
      <c r="BD56" s="38">
        <f t="shared" si="18"/>
        <v>0</v>
      </c>
      <c r="BE56" s="38">
        <f t="shared" si="19"/>
        <v>0</v>
      </c>
      <c r="BF56" s="38">
        <f t="shared" si="19"/>
        <v>0</v>
      </c>
      <c r="BG56" s="38">
        <f t="shared" si="19"/>
        <v>0</v>
      </c>
      <c r="BH56" s="38">
        <f t="shared" si="19"/>
        <v>0</v>
      </c>
      <c r="BI56" s="38">
        <f t="shared" si="19"/>
        <v>0</v>
      </c>
      <c r="BJ56" s="38">
        <f t="shared" si="19"/>
        <v>0</v>
      </c>
      <c r="BK56" s="38">
        <f t="shared" si="19"/>
        <v>0</v>
      </c>
      <c r="BL56" s="38">
        <f t="shared" si="19"/>
        <v>0</v>
      </c>
      <c r="BM56" s="38">
        <f t="shared" si="19"/>
        <v>0</v>
      </c>
      <c r="BN56" s="38">
        <f t="shared" si="19"/>
        <v>0</v>
      </c>
    </row>
    <row r="57" spans="3:66">
      <c r="C57" s="39">
        <v>594360000</v>
      </c>
      <c r="E57" s="13" t="s">
        <v>20</v>
      </c>
      <c r="F57" s="39">
        <f>SUM(F54:F56)</f>
        <v>608941632</v>
      </c>
      <c r="G57" s="39">
        <f>SUM(G54:G56)</f>
        <v>0</v>
      </c>
      <c r="H57" s="39">
        <f t="shared" ref="H57:BN57" si="20">SUM(H54:H56)</f>
        <v>0</v>
      </c>
      <c r="I57" s="39">
        <f t="shared" si="20"/>
        <v>0</v>
      </c>
      <c r="J57" s="39">
        <f t="shared" si="20"/>
        <v>0</v>
      </c>
      <c r="K57" s="39">
        <f t="shared" si="20"/>
        <v>0</v>
      </c>
      <c r="L57" s="39">
        <f t="shared" si="20"/>
        <v>0</v>
      </c>
      <c r="M57" s="39">
        <f t="shared" si="20"/>
        <v>0</v>
      </c>
      <c r="N57" s="39">
        <f t="shared" si="20"/>
        <v>0</v>
      </c>
      <c r="O57" s="39">
        <f t="shared" si="20"/>
        <v>0</v>
      </c>
      <c r="P57" s="39">
        <f t="shared" si="20"/>
        <v>0</v>
      </c>
      <c r="Q57" s="39">
        <f t="shared" si="20"/>
        <v>0</v>
      </c>
      <c r="R57" s="39">
        <f t="shared" si="20"/>
        <v>7307299.5840000007</v>
      </c>
      <c r="S57" s="39">
        <f t="shared" si="20"/>
        <v>7307299.5840000007</v>
      </c>
      <c r="T57" s="39">
        <f t="shared" si="20"/>
        <v>7307299.5840000007</v>
      </c>
      <c r="U57" s="39">
        <f t="shared" si="20"/>
        <v>7307299.5840000007</v>
      </c>
      <c r="V57" s="39">
        <f t="shared" si="20"/>
        <v>7307299.5840000007</v>
      </c>
      <c r="W57" s="39">
        <f t="shared" si="20"/>
        <v>7307299.5840000007</v>
      </c>
      <c r="X57" s="39">
        <f t="shared" si="20"/>
        <v>7307299.5840000007</v>
      </c>
      <c r="Y57" s="39">
        <f t="shared" si="20"/>
        <v>7307299.5840000007</v>
      </c>
      <c r="Z57" s="39">
        <f t="shared" si="20"/>
        <v>7307299.5840000007</v>
      </c>
      <c r="AA57" s="39">
        <f t="shared" si="20"/>
        <v>7307299.5840000007</v>
      </c>
      <c r="AB57" s="39">
        <f t="shared" si="20"/>
        <v>7307299.5840000007</v>
      </c>
      <c r="AC57" s="39">
        <f t="shared" si="20"/>
        <v>7307299.5840000007</v>
      </c>
      <c r="AD57" s="39">
        <f t="shared" si="20"/>
        <v>7307299.5840000007</v>
      </c>
      <c r="AE57" s="39">
        <f t="shared" si="20"/>
        <v>7307299.5840000007</v>
      </c>
      <c r="AF57" s="39">
        <f t="shared" si="20"/>
        <v>7307299.5840000007</v>
      </c>
      <c r="AG57" s="39">
        <f t="shared" si="20"/>
        <v>80380295.423999995</v>
      </c>
      <c r="AH57" s="39">
        <f t="shared" si="20"/>
        <v>77944528.896000013</v>
      </c>
      <c r="AI57" s="39">
        <f t="shared" si="20"/>
        <v>73072995.840000004</v>
      </c>
      <c r="AJ57" s="39">
        <f t="shared" si="20"/>
        <v>73072995.840000004</v>
      </c>
      <c r="AK57" s="39">
        <f t="shared" si="20"/>
        <v>73072995.840000004</v>
      </c>
      <c r="AL57" s="39">
        <f t="shared" si="20"/>
        <v>73072995.840000004</v>
      </c>
      <c r="AM57" s="39">
        <f t="shared" si="20"/>
        <v>48715330.559999995</v>
      </c>
      <c r="AN57" s="39">
        <f t="shared" si="20"/>
        <v>0</v>
      </c>
      <c r="AO57" s="39">
        <f t="shared" si="20"/>
        <v>0</v>
      </c>
      <c r="AP57" s="39">
        <f t="shared" si="20"/>
        <v>0</v>
      </c>
      <c r="AQ57" s="39">
        <f t="shared" si="20"/>
        <v>0</v>
      </c>
      <c r="AR57" s="39">
        <f t="shared" si="20"/>
        <v>0</v>
      </c>
      <c r="AS57" s="39">
        <f t="shared" si="20"/>
        <v>0</v>
      </c>
      <c r="AT57" s="39">
        <f t="shared" si="20"/>
        <v>0</v>
      </c>
      <c r="AU57" s="39">
        <f t="shared" si="20"/>
        <v>0</v>
      </c>
      <c r="AV57" s="39">
        <f t="shared" si="20"/>
        <v>0</v>
      </c>
      <c r="AW57" s="39">
        <f t="shared" si="20"/>
        <v>0</v>
      </c>
      <c r="AX57" s="39">
        <f t="shared" si="20"/>
        <v>0</v>
      </c>
      <c r="AY57" s="39">
        <f t="shared" si="20"/>
        <v>0</v>
      </c>
      <c r="AZ57" s="39">
        <f t="shared" si="20"/>
        <v>0</v>
      </c>
      <c r="BA57" s="39">
        <f t="shared" si="20"/>
        <v>0</v>
      </c>
      <c r="BB57" s="39">
        <f t="shared" si="20"/>
        <v>0</v>
      </c>
      <c r="BC57" s="39">
        <f t="shared" si="20"/>
        <v>0</v>
      </c>
      <c r="BD57" s="39">
        <f t="shared" si="20"/>
        <v>0</v>
      </c>
      <c r="BE57" s="39">
        <f t="shared" si="20"/>
        <v>0</v>
      </c>
      <c r="BF57" s="39">
        <f t="shared" si="20"/>
        <v>0</v>
      </c>
      <c r="BG57" s="39">
        <f t="shared" si="20"/>
        <v>0</v>
      </c>
      <c r="BH57" s="39">
        <f t="shared" si="20"/>
        <v>0</v>
      </c>
      <c r="BI57" s="39">
        <f t="shared" si="20"/>
        <v>0</v>
      </c>
      <c r="BJ57" s="39">
        <f t="shared" si="20"/>
        <v>0</v>
      </c>
      <c r="BK57" s="39">
        <f t="shared" si="20"/>
        <v>0</v>
      </c>
      <c r="BL57" s="39">
        <f t="shared" si="20"/>
        <v>0</v>
      </c>
      <c r="BM57" s="39">
        <f t="shared" si="20"/>
        <v>0</v>
      </c>
      <c r="BN57" s="39">
        <f t="shared" si="20"/>
        <v>0</v>
      </c>
    </row>
    <row r="59" spans="3:66" ht="15.75">
      <c r="E59" s="12" t="s">
        <v>21</v>
      </c>
    </row>
    <row r="60" spans="3:66">
      <c r="C60" s="37">
        <v>5000000</v>
      </c>
      <c r="E60" s="11" t="s">
        <v>1</v>
      </c>
      <c r="F60" s="37">
        <f t="shared" ref="F60:F67" si="21">SUM(G60:BN60)</f>
        <v>5000000</v>
      </c>
      <c r="G60" s="37">
        <f>B6*$B$7</f>
        <v>1000000</v>
      </c>
      <c r="H60" s="37">
        <f>MIN(($B$6)-SUM($G60:G60),10%*H54)</f>
        <v>0</v>
      </c>
      <c r="I60" s="37">
        <f>MIN(($B$6)-SUM($G60:H60),10%*I54)</f>
        <v>0</v>
      </c>
      <c r="J60" s="37">
        <f>MIN(($B$6)-SUM($G60:I60),10%*J54)</f>
        <v>0</v>
      </c>
      <c r="K60" s="37">
        <f>MIN(($B$6)-SUM($G60:J60),10%*K54)</f>
        <v>0</v>
      </c>
      <c r="L60" s="37">
        <f>MIN(($B$6)-SUM($G60:K60),10%*L54)</f>
        <v>0</v>
      </c>
      <c r="M60" s="37">
        <f>MIN(($B$6)-SUM($G60:L60),10%*M54)</f>
        <v>0</v>
      </c>
      <c r="N60" s="37">
        <f>MIN(($B$6)-SUM($G60:M60),10%*N54)</f>
        <v>0</v>
      </c>
      <c r="O60" s="37">
        <f>MIN(($B$6)-SUM($G60:N60),10%*O54)</f>
        <v>0</v>
      </c>
      <c r="P60" s="37">
        <f>MIN(($B$6)-SUM($G60:O60),10%*P54)</f>
        <v>0</v>
      </c>
      <c r="Q60" s="37">
        <f>MIN(($B$6)-SUM($G60:P60),10%*Q54)</f>
        <v>0</v>
      </c>
      <c r="R60" s="37">
        <f>MIN(($B$6)-SUM($G60:Q60),10%*R54)</f>
        <v>767170.56000000006</v>
      </c>
      <c r="S60" s="37">
        <f>MIN(($B$6)-SUM($G60:R60),10%*S54)</f>
        <v>767170.56000000006</v>
      </c>
      <c r="T60" s="37">
        <f>MIN(($B$6)-SUM($G60:S60),10%*T54)</f>
        <v>767170.56000000006</v>
      </c>
      <c r="U60" s="37">
        <f>MIN(($B$6)-SUM($G60:T60),10%*U54)</f>
        <v>767170.56000000006</v>
      </c>
      <c r="V60" s="37">
        <f>MIN(($B$6)-SUM($G60:U60),10%*V54)</f>
        <v>767170.56000000006</v>
      </c>
      <c r="W60" s="37">
        <f>MIN(($B$6)-SUM($G60:V60),10%*W54)</f>
        <v>164147.19999999925</v>
      </c>
      <c r="X60" s="37">
        <f>MIN(($B$6)-SUM($G60:W60),10%*X54)</f>
        <v>0</v>
      </c>
      <c r="Y60" s="37">
        <f>MIN(($B$6)-SUM($G60:X60),10%*Y54)</f>
        <v>0</v>
      </c>
      <c r="Z60" s="37">
        <f>MIN(($B$6)-SUM($G60:Y60),10%*Z54)</f>
        <v>0</v>
      </c>
      <c r="AA60" s="37">
        <f>MIN(($B$6)-SUM($G60:Z60),10%*AA54)</f>
        <v>0</v>
      </c>
      <c r="AB60" s="37">
        <f>MIN(($B$6)-SUM($G60:AA60),10%*AB54)</f>
        <v>0</v>
      </c>
      <c r="AC60" s="37">
        <f>MIN(($B$6)-SUM($G60:AB60),10%*AC54)</f>
        <v>0</v>
      </c>
      <c r="AD60" s="37">
        <f>MIN(($B$6)-SUM($G60:AC60),10%*AD54)</f>
        <v>0</v>
      </c>
      <c r="AE60" s="37">
        <f>MIN(($B$6)-SUM($G60:AD60),10%*AE54)</f>
        <v>0</v>
      </c>
      <c r="AF60" s="37">
        <f>MIN(($B$6)-SUM($G60:AE60),10%*AF54)</f>
        <v>0</v>
      </c>
      <c r="AG60" s="37">
        <f>MIN(($B$6)-SUM($G60:AF60),10%*AG54)</f>
        <v>0</v>
      </c>
      <c r="AH60" s="37">
        <f>MIN(($B$6)-SUM($G60:AG60),10%*AH54)</f>
        <v>0</v>
      </c>
      <c r="AI60" s="37">
        <f>MIN(($B$6)-SUM($G60:AH60),10%*AI54)</f>
        <v>0</v>
      </c>
      <c r="AJ60" s="37">
        <f>MIN(($B$6)-SUM($G60:AI60),10%*AJ54)</f>
        <v>0</v>
      </c>
      <c r="AK60" s="37">
        <f>MIN(($B$6)-SUM($G60:AJ60),10%*AK54)</f>
        <v>0</v>
      </c>
      <c r="AL60" s="37">
        <f>MIN(($B$6)-SUM($G60:AK60),10%*AL54)</f>
        <v>0</v>
      </c>
      <c r="AM60" s="37">
        <f>MIN(($B$6)-SUM($G60:AL60),10%*AM54)</f>
        <v>0</v>
      </c>
      <c r="AN60" s="37">
        <f>MIN(($B$6)-SUM($G60:AM60),10%*AN54)</f>
        <v>0</v>
      </c>
      <c r="AO60" s="37">
        <f>MIN(($B$6)-SUM($G60:AN60),10%*AO54)</f>
        <v>0</v>
      </c>
      <c r="AP60" s="37">
        <f>MIN(($B$6)-SUM($G60:AO60),10%*AP54)</f>
        <v>0</v>
      </c>
      <c r="AQ60" s="37">
        <f>MIN(($B$6)-SUM($G60:AP60),10%*AQ54)</f>
        <v>0</v>
      </c>
      <c r="AR60" s="37">
        <f>MIN(($B$6)-SUM($G60:AQ60),10%*AR54)</f>
        <v>0</v>
      </c>
      <c r="AS60" s="37">
        <f>MIN(($B$6)-SUM($G60:AR60),10%*AS54)</f>
        <v>0</v>
      </c>
      <c r="AT60" s="37">
        <f>MIN(($B$6)-SUM($G60:AS60),10%*AT54)</f>
        <v>0</v>
      </c>
      <c r="AU60" s="37">
        <f>MIN(($B$6)-SUM($G60:AT60),10%*AU54)</f>
        <v>0</v>
      </c>
      <c r="AV60" s="37">
        <f>MIN(($B$6)-SUM($G60:AU60),10%*AV54)</f>
        <v>0</v>
      </c>
      <c r="AW60" s="37">
        <f>MIN(($B$6)-SUM($G60:AV60),10%*AW54)</f>
        <v>0</v>
      </c>
      <c r="AX60" s="37">
        <f>MIN(($B$6)-SUM($G60:AW60),10%*AX54)</f>
        <v>0</v>
      </c>
      <c r="AY60" s="37">
        <f>MIN(($B$6)-SUM($G60:AX60),10%*AY54)</f>
        <v>0</v>
      </c>
      <c r="AZ60" s="37">
        <f>MIN(($B$6)-SUM($G60:AY60),10%*AZ54)</f>
        <v>0</v>
      </c>
      <c r="BA60" s="37">
        <f>MIN(($B$6)-SUM($G60:AZ60),10%*BA54)</f>
        <v>0</v>
      </c>
      <c r="BB60" s="37">
        <f>MIN(($B$6)-SUM($G60:BA60),10%*BB54)</f>
        <v>0</v>
      </c>
      <c r="BC60" s="37">
        <f>MIN(($B$6)-SUM($G60:BB60),10%*BC54)</f>
        <v>0</v>
      </c>
      <c r="BD60" s="37">
        <f>MIN(($B$6)-SUM($G60:BC60),10%*BD54)</f>
        <v>0</v>
      </c>
      <c r="BE60" s="37">
        <f>MIN(($B$6)-SUM($G60:BD60),10%*BE54)</f>
        <v>0</v>
      </c>
      <c r="BF60" s="37">
        <f>MIN(($B$6)-SUM($G60:BE60),10%*BF54)</f>
        <v>0</v>
      </c>
      <c r="BG60" s="37">
        <f>MIN(($B$6)-SUM($G60:BF60),10%*BG54)</f>
        <v>0</v>
      </c>
      <c r="BH60" s="37">
        <f>MIN(($B$6)-SUM($G60:BG60),10%*BH54)</f>
        <v>0</v>
      </c>
      <c r="BI60" s="37">
        <f>MIN(($B$6)-SUM($G60:BH60),10%*BI54)</f>
        <v>0</v>
      </c>
      <c r="BJ60" s="37">
        <f>MIN(($B$6)-SUM($G60:BI60),10%*BJ54)</f>
        <v>0</v>
      </c>
      <c r="BK60" s="37">
        <f>MIN(($B$6)-SUM($G60:BJ60),10%*BK54)</f>
        <v>0</v>
      </c>
      <c r="BL60" s="37">
        <f>MIN(($B$6)-SUM($G60:BK60),10%*BL54)</f>
        <v>0</v>
      </c>
      <c r="BM60" s="37">
        <f>MIN(($B$6)-SUM($G60:BL60),10%*BM54)</f>
        <v>0</v>
      </c>
      <c r="BN60" s="37">
        <f>MIN(($B$6)-SUM($G60:BM60),10%*BN54)</f>
        <v>0</v>
      </c>
    </row>
    <row r="61" spans="3:66">
      <c r="C61" s="37">
        <v>81120000</v>
      </c>
      <c r="E61" s="11" t="s">
        <v>8</v>
      </c>
      <c r="F61" s="37">
        <f t="shared" si="21"/>
        <v>83110144</v>
      </c>
      <c r="G61" s="37">
        <f t="shared" ref="G61:AL61" si="22">IF(G47&lt;($B$12+1),1/$B$12,0)*$F54*$B$10</f>
        <v>11872877.714285715</v>
      </c>
      <c r="H61" s="37">
        <f t="shared" si="22"/>
        <v>11872877.714285715</v>
      </c>
      <c r="I61" s="37">
        <f t="shared" si="22"/>
        <v>11872877.714285715</v>
      </c>
      <c r="J61" s="37">
        <f t="shared" si="22"/>
        <v>11872877.714285715</v>
      </c>
      <c r="K61" s="37">
        <f t="shared" si="22"/>
        <v>11872877.714285715</v>
      </c>
      <c r="L61" s="37">
        <f t="shared" si="22"/>
        <v>11872877.714285715</v>
      </c>
      <c r="M61" s="37">
        <f t="shared" si="22"/>
        <v>11872877.714285715</v>
      </c>
      <c r="N61" s="37">
        <f t="shared" si="22"/>
        <v>0</v>
      </c>
      <c r="O61" s="37">
        <f t="shared" si="22"/>
        <v>0</v>
      </c>
      <c r="P61" s="37">
        <f t="shared" si="22"/>
        <v>0</v>
      </c>
      <c r="Q61" s="37">
        <f t="shared" si="22"/>
        <v>0</v>
      </c>
      <c r="R61" s="37">
        <f t="shared" si="22"/>
        <v>0</v>
      </c>
      <c r="S61" s="37">
        <f t="shared" si="22"/>
        <v>0</v>
      </c>
      <c r="T61" s="37">
        <f t="shared" si="22"/>
        <v>0</v>
      </c>
      <c r="U61" s="37">
        <f t="shared" si="22"/>
        <v>0</v>
      </c>
      <c r="V61" s="37">
        <f t="shared" si="22"/>
        <v>0</v>
      </c>
      <c r="W61" s="37">
        <f t="shared" si="22"/>
        <v>0</v>
      </c>
      <c r="X61" s="37">
        <f t="shared" si="22"/>
        <v>0</v>
      </c>
      <c r="Y61" s="37">
        <f t="shared" si="22"/>
        <v>0</v>
      </c>
      <c r="Z61" s="37">
        <f t="shared" si="22"/>
        <v>0</v>
      </c>
      <c r="AA61" s="37">
        <f t="shared" si="22"/>
        <v>0</v>
      </c>
      <c r="AB61" s="37">
        <f t="shared" si="22"/>
        <v>0</v>
      </c>
      <c r="AC61" s="37">
        <f t="shared" si="22"/>
        <v>0</v>
      </c>
      <c r="AD61" s="37">
        <f t="shared" si="22"/>
        <v>0</v>
      </c>
      <c r="AE61" s="37">
        <f t="shared" si="22"/>
        <v>0</v>
      </c>
      <c r="AF61" s="37">
        <f t="shared" si="22"/>
        <v>0</v>
      </c>
      <c r="AG61" s="37">
        <f t="shared" si="22"/>
        <v>0</v>
      </c>
      <c r="AH61" s="37">
        <f t="shared" si="22"/>
        <v>0</v>
      </c>
      <c r="AI61" s="37">
        <f t="shared" si="22"/>
        <v>0</v>
      </c>
      <c r="AJ61" s="37">
        <f t="shared" si="22"/>
        <v>0</v>
      </c>
      <c r="AK61" s="37">
        <f t="shared" si="22"/>
        <v>0</v>
      </c>
      <c r="AL61" s="37">
        <f t="shared" si="22"/>
        <v>0</v>
      </c>
      <c r="AM61" s="37">
        <f t="shared" ref="AM61:BN61" si="23">IF(AM47&lt;($B$12+1),1/$B$12,0)*$F54*$B$10</f>
        <v>0</v>
      </c>
      <c r="AN61" s="37">
        <f t="shared" si="23"/>
        <v>0</v>
      </c>
      <c r="AO61" s="37">
        <f t="shared" si="23"/>
        <v>0</v>
      </c>
      <c r="AP61" s="37">
        <f t="shared" si="23"/>
        <v>0</v>
      </c>
      <c r="AQ61" s="37">
        <f t="shared" si="23"/>
        <v>0</v>
      </c>
      <c r="AR61" s="37">
        <f t="shared" si="23"/>
        <v>0</v>
      </c>
      <c r="AS61" s="37">
        <f t="shared" si="23"/>
        <v>0</v>
      </c>
      <c r="AT61" s="37">
        <f t="shared" si="23"/>
        <v>0</v>
      </c>
      <c r="AU61" s="37">
        <f t="shared" si="23"/>
        <v>0</v>
      </c>
      <c r="AV61" s="37">
        <f t="shared" si="23"/>
        <v>0</v>
      </c>
      <c r="AW61" s="37">
        <f t="shared" si="23"/>
        <v>0</v>
      </c>
      <c r="AX61" s="37">
        <f t="shared" si="23"/>
        <v>0</v>
      </c>
      <c r="AY61" s="37">
        <f t="shared" si="23"/>
        <v>0</v>
      </c>
      <c r="AZ61" s="37">
        <f t="shared" si="23"/>
        <v>0</v>
      </c>
      <c r="BA61" s="37">
        <f t="shared" si="23"/>
        <v>0</v>
      </c>
      <c r="BB61" s="37">
        <f t="shared" si="23"/>
        <v>0</v>
      </c>
      <c r="BC61" s="37">
        <f t="shared" si="23"/>
        <v>0</v>
      </c>
      <c r="BD61" s="37">
        <f t="shared" si="23"/>
        <v>0</v>
      </c>
      <c r="BE61" s="37">
        <f t="shared" si="23"/>
        <v>0</v>
      </c>
      <c r="BF61" s="37">
        <f t="shared" si="23"/>
        <v>0</v>
      </c>
      <c r="BG61" s="37">
        <f t="shared" si="23"/>
        <v>0</v>
      </c>
      <c r="BH61" s="37">
        <f t="shared" si="23"/>
        <v>0</v>
      </c>
      <c r="BI61" s="37">
        <f t="shared" si="23"/>
        <v>0</v>
      </c>
      <c r="BJ61" s="37">
        <f t="shared" si="23"/>
        <v>0</v>
      </c>
      <c r="BK61" s="37">
        <f t="shared" si="23"/>
        <v>0</v>
      </c>
      <c r="BL61" s="37">
        <f t="shared" si="23"/>
        <v>0</v>
      </c>
      <c r="BM61" s="37">
        <f t="shared" si="23"/>
        <v>0</v>
      </c>
      <c r="BN61" s="37">
        <f t="shared" si="23"/>
        <v>0</v>
      </c>
    </row>
    <row r="62" spans="3:66">
      <c r="C62" s="37">
        <v>312000000</v>
      </c>
      <c r="E62" s="11" t="s">
        <v>9</v>
      </c>
      <c r="F62" s="37">
        <f t="shared" si="21"/>
        <v>378352000</v>
      </c>
      <c r="G62" s="37">
        <f t="shared" ref="G62:AL62" si="24">IF(AND(G47&gt;=$B$12,G47&lt;$B$13+$B$12),1/$B$13,0)*$B$11*$B$9</f>
        <v>0</v>
      </c>
      <c r="H62" s="37">
        <f t="shared" si="24"/>
        <v>0</v>
      </c>
      <c r="I62" s="37">
        <f t="shared" si="24"/>
        <v>0</v>
      </c>
      <c r="J62" s="37">
        <f t="shared" si="24"/>
        <v>0</v>
      </c>
      <c r="K62" s="37">
        <f t="shared" si="24"/>
        <v>0</v>
      </c>
      <c r="L62" s="37">
        <f t="shared" si="24"/>
        <v>0</v>
      </c>
      <c r="M62" s="37">
        <f t="shared" si="24"/>
        <v>18917600</v>
      </c>
      <c r="N62" s="37">
        <f t="shared" si="24"/>
        <v>18917600</v>
      </c>
      <c r="O62" s="37">
        <f t="shared" si="24"/>
        <v>18917600</v>
      </c>
      <c r="P62" s="37">
        <f t="shared" si="24"/>
        <v>18917600</v>
      </c>
      <c r="Q62" s="37">
        <f t="shared" si="24"/>
        <v>18917600</v>
      </c>
      <c r="R62" s="37">
        <f t="shared" si="24"/>
        <v>18917600</v>
      </c>
      <c r="S62" s="37">
        <f t="shared" si="24"/>
        <v>18917600</v>
      </c>
      <c r="T62" s="37">
        <f t="shared" si="24"/>
        <v>18917600</v>
      </c>
      <c r="U62" s="37">
        <f t="shared" si="24"/>
        <v>18917600</v>
      </c>
      <c r="V62" s="37">
        <f t="shared" si="24"/>
        <v>18917600</v>
      </c>
      <c r="W62" s="37">
        <f t="shared" si="24"/>
        <v>18917600</v>
      </c>
      <c r="X62" s="37">
        <f t="shared" si="24"/>
        <v>18917600</v>
      </c>
      <c r="Y62" s="37">
        <f t="shared" si="24"/>
        <v>18917600</v>
      </c>
      <c r="Z62" s="37">
        <f t="shared" si="24"/>
        <v>18917600</v>
      </c>
      <c r="AA62" s="37">
        <f t="shared" si="24"/>
        <v>18917600</v>
      </c>
      <c r="AB62" s="37">
        <f t="shared" si="24"/>
        <v>18917600</v>
      </c>
      <c r="AC62" s="37">
        <f t="shared" si="24"/>
        <v>18917600</v>
      </c>
      <c r="AD62" s="37">
        <f t="shared" si="24"/>
        <v>18917600</v>
      </c>
      <c r="AE62" s="37">
        <f t="shared" si="24"/>
        <v>18917600</v>
      </c>
      <c r="AF62" s="37">
        <f t="shared" si="24"/>
        <v>18917600</v>
      </c>
      <c r="AG62" s="37">
        <f t="shared" si="24"/>
        <v>0</v>
      </c>
      <c r="AH62" s="37">
        <f t="shared" si="24"/>
        <v>0</v>
      </c>
      <c r="AI62" s="37">
        <f t="shared" si="24"/>
        <v>0</v>
      </c>
      <c r="AJ62" s="37">
        <f t="shared" si="24"/>
        <v>0</v>
      </c>
      <c r="AK62" s="37">
        <f t="shared" si="24"/>
        <v>0</v>
      </c>
      <c r="AL62" s="37">
        <f t="shared" si="24"/>
        <v>0</v>
      </c>
      <c r="AM62" s="37">
        <f t="shared" ref="AM62:BN62" si="25">IF(AND(AM47&gt;=$B$12,AM47&lt;$B$13+$B$12),1/$B$13,0)*$B$11*$B$9</f>
        <v>0</v>
      </c>
      <c r="AN62" s="37">
        <f t="shared" si="25"/>
        <v>0</v>
      </c>
      <c r="AO62" s="37">
        <f t="shared" si="25"/>
        <v>0</v>
      </c>
      <c r="AP62" s="37">
        <f t="shared" si="25"/>
        <v>0</v>
      </c>
      <c r="AQ62" s="37">
        <f t="shared" si="25"/>
        <v>0</v>
      </c>
      <c r="AR62" s="37">
        <f t="shared" si="25"/>
        <v>0</v>
      </c>
      <c r="AS62" s="37">
        <f t="shared" si="25"/>
        <v>0</v>
      </c>
      <c r="AT62" s="37">
        <f t="shared" si="25"/>
        <v>0</v>
      </c>
      <c r="AU62" s="37">
        <f t="shared" si="25"/>
        <v>0</v>
      </c>
      <c r="AV62" s="37">
        <f t="shared" si="25"/>
        <v>0</v>
      </c>
      <c r="AW62" s="37">
        <f t="shared" si="25"/>
        <v>0</v>
      </c>
      <c r="AX62" s="37">
        <f t="shared" si="25"/>
        <v>0</v>
      </c>
      <c r="AY62" s="37">
        <f t="shared" si="25"/>
        <v>0</v>
      </c>
      <c r="AZ62" s="37">
        <f t="shared" si="25"/>
        <v>0</v>
      </c>
      <c r="BA62" s="37">
        <f t="shared" si="25"/>
        <v>0</v>
      </c>
      <c r="BB62" s="37">
        <f t="shared" si="25"/>
        <v>0</v>
      </c>
      <c r="BC62" s="37">
        <f t="shared" si="25"/>
        <v>0</v>
      </c>
      <c r="BD62" s="37">
        <f t="shared" si="25"/>
        <v>0</v>
      </c>
      <c r="BE62" s="37">
        <f t="shared" si="25"/>
        <v>0</v>
      </c>
      <c r="BF62" s="37">
        <f t="shared" si="25"/>
        <v>0</v>
      </c>
      <c r="BG62" s="37">
        <f t="shared" si="25"/>
        <v>0</v>
      </c>
      <c r="BH62" s="37">
        <f t="shared" si="25"/>
        <v>0</v>
      </c>
      <c r="BI62" s="37">
        <f t="shared" si="25"/>
        <v>0</v>
      </c>
      <c r="BJ62" s="37">
        <f t="shared" si="25"/>
        <v>0</v>
      </c>
      <c r="BK62" s="37">
        <f t="shared" si="25"/>
        <v>0</v>
      </c>
      <c r="BL62" s="37">
        <f t="shared" si="25"/>
        <v>0</v>
      </c>
      <c r="BM62" s="37">
        <f t="shared" si="25"/>
        <v>0</v>
      </c>
      <c r="BN62" s="37">
        <f t="shared" si="25"/>
        <v>0</v>
      </c>
    </row>
    <row r="63" spans="3:66">
      <c r="C63" s="37">
        <v>39312000</v>
      </c>
      <c r="E63" s="11" t="s">
        <v>22</v>
      </c>
      <c r="F63" s="37">
        <f t="shared" si="21"/>
        <v>46146214.400000006</v>
      </c>
      <c r="G63" s="37">
        <f>SUM(G61:G62)*$B$14</f>
        <v>1187287.7714285715</v>
      </c>
      <c r="H63" s="37">
        <f t="shared" ref="H63:AL63" si="26">SUM(H61:H62)*$B$14</f>
        <v>1187287.7714285715</v>
      </c>
      <c r="I63" s="37">
        <f t="shared" si="26"/>
        <v>1187287.7714285715</v>
      </c>
      <c r="J63" s="37">
        <f t="shared" si="26"/>
        <v>1187287.7714285715</v>
      </c>
      <c r="K63" s="37">
        <f t="shared" si="26"/>
        <v>1187287.7714285715</v>
      </c>
      <c r="L63" s="37">
        <f t="shared" si="26"/>
        <v>1187287.7714285715</v>
      </c>
      <c r="M63" s="37">
        <f t="shared" si="26"/>
        <v>3079047.771428572</v>
      </c>
      <c r="N63" s="37">
        <f t="shared" si="26"/>
        <v>1891760</v>
      </c>
      <c r="O63" s="37">
        <f t="shared" si="26"/>
        <v>1891760</v>
      </c>
      <c r="P63" s="37">
        <f t="shared" si="26"/>
        <v>1891760</v>
      </c>
      <c r="Q63" s="37">
        <f t="shared" si="26"/>
        <v>1891760</v>
      </c>
      <c r="R63" s="37">
        <f t="shared" si="26"/>
        <v>1891760</v>
      </c>
      <c r="S63" s="37">
        <f t="shared" si="26"/>
        <v>1891760</v>
      </c>
      <c r="T63" s="37">
        <f t="shared" si="26"/>
        <v>1891760</v>
      </c>
      <c r="U63" s="37">
        <f t="shared" si="26"/>
        <v>1891760</v>
      </c>
      <c r="V63" s="37">
        <f t="shared" si="26"/>
        <v>1891760</v>
      </c>
      <c r="W63" s="37">
        <f t="shared" si="26"/>
        <v>1891760</v>
      </c>
      <c r="X63" s="37">
        <f t="shared" si="26"/>
        <v>1891760</v>
      </c>
      <c r="Y63" s="37">
        <f t="shared" si="26"/>
        <v>1891760</v>
      </c>
      <c r="Z63" s="37">
        <f t="shared" si="26"/>
        <v>1891760</v>
      </c>
      <c r="AA63" s="37">
        <f t="shared" si="26"/>
        <v>1891760</v>
      </c>
      <c r="AB63" s="37">
        <f t="shared" si="26"/>
        <v>1891760</v>
      </c>
      <c r="AC63" s="37">
        <f t="shared" si="26"/>
        <v>1891760</v>
      </c>
      <c r="AD63" s="37">
        <f t="shared" si="26"/>
        <v>1891760</v>
      </c>
      <c r="AE63" s="37">
        <f t="shared" si="26"/>
        <v>1891760</v>
      </c>
      <c r="AF63" s="37">
        <f t="shared" si="26"/>
        <v>1891760</v>
      </c>
      <c r="AG63" s="37">
        <f t="shared" si="26"/>
        <v>0</v>
      </c>
      <c r="AH63" s="37">
        <f t="shared" si="26"/>
        <v>0</v>
      </c>
      <c r="AI63" s="37">
        <f t="shared" si="26"/>
        <v>0</v>
      </c>
      <c r="AJ63" s="37">
        <f t="shared" si="26"/>
        <v>0</v>
      </c>
      <c r="AK63" s="37">
        <f t="shared" si="26"/>
        <v>0</v>
      </c>
      <c r="AL63" s="37">
        <f t="shared" si="26"/>
        <v>0</v>
      </c>
      <c r="AM63" s="37">
        <f t="shared" ref="AM63:BN63" si="27">SUM(AM61:AM62)*$B$14</f>
        <v>0</v>
      </c>
      <c r="AN63" s="37">
        <f t="shared" si="27"/>
        <v>0</v>
      </c>
      <c r="AO63" s="37">
        <f t="shared" si="27"/>
        <v>0</v>
      </c>
      <c r="AP63" s="37">
        <f t="shared" si="27"/>
        <v>0</v>
      </c>
      <c r="AQ63" s="37">
        <f t="shared" si="27"/>
        <v>0</v>
      </c>
      <c r="AR63" s="37">
        <f t="shared" si="27"/>
        <v>0</v>
      </c>
      <c r="AS63" s="37">
        <f t="shared" si="27"/>
        <v>0</v>
      </c>
      <c r="AT63" s="37">
        <f t="shared" si="27"/>
        <v>0</v>
      </c>
      <c r="AU63" s="37">
        <f t="shared" si="27"/>
        <v>0</v>
      </c>
      <c r="AV63" s="37">
        <f t="shared" si="27"/>
        <v>0</v>
      </c>
      <c r="AW63" s="37">
        <f t="shared" si="27"/>
        <v>0</v>
      </c>
      <c r="AX63" s="37">
        <f t="shared" si="27"/>
        <v>0</v>
      </c>
      <c r="AY63" s="37">
        <f t="shared" si="27"/>
        <v>0</v>
      </c>
      <c r="AZ63" s="37">
        <f t="shared" si="27"/>
        <v>0</v>
      </c>
      <c r="BA63" s="37">
        <f t="shared" si="27"/>
        <v>0</v>
      </c>
      <c r="BB63" s="37">
        <f t="shared" si="27"/>
        <v>0</v>
      </c>
      <c r="BC63" s="37">
        <f t="shared" si="27"/>
        <v>0</v>
      </c>
      <c r="BD63" s="37">
        <f t="shared" si="27"/>
        <v>0</v>
      </c>
      <c r="BE63" s="37">
        <f t="shared" si="27"/>
        <v>0</v>
      </c>
      <c r="BF63" s="37">
        <f t="shared" si="27"/>
        <v>0</v>
      </c>
      <c r="BG63" s="37">
        <f t="shared" si="27"/>
        <v>0</v>
      </c>
      <c r="BH63" s="37">
        <f t="shared" si="27"/>
        <v>0</v>
      </c>
      <c r="BI63" s="37">
        <f t="shared" si="27"/>
        <v>0</v>
      </c>
      <c r="BJ63" s="37">
        <f t="shared" si="27"/>
        <v>0</v>
      </c>
      <c r="BK63" s="37">
        <f t="shared" si="27"/>
        <v>0</v>
      </c>
      <c r="BL63" s="37">
        <f t="shared" si="27"/>
        <v>0</v>
      </c>
      <c r="BM63" s="37">
        <f t="shared" si="27"/>
        <v>0</v>
      </c>
      <c r="BN63" s="37">
        <f t="shared" si="27"/>
        <v>0</v>
      </c>
    </row>
    <row r="64" spans="3:66">
      <c r="C64" s="37">
        <v>6240000</v>
      </c>
      <c r="E64" s="11" t="s">
        <v>24</v>
      </c>
      <c r="F64" s="37">
        <f t="shared" si="21"/>
        <v>6393088</v>
      </c>
      <c r="G64" s="37">
        <f>$F$54*$B$30*30%</f>
        <v>1917926.3999999999</v>
      </c>
      <c r="H64" s="37">
        <f t="shared" ref="H64:AM64" si="28">IF(AND(H47&lt;$B$37,G46&lt;&gt;H46),$F$54*($B$30*70%)/INT($B$37/12),0)</f>
        <v>0</v>
      </c>
      <c r="I64" s="37">
        <f t="shared" si="28"/>
        <v>0</v>
      </c>
      <c r="J64" s="37">
        <f t="shared" si="28"/>
        <v>0</v>
      </c>
      <c r="K64" s="37">
        <f t="shared" si="28"/>
        <v>0</v>
      </c>
      <c r="L64" s="37">
        <f t="shared" si="28"/>
        <v>0</v>
      </c>
      <c r="M64" s="37">
        <f t="shared" si="28"/>
        <v>0</v>
      </c>
      <c r="N64" s="37">
        <f t="shared" si="28"/>
        <v>0</v>
      </c>
      <c r="O64" s="37">
        <f t="shared" si="28"/>
        <v>0</v>
      </c>
      <c r="P64" s="37">
        <f t="shared" si="28"/>
        <v>0</v>
      </c>
      <c r="Q64" s="37">
        <f t="shared" si="28"/>
        <v>0</v>
      </c>
      <c r="R64" s="37">
        <f t="shared" si="28"/>
        <v>0</v>
      </c>
      <c r="S64" s="37">
        <f t="shared" si="28"/>
        <v>2237580.7999999998</v>
      </c>
      <c r="T64" s="37">
        <f t="shared" si="28"/>
        <v>0</v>
      </c>
      <c r="U64" s="37">
        <f t="shared" si="28"/>
        <v>0</v>
      </c>
      <c r="V64" s="37">
        <f t="shared" si="28"/>
        <v>0</v>
      </c>
      <c r="W64" s="37">
        <f t="shared" si="28"/>
        <v>0</v>
      </c>
      <c r="X64" s="37">
        <f t="shared" si="28"/>
        <v>0</v>
      </c>
      <c r="Y64" s="37">
        <f t="shared" si="28"/>
        <v>0</v>
      </c>
      <c r="Z64" s="37">
        <f t="shared" si="28"/>
        <v>0</v>
      </c>
      <c r="AA64" s="37">
        <f t="shared" si="28"/>
        <v>0</v>
      </c>
      <c r="AB64" s="37">
        <f t="shared" si="28"/>
        <v>0</v>
      </c>
      <c r="AC64" s="37">
        <f t="shared" si="28"/>
        <v>0</v>
      </c>
      <c r="AD64" s="37">
        <f t="shared" si="28"/>
        <v>0</v>
      </c>
      <c r="AE64" s="37">
        <f t="shared" si="28"/>
        <v>2237580.7999999998</v>
      </c>
      <c r="AF64" s="37">
        <f t="shared" si="28"/>
        <v>0</v>
      </c>
      <c r="AG64" s="37">
        <f t="shared" si="28"/>
        <v>0</v>
      </c>
      <c r="AH64" s="37">
        <f t="shared" si="28"/>
        <v>0</v>
      </c>
      <c r="AI64" s="37">
        <f t="shared" si="28"/>
        <v>0</v>
      </c>
      <c r="AJ64" s="37">
        <f t="shared" si="28"/>
        <v>0</v>
      </c>
      <c r="AK64" s="37">
        <f t="shared" si="28"/>
        <v>0</v>
      </c>
      <c r="AL64" s="37">
        <f t="shared" si="28"/>
        <v>0</v>
      </c>
      <c r="AM64" s="37">
        <f t="shared" si="28"/>
        <v>0</v>
      </c>
      <c r="AN64" s="37">
        <f t="shared" ref="AN64:BN64" si="29">IF(AND(AN47&lt;$B$37,AM46&lt;&gt;AN46),$F$54*($B$30*70%)/INT($B$37/12),0)</f>
        <v>0</v>
      </c>
      <c r="AO64" s="37">
        <f t="shared" si="29"/>
        <v>0</v>
      </c>
      <c r="AP64" s="37">
        <f t="shared" si="29"/>
        <v>0</v>
      </c>
      <c r="AQ64" s="37">
        <f t="shared" si="29"/>
        <v>0</v>
      </c>
      <c r="AR64" s="37">
        <f t="shared" si="29"/>
        <v>0</v>
      </c>
      <c r="AS64" s="37">
        <f t="shared" si="29"/>
        <v>0</v>
      </c>
      <c r="AT64" s="37">
        <f t="shared" si="29"/>
        <v>0</v>
      </c>
      <c r="AU64" s="37">
        <f t="shared" si="29"/>
        <v>0</v>
      </c>
      <c r="AV64" s="37">
        <f t="shared" si="29"/>
        <v>0</v>
      </c>
      <c r="AW64" s="37">
        <f t="shared" si="29"/>
        <v>0</v>
      </c>
      <c r="AX64" s="37">
        <f t="shared" si="29"/>
        <v>0</v>
      </c>
      <c r="AY64" s="37">
        <f t="shared" si="29"/>
        <v>0</v>
      </c>
      <c r="AZ64" s="37">
        <f t="shared" si="29"/>
        <v>0</v>
      </c>
      <c r="BA64" s="37">
        <f t="shared" si="29"/>
        <v>0</v>
      </c>
      <c r="BB64" s="37">
        <f t="shared" si="29"/>
        <v>0</v>
      </c>
      <c r="BC64" s="37">
        <f t="shared" si="29"/>
        <v>0</v>
      </c>
      <c r="BD64" s="37">
        <f t="shared" si="29"/>
        <v>0</v>
      </c>
      <c r="BE64" s="37">
        <f t="shared" si="29"/>
        <v>0</v>
      </c>
      <c r="BF64" s="37">
        <f t="shared" si="29"/>
        <v>0</v>
      </c>
      <c r="BG64" s="37">
        <f t="shared" si="29"/>
        <v>0</v>
      </c>
      <c r="BH64" s="37">
        <f t="shared" si="29"/>
        <v>0</v>
      </c>
      <c r="BI64" s="37">
        <f t="shared" si="29"/>
        <v>0</v>
      </c>
      <c r="BJ64" s="37">
        <f t="shared" si="29"/>
        <v>0</v>
      </c>
      <c r="BK64" s="37">
        <f t="shared" si="29"/>
        <v>0</v>
      </c>
      <c r="BL64" s="37">
        <f t="shared" si="29"/>
        <v>0</v>
      </c>
      <c r="BM64" s="37">
        <f t="shared" si="29"/>
        <v>0</v>
      </c>
      <c r="BN64" s="37">
        <f t="shared" si="29"/>
        <v>0</v>
      </c>
    </row>
    <row r="65" spans="3:66">
      <c r="C65" s="37">
        <v>37440000</v>
      </c>
      <c r="E65" s="11" t="s">
        <v>25</v>
      </c>
      <c r="F65" s="37">
        <f t="shared" si="21"/>
        <v>38358528</v>
      </c>
      <c r="G65" s="37">
        <f t="shared" ref="G65:AL65" si="30">IF(G$47&lt;=$B$37,$B$29*$F$54/$B$37,0)</f>
        <v>1128192</v>
      </c>
      <c r="H65" s="37">
        <f t="shared" si="30"/>
        <v>1128192</v>
      </c>
      <c r="I65" s="37">
        <f t="shared" si="30"/>
        <v>1128192</v>
      </c>
      <c r="J65" s="37">
        <f t="shared" si="30"/>
        <v>1128192</v>
      </c>
      <c r="K65" s="37">
        <f t="shared" si="30"/>
        <v>1128192</v>
      </c>
      <c r="L65" s="37">
        <f t="shared" si="30"/>
        <v>1128192</v>
      </c>
      <c r="M65" s="37">
        <f t="shared" si="30"/>
        <v>1128192</v>
      </c>
      <c r="N65" s="37">
        <f t="shared" si="30"/>
        <v>1128192</v>
      </c>
      <c r="O65" s="37">
        <f t="shared" si="30"/>
        <v>1128192</v>
      </c>
      <c r="P65" s="37">
        <f t="shared" si="30"/>
        <v>1128192</v>
      </c>
      <c r="Q65" s="37">
        <f t="shared" si="30"/>
        <v>1128192</v>
      </c>
      <c r="R65" s="37">
        <f t="shared" si="30"/>
        <v>1128192</v>
      </c>
      <c r="S65" s="37">
        <f t="shared" si="30"/>
        <v>1128192</v>
      </c>
      <c r="T65" s="37">
        <f t="shared" si="30"/>
        <v>1128192</v>
      </c>
      <c r="U65" s="37">
        <f t="shared" si="30"/>
        <v>1128192</v>
      </c>
      <c r="V65" s="37">
        <f t="shared" si="30"/>
        <v>1128192</v>
      </c>
      <c r="W65" s="37">
        <f t="shared" si="30"/>
        <v>1128192</v>
      </c>
      <c r="X65" s="37">
        <f t="shared" si="30"/>
        <v>1128192</v>
      </c>
      <c r="Y65" s="37">
        <f t="shared" si="30"/>
        <v>1128192</v>
      </c>
      <c r="Z65" s="37">
        <f t="shared" si="30"/>
        <v>1128192</v>
      </c>
      <c r="AA65" s="37">
        <f t="shared" si="30"/>
        <v>1128192</v>
      </c>
      <c r="AB65" s="37">
        <f t="shared" si="30"/>
        <v>1128192</v>
      </c>
      <c r="AC65" s="37">
        <f t="shared" si="30"/>
        <v>1128192</v>
      </c>
      <c r="AD65" s="37">
        <f t="shared" si="30"/>
        <v>1128192</v>
      </c>
      <c r="AE65" s="37">
        <f t="shared" si="30"/>
        <v>1128192</v>
      </c>
      <c r="AF65" s="37">
        <f t="shared" si="30"/>
        <v>1128192</v>
      </c>
      <c r="AG65" s="37">
        <f t="shared" si="30"/>
        <v>1128192</v>
      </c>
      <c r="AH65" s="37">
        <f t="shared" si="30"/>
        <v>1128192</v>
      </c>
      <c r="AI65" s="37">
        <f t="shared" si="30"/>
        <v>1128192</v>
      </c>
      <c r="AJ65" s="37">
        <f t="shared" si="30"/>
        <v>1128192</v>
      </c>
      <c r="AK65" s="37">
        <f t="shared" si="30"/>
        <v>1128192</v>
      </c>
      <c r="AL65" s="37">
        <f t="shared" si="30"/>
        <v>1128192</v>
      </c>
      <c r="AM65" s="37">
        <f t="shared" ref="AM65:BN65" si="31">IF(AM$47&lt;=$B$37,$B$29*$F$54/$B$37,0)</f>
        <v>1128192</v>
      </c>
      <c r="AN65" s="37">
        <f t="shared" si="31"/>
        <v>1128192</v>
      </c>
      <c r="AO65" s="37">
        <f t="shared" si="31"/>
        <v>0</v>
      </c>
      <c r="AP65" s="37">
        <f t="shared" si="31"/>
        <v>0</v>
      </c>
      <c r="AQ65" s="37">
        <f t="shared" si="31"/>
        <v>0</v>
      </c>
      <c r="AR65" s="37">
        <f t="shared" si="31"/>
        <v>0</v>
      </c>
      <c r="AS65" s="37">
        <f t="shared" si="31"/>
        <v>0</v>
      </c>
      <c r="AT65" s="37">
        <f t="shared" si="31"/>
        <v>0</v>
      </c>
      <c r="AU65" s="37">
        <f t="shared" si="31"/>
        <v>0</v>
      </c>
      <c r="AV65" s="37">
        <f t="shared" si="31"/>
        <v>0</v>
      </c>
      <c r="AW65" s="37">
        <f t="shared" si="31"/>
        <v>0</v>
      </c>
      <c r="AX65" s="37">
        <f t="shared" si="31"/>
        <v>0</v>
      </c>
      <c r="AY65" s="37">
        <f t="shared" si="31"/>
        <v>0</v>
      </c>
      <c r="AZ65" s="37">
        <f t="shared" si="31"/>
        <v>0</v>
      </c>
      <c r="BA65" s="37">
        <f t="shared" si="31"/>
        <v>0</v>
      </c>
      <c r="BB65" s="37">
        <f t="shared" si="31"/>
        <v>0</v>
      </c>
      <c r="BC65" s="37">
        <f t="shared" si="31"/>
        <v>0</v>
      </c>
      <c r="BD65" s="37">
        <f t="shared" si="31"/>
        <v>0</v>
      </c>
      <c r="BE65" s="37">
        <f t="shared" si="31"/>
        <v>0</v>
      </c>
      <c r="BF65" s="37">
        <f t="shared" si="31"/>
        <v>0</v>
      </c>
      <c r="BG65" s="37">
        <f t="shared" si="31"/>
        <v>0</v>
      </c>
      <c r="BH65" s="37">
        <f t="shared" si="31"/>
        <v>0</v>
      </c>
      <c r="BI65" s="37">
        <f t="shared" si="31"/>
        <v>0</v>
      </c>
      <c r="BJ65" s="37">
        <f t="shared" si="31"/>
        <v>0</v>
      </c>
      <c r="BK65" s="37">
        <f t="shared" si="31"/>
        <v>0</v>
      </c>
      <c r="BL65" s="37">
        <f t="shared" si="31"/>
        <v>0</v>
      </c>
      <c r="BM65" s="37">
        <f t="shared" si="31"/>
        <v>0</v>
      </c>
      <c r="BN65" s="37">
        <f t="shared" si="31"/>
        <v>0</v>
      </c>
    </row>
    <row r="66" spans="3:66">
      <c r="C66" s="37">
        <v>18720000</v>
      </c>
      <c r="E66" s="11" t="s">
        <v>26</v>
      </c>
      <c r="F66" s="37">
        <f t="shared" si="21"/>
        <v>19179264</v>
      </c>
      <c r="G66" s="37">
        <f t="shared" ref="G66:AL66" si="32">IF(G$47&lt;=$B$37,$B$31*$F$54/$B$37,0)</f>
        <v>564096</v>
      </c>
      <c r="H66" s="37">
        <f t="shared" si="32"/>
        <v>564096</v>
      </c>
      <c r="I66" s="37">
        <f t="shared" si="32"/>
        <v>564096</v>
      </c>
      <c r="J66" s="37">
        <f t="shared" si="32"/>
        <v>564096</v>
      </c>
      <c r="K66" s="37">
        <f t="shared" si="32"/>
        <v>564096</v>
      </c>
      <c r="L66" s="37">
        <f t="shared" si="32"/>
        <v>564096</v>
      </c>
      <c r="M66" s="37">
        <f t="shared" si="32"/>
        <v>564096</v>
      </c>
      <c r="N66" s="37">
        <f t="shared" si="32"/>
        <v>564096</v>
      </c>
      <c r="O66" s="37">
        <f t="shared" si="32"/>
        <v>564096</v>
      </c>
      <c r="P66" s="37">
        <f t="shared" si="32"/>
        <v>564096</v>
      </c>
      <c r="Q66" s="37">
        <f t="shared" si="32"/>
        <v>564096</v>
      </c>
      <c r="R66" s="37">
        <f t="shared" si="32"/>
        <v>564096</v>
      </c>
      <c r="S66" s="37">
        <f t="shared" si="32"/>
        <v>564096</v>
      </c>
      <c r="T66" s="37">
        <f t="shared" si="32"/>
        <v>564096</v>
      </c>
      <c r="U66" s="37">
        <f t="shared" si="32"/>
        <v>564096</v>
      </c>
      <c r="V66" s="37">
        <f t="shared" si="32"/>
        <v>564096</v>
      </c>
      <c r="W66" s="37">
        <f t="shared" si="32"/>
        <v>564096</v>
      </c>
      <c r="X66" s="37">
        <f t="shared" si="32"/>
        <v>564096</v>
      </c>
      <c r="Y66" s="37">
        <f t="shared" si="32"/>
        <v>564096</v>
      </c>
      <c r="Z66" s="37">
        <f t="shared" si="32"/>
        <v>564096</v>
      </c>
      <c r="AA66" s="37">
        <f t="shared" si="32"/>
        <v>564096</v>
      </c>
      <c r="AB66" s="37">
        <f t="shared" si="32"/>
        <v>564096</v>
      </c>
      <c r="AC66" s="37">
        <f t="shared" si="32"/>
        <v>564096</v>
      </c>
      <c r="AD66" s="37">
        <f t="shared" si="32"/>
        <v>564096</v>
      </c>
      <c r="AE66" s="37">
        <f t="shared" si="32"/>
        <v>564096</v>
      </c>
      <c r="AF66" s="37">
        <f t="shared" si="32"/>
        <v>564096</v>
      </c>
      <c r="AG66" s="37">
        <f t="shared" si="32"/>
        <v>564096</v>
      </c>
      <c r="AH66" s="37">
        <f t="shared" si="32"/>
        <v>564096</v>
      </c>
      <c r="AI66" s="37">
        <f t="shared" si="32"/>
        <v>564096</v>
      </c>
      <c r="AJ66" s="37">
        <f t="shared" si="32"/>
        <v>564096</v>
      </c>
      <c r="AK66" s="37">
        <f t="shared" si="32"/>
        <v>564096</v>
      </c>
      <c r="AL66" s="37">
        <f t="shared" si="32"/>
        <v>564096</v>
      </c>
      <c r="AM66" s="37">
        <f t="shared" ref="AM66:BN66" si="33">IF(AM$47&lt;=$B$37,$B$31*$F$54/$B$37,0)</f>
        <v>564096</v>
      </c>
      <c r="AN66" s="37">
        <f t="shared" si="33"/>
        <v>564096</v>
      </c>
      <c r="AO66" s="37">
        <f t="shared" si="33"/>
        <v>0</v>
      </c>
      <c r="AP66" s="37">
        <f t="shared" si="33"/>
        <v>0</v>
      </c>
      <c r="AQ66" s="37">
        <f t="shared" si="33"/>
        <v>0</v>
      </c>
      <c r="AR66" s="37">
        <f t="shared" si="33"/>
        <v>0</v>
      </c>
      <c r="AS66" s="37">
        <f t="shared" si="33"/>
        <v>0</v>
      </c>
      <c r="AT66" s="37">
        <f t="shared" si="33"/>
        <v>0</v>
      </c>
      <c r="AU66" s="37">
        <f t="shared" si="33"/>
        <v>0</v>
      </c>
      <c r="AV66" s="37">
        <f t="shared" si="33"/>
        <v>0</v>
      </c>
      <c r="AW66" s="37">
        <f t="shared" si="33"/>
        <v>0</v>
      </c>
      <c r="AX66" s="37">
        <f t="shared" si="33"/>
        <v>0</v>
      </c>
      <c r="AY66" s="37">
        <f t="shared" si="33"/>
        <v>0</v>
      </c>
      <c r="AZ66" s="37">
        <f t="shared" si="33"/>
        <v>0</v>
      </c>
      <c r="BA66" s="37">
        <f t="shared" si="33"/>
        <v>0</v>
      </c>
      <c r="BB66" s="37">
        <f t="shared" si="33"/>
        <v>0</v>
      </c>
      <c r="BC66" s="37">
        <f t="shared" si="33"/>
        <v>0</v>
      </c>
      <c r="BD66" s="37">
        <f t="shared" si="33"/>
        <v>0</v>
      </c>
      <c r="BE66" s="37">
        <f t="shared" si="33"/>
        <v>0</v>
      </c>
      <c r="BF66" s="37">
        <f t="shared" si="33"/>
        <v>0</v>
      </c>
      <c r="BG66" s="37">
        <f t="shared" si="33"/>
        <v>0</v>
      </c>
      <c r="BH66" s="37">
        <f t="shared" si="33"/>
        <v>0</v>
      </c>
      <c r="BI66" s="37">
        <f t="shared" si="33"/>
        <v>0</v>
      </c>
      <c r="BJ66" s="37">
        <f t="shared" si="33"/>
        <v>0</v>
      </c>
      <c r="BK66" s="37">
        <f t="shared" si="33"/>
        <v>0</v>
      </c>
      <c r="BL66" s="37">
        <f t="shared" si="33"/>
        <v>0</v>
      </c>
      <c r="BM66" s="37">
        <f t="shared" si="33"/>
        <v>0</v>
      </c>
      <c r="BN66" s="37">
        <f t="shared" si="33"/>
        <v>0</v>
      </c>
    </row>
    <row r="67" spans="3:66">
      <c r="C67" s="37">
        <v>19656000</v>
      </c>
      <c r="E67" s="11" t="s">
        <v>23</v>
      </c>
      <c r="F67" s="37">
        <f t="shared" si="21"/>
        <v>23073107.200000003</v>
      </c>
      <c r="G67" s="37">
        <f>SUM(G61:G62)*5%</f>
        <v>593643.88571428577</v>
      </c>
      <c r="H67" s="37">
        <f t="shared" ref="H67:BN67" si="34">SUM(H61:H62)*5%</f>
        <v>593643.88571428577</v>
      </c>
      <c r="I67" s="37">
        <f t="shared" si="34"/>
        <v>593643.88571428577</v>
      </c>
      <c r="J67" s="37">
        <f t="shared" si="34"/>
        <v>593643.88571428577</v>
      </c>
      <c r="K67" s="37">
        <f t="shared" si="34"/>
        <v>593643.88571428577</v>
      </c>
      <c r="L67" s="37">
        <f t="shared" si="34"/>
        <v>593643.88571428577</v>
      </c>
      <c r="M67" s="37">
        <f t="shared" si="34"/>
        <v>1539523.885714286</v>
      </c>
      <c r="N67" s="37">
        <f t="shared" si="34"/>
        <v>945880</v>
      </c>
      <c r="O67" s="37">
        <f t="shared" si="34"/>
        <v>945880</v>
      </c>
      <c r="P67" s="37">
        <f t="shared" si="34"/>
        <v>945880</v>
      </c>
      <c r="Q67" s="37">
        <f t="shared" si="34"/>
        <v>945880</v>
      </c>
      <c r="R67" s="37">
        <f t="shared" si="34"/>
        <v>945880</v>
      </c>
      <c r="S67" s="37">
        <f t="shared" si="34"/>
        <v>945880</v>
      </c>
      <c r="T67" s="37">
        <f t="shared" si="34"/>
        <v>945880</v>
      </c>
      <c r="U67" s="37">
        <f t="shared" si="34"/>
        <v>945880</v>
      </c>
      <c r="V67" s="37">
        <f t="shared" si="34"/>
        <v>945880</v>
      </c>
      <c r="W67" s="37">
        <f t="shared" si="34"/>
        <v>945880</v>
      </c>
      <c r="X67" s="37">
        <f t="shared" si="34"/>
        <v>945880</v>
      </c>
      <c r="Y67" s="37">
        <f t="shared" si="34"/>
        <v>945880</v>
      </c>
      <c r="Z67" s="37">
        <f t="shared" si="34"/>
        <v>945880</v>
      </c>
      <c r="AA67" s="37">
        <f t="shared" si="34"/>
        <v>945880</v>
      </c>
      <c r="AB67" s="37">
        <f t="shared" si="34"/>
        <v>945880</v>
      </c>
      <c r="AC67" s="37">
        <f t="shared" si="34"/>
        <v>945880</v>
      </c>
      <c r="AD67" s="37">
        <f t="shared" si="34"/>
        <v>945880</v>
      </c>
      <c r="AE67" s="37">
        <f t="shared" si="34"/>
        <v>945880</v>
      </c>
      <c r="AF67" s="37">
        <f t="shared" si="34"/>
        <v>945880</v>
      </c>
      <c r="AG67" s="37">
        <f t="shared" si="34"/>
        <v>0</v>
      </c>
      <c r="AH67" s="37">
        <f t="shared" si="34"/>
        <v>0</v>
      </c>
      <c r="AI67" s="37">
        <f t="shared" si="34"/>
        <v>0</v>
      </c>
      <c r="AJ67" s="37">
        <f t="shared" si="34"/>
        <v>0</v>
      </c>
      <c r="AK67" s="37">
        <f t="shared" si="34"/>
        <v>0</v>
      </c>
      <c r="AL67" s="37">
        <f t="shared" si="34"/>
        <v>0</v>
      </c>
      <c r="AM67" s="37">
        <f t="shared" si="34"/>
        <v>0</v>
      </c>
      <c r="AN67" s="37">
        <f t="shared" si="34"/>
        <v>0</v>
      </c>
      <c r="AO67" s="37">
        <f t="shared" si="34"/>
        <v>0</v>
      </c>
      <c r="AP67" s="37">
        <f t="shared" si="34"/>
        <v>0</v>
      </c>
      <c r="AQ67" s="37">
        <f t="shared" si="34"/>
        <v>0</v>
      </c>
      <c r="AR67" s="37">
        <f t="shared" si="34"/>
        <v>0</v>
      </c>
      <c r="AS67" s="37">
        <f t="shared" si="34"/>
        <v>0</v>
      </c>
      <c r="AT67" s="37">
        <f t="shared" si="34"/>
        <v>0</v>
      </c>
      <c r="AU67" s="37">
        <f t="shared" si="34"/>
        <v>0</v>
      </c>
      <c r="AV67" s="37">
        <f t="shared" si="34"/>
        <v>0</v>
      </c>
      <c r="AW67" s="37">
        <f t="shared" si="34"/>
        <v>0</v>
      </c>
      <c r="AX67" s="37">
        <f t="shared" si="34"/>
        <v>0</v>
      </c>
      <c r="AY67" s="37">
        <f t="shared" si="34"/>
        <v>0</v>
      </c>
      <c r="AZ67" s="37">
        <f t="shared" si="34"/>
        <v>0</v>
      </c>
      <c r="BA67" s="37">
        <f t="shared" si="34"/>
        <v>0</v>
      </c>
      <c r="BB67" s="37">
        <f t="shared" si="34"/>
        <v>0</v>
      </c>
      <c r="BC67" s="37">
        <f t="shared" si="34"/>
        <v>0</v>
      </c>
      <c r="BD67" s="37">
        <f t="shared" si="34"/>
        <v>0</v>
      </c>
      <c r="BE67" s="37">
        <f t="shared" si="34"/>
        <v>0</v>
      </c>
      <c r="BF67" s="37">
        <f t="shared" si="34"/>
        <v>0</v>
      </c>
      <c r="BG67" s="37">
        <f t="shared" si="34"/>
        <v>0</v>
      </c>
      <c r="BH67" s="37">
        <f t="shared" si="34"/>
        <v>0</v>
      </c>
      <c r="BI67" s="37">
        <f t="shared" si="34"/>
        <v>0</v>
      </c>
      <c r="BJ67" s="37">
        <f t="shared" si="34"/>
        <v>0</v>
      </c>
      <c r="BK67" s="37">
        <f t="shared" si="34"/>
        <v>0</v>
      </c>
      <c r="BL67" s="37">
        <f t="shared" si="34"/>
        <v>0</v>
      </c>
      <c r="BM67" s="37">
        <f t="shared" si="34"/>
        <v>0</v>
      </c>
      <c r="BN67" s="37">
        <f t="shared" si="34"/>
        <v>0</v>
      </c>
    </row>
    <row r="68" spans="3:66">
      <c r="C68" s="39">
        <v>519488000</v>
      </c>
      <c r="E68" s="13" t="s">
        <v>21</v>
      </c>
      <c r="F68" s="39">
        <f>SUM(F60:F67)</f>
        <v>599612345.60000002</v>
      </c>
      <c r="G68" s="39">
        <f t="shared" ref="G68:BN68" si="35">SUM(G60:G67)</f>
        <v>18264023.77142857</v>
      </c>
      <c r="H68" s="39">
        <f t="shared" si="35"/>
        <v>15346097.371428572</v>
      </c>
      <c r="I68" s="39">
        <f t="shared" si="35"/>
        <v>15346097.371428572</v>
      </c>
      <c r="J68" s="39">
        <f t="shared" si="35"/>
        <v>15346097.371428572</v>
      </c>
      <c r="K68" s="39">
        <f t="shared" si="35"/>
        <v>15346097.371428572</v>
      </c>
      <c r="L68" s="39">
        <f t="shared" si="35"/>
        <v>15346097.371428572</v>
      </c>
      <c r="M68" s="39">
        <f t="shared" si="35"/>
        <v>37101337.371428572</v>
      </c>
      <c r="N68" s="39">
        <f t="shared" si="35"/>
        <v>23447528</v>
      </c>
      <c r="O68" s="39">
        <f t="shared" si="35"/>
        <v>23447528</v>
      </c>
      <c r="P68" s="39">
        <f t="shared" si="35"/>
        <v>23447528</v>
      </c>
      <c r="Q68" s="39">
        <f t="shared" si="35"/>
        <v>23447528</v>
      </c>
      <c r="R68" s="39">
        <f t="shared" si="35"/>
        <v>24214698.559999999</v>
      </c>
      <c r="S68" s="39">
        <f t="shared" si="35"/>
        <v>26452279.359999999</v>
      </c>
      <c r="T68" s="39">
        <f t="shared" si="35"/>
        <v>24214698.559999999</v>
      </c>
      <c r="U68" s="39">
        <f t="shared" si="35"/>
        <v>24214698.559999999</v>
      </c>
      <c r="V68" s="39">
        <f t="shared" si="35"/>
        <v>24214698.559999999</v>
      </c>
      <c r="W68" s="39">
        <f t="shared" si="35"/>
        <v>23611675.199999999</v>
      </c>
      <c r="X68" s="39">
        <f t="shared" si="35"/>
        <v>23447528</v>
      </c>
      <c r="Y68" s="39">
        <f t="shared" si="35"/>
        <v>23447528</v>
      </c>
      <c r="Z68" s="39">
        <f t="shared" si="35"/>
        <v>23447528</v>
      </c>
      <c r="AA68" s="39">
        <f t="shared" si="35"/>
        <v>23447528</v>
      </c>
      <c r="AB68" s="39">
        <f t="shared" si="35"/>
        <v>23447528</v>
      </c>
      <c r="AC68" s="39">
        <f t="shared" si="35"/>
        <v>23447528</v>
      </c>
      <c r="AD68" s="39">
        <f t="shared" si="35"/>
        <v>23447528</v>
      </c>
      <c r="AE68" s="39">
        <f t="shared" si="35"/>
        <v>25685108.800000001</v>
      </c>
      <c r="AF68" s="39">
        <f t="shared" si="35"/>
        <v>23447528</v>
      </c>
      <c r="AG68" s="39">
        <f t="shared" si="35"/>
        <v>1692288</v>
      </c>
      <c r="AH68" s="39">
        <f t="shared" si="35"/>
        <v>1692288</v>
      </c>
      <c r="AI68" s="39">
        <f t="shared" si="35"/>
        <v>1692288</v>
      </c>
      <c r="AJ68" s="39">
        <f t="shared" si="35"/>
        <v>1692288</v>
      </c>
      <c r="AK68" s="39">
        <f t="shared" si="35"/>
        <v>1692288</v>
      </c>
      <c r="AL68" s="39">
        <f t="shared" si="35"/>
        <v>1692288</v>
      </c>
      <c r="AM68" s="39">
        <f t="shared" si="35"/>
        <v>1692288</v>
      </c>
      <c r="AN68" s="39">
        <f t="shared" si="35"/>
        <v>1692288</v>
      </c>
      <c r="AO68" s="39">
        <f t="shared" si="35"/>
        <v>0</v>
      </c>
      <c r="AP68" s="39">
        <f t="shared" si="35"/>
        <v>0</v>
      </c>
      <c r="AQ68" s="39">
        <f t="shared" si="35"/>
        <v>0</v>
      </c>
      <c r="AR68" s="39">
        <f t="shared" si="35"/>
        <v>0</v>
      </c>
      <c r="AS68" s="39">
        <f t="shared" si="35"/>
        <v>0</v>
      </c>
      <c r="AT68" s="39">
        <f t="shared" si="35"/>
        <v>0</v>
      </c>
      <c r="AU68" s="39">
        <f t="shared" si="35"/>
        <v>0</v>
      </c>
      <c r="AV68" s="39">
        <f t="shared" si="35"/>
        <v>0</v>
      </c>
      <c r="AW68" s="39">
        <f t="shared" si="35"/>
        <v>0</v>
      </c>
      <c r="AX68" s="39">
        <f t="shared" si="35"/>
        <v>0</v>
      </c>
      <c r="AY68" s="39">
        <f t="shared" si="35"/>
        <v>0</v>
      </c>
      <c r="AZ68" s="39">
        <f t="shared" si="35"/>
        <v>0</v>
      </c>
      <c r="BA68" s="39">
        <f t="shared" si="35"/>
        <v>0</v>
      </c>
      <c r="BB68" s="39">
        <f t="shared" si="35"/>
        <v>0</v>
      </c>
      <c r="BC68" s="39">
        <f t="shared" si="35"/>
        <v>0</v>
      </c>
      <c r="BD68" s="39">
        <f t="shared" si="35"/>
        <v>0</v>
      </c>
      <c r="BE68" s="39">
        <f t="shared" si="35"/>
        <v>0</v>
      </c>
      <c r="BF68" s="39">
        <f t="shared" si="35"/>
        <v>0</v>
      </c>
      <c r="BG68" s="39">
        <f t="shared" si="35"/>
        <v>0</v>
      </c>
      <c r="BH68" s="39">
        <f t="shared" si="35"/>
        <v>0</v>
      </c>
      <c r="BI68" s="39">
        <f t="shared" si="35"/>
        <v>0</v>
      </c>
      <c r="BJ68" s="39">
        <f t="shared" si="35"/>
        <v>0</v>
      </c>
      <c r="BK68" s="39">
        <f t="shared" si="35"/>
        <v>0</v>
      </c>
      <c r="BL68" s="39">
        <f t="shared" si="35"/>
        <v>0</v>
      </c>
      <c r="BM68" s="39">
        <f t="shared" si="35"/>
        <v>0</v>
      </c>
      <c r="BN68" s="39">
        <f t="shared" si="35"/>
        <v>0</v>
      </c>
    </row>
    <row r="70" spans="3:66" ht="15.75">
      <c r="E70" s="12" t="s">
        <v>27</v>
      </c>
    </row>
    <row r="71" spans="3:66">
      <c r="C71" s="37">
        <v>45808619.999999993</v>
      </c>
      <c r="E71" s="11" t="s">
        <v>28</v>
      </c>
      <c r="F71" s="37">
        <f>SUM(G71:BN71)</f>
        <v>45497476.266666688</v>
      </c>
      <c r="G71" s="37">
        <f t="shared" ref="G71:AL71" si="36">G94</f>
        <v>0</v>
      </c>
      <c r="H71" s="37">
        <f t="shared" si="36"/>
        <v>0</v>
      </c>
      <c r="I71" s="37">
        <f t="shared" si="36"/>
        <v>0</v>
      </c>
      <c r="J71" s="37">
        <f t="shared" si="36"/>
        <v>0</v>
      </c>
      <c r="K71" s="37">
        <f t="shared" si="36"/>
        <v>0</v>
      </c>
      <c r="L71" s="37">
        <f t="shared" si="36"/>
        <v>0</v>
      </c>
      <c r="M71" s="37">
        <f t="shared" si="36"/>
        <v>0</v>
      </c>
      <c r="N71" s="37">
        <f t="shared" si="36"/>
        <v>716025.85600000015</v>
      </c>
      <c r="O71" s="37">
        <f t="shared" si="36"/>
        <v>835363.4986666668</v>
      </c>
      <c r="P71" s="37">
        <f t="shared" si="36"/>
        <v>954701.14133333357</v>
      </c>
      <c r="Q71" s="37">
        <f t="shared" si="36"/>
        <v>1074038.7840000002</v>
      </c>
      <c r="R71" s="37">
        <f t="shared" si="36"/>
        <v>1193376.4266666668</v>
      </c>
      <c r="S71" s="37">
        <f t="shared" si="36"/>
        <v>1312714.0693333335</v>
      </c>
      <c r="T71" s="37">
        <f t="shared" si="36"/>
        <v>1432051.7120000003</v>
      </c>
      <c r="U71" s="37">
        <f t="shared" si="36"/>
        <v>1551389.3546666668</v>
      </c>
      <c r="V71" s="37">
        <f t="shared" si="36"/>
        <v>1670726.9973333336</v>
      </c>
      <c r="W71" s="37">
        <f t="shared" si="36"/>
        <v>1790064.6400000004</v>
      </c>
      <c r="X71" s="37">
        <f t="shared" si="36"/>
        <v>1909402.2826666671</v>
      </c>
      <c r="Y71" s="37">
        <f t="shared" si="36"/>
        <v>2028739.9253333337</v>
      </c>
      <c r="Z71" s="37">
        <f t="shared" si="36"/>
        <v>2148077.5680000004</v>
      </c>
      <c r="AA71" s="37">
        <f t="shared" si="36"/>
        <v>2267415.2106666667</v>
      </c>
      <c r="AB71" s="37">
        <f t="shared" si="36"/>
        <v>2386752.8533333335</v>
      </c>
      <c r="AC71" s="37">
        <f t="shared" si="36"/>
        <v>2506090.4960000003</v>
      </c>
      <c r="AD71" s="37">
        <f t="shared" si="36"/>
        <v>2625428.138666667</v>
      </c>
      <c r="AE71" s="37">
        <f t="shared" si="36"/>
        <v>2744765.7813333338</v>
      </c>
      <c r="AF71" s="37">
        <f t="shared" si="36"/>
        <v>2864103.4240000006</v>
      </c>
      <c r="AG71" s="37">
        <f t="shared" si="36"/>
        <v>2983441.0666666673</v>
      </c>
      <c r="AH71" s="37">
        <f t="shared" si="36"/>
        <v>2535924.9066666672</v>
      </c>
      <c r="AI71" s="37">
        <f t="shared" si="36"/>
        <v>2088408.7466666671</v>
      </c>
      <c r="AJ71" s="37">
        <f t="shared" si="36"/>
        <v>1640892.5866666669</v>
      </c>
      <c r="AK71" s="37">
        <f t="shared" si="36"/>
        <v>1193376.4266666668</v>
      </c>
      <c r="AL71" s="37">
        <f t="shared" si="36"/>
        <v>745860.2666666666</v>
      </c>
      <c r="AM71" s="37">
        <f t="shared" ref="AM71:BN71" si="37">AM94</f>
        <v>298344.10666666657</v>
      </c>
      <c r="AN71" s="37">
        <f t="shared" si="37"/>
        <v>0</v>
      </c>
      <c r="AO71" s="37">
        <f t="shared" si="37"/>
        <v>0</v>
      </c>
      <c r="AP71" s="37">
        <f t="shared" si="37"/>
        <v>0</v>
      </c>
      <c r="AQ71" s="37">
        <f t="shared" si="37"/>
        <v>0</v>
      </c>
      <c r="AR71" s="37">
        <f t="shared" si="37"/>
        <v>0</v>
      </c>
      <c r="AS71" s="37">
        <f t="shared" si="37"/>
        <v>0</v>
      </c>
      <c r="AT71" s="37">
        <f t="shared" si="37"/>
        <v>0</v>
      </c>
      <c r="AU71" s="37">
        <f t="shared" si="37"/>
        <v>0</v>
      </c>
      <c r="AV71" s="37">
        <f t="shared" si="37"/>
        <v>0</v>
      </c>
      <c r="AW71" s="37">
        <f t="shared" si="37"/>
        <v>0</v>
      </c>
      <c r="AX71" s="37">
        <f t="shared" si="37"/>
        <v>0</v>
      </c>
      <c r="AY71" s="37">
        <f t="shared" si="37"/>
        <v>0</v>
      </c>
      <c r="AZ71" s="37">
        <f t="shared" si="37"/>
        <v>0</v>
      </c>
      <c r="BA71" s="37">
        <f t="shared" si="37"/>
        <v>0</v>
      </c>
      <c r="BB71" s="37">
        <f t="shared" si="37"/>
        <v>0</v>
      </c>
      <c r="BC71" s="37">
        <f t="shared" si="37"/>
        <v>0</v>
      </c>
      <c r="BD71" s="37">
        <f t="shared" si="37"/>
        <v>0</v>
      </c>
      <c r="BE71" s="37">
        <f t="shared" si="37"/>
        <v>0</v>
      </c>
      <c r="BF71" s="37">
        <f t="shared" si="37"/>
        <v>0</v>
      </c>
      <c r="BG71" s="37">
        <f t="shared" si="37"/>
        <v>0</v>
      </c>
      <c r="BH71" s="37">
        <f t="shared" si="37"/>
        <v>0</v>
      </c>
      <c r="BI71" s="37">
        <f t="shared" si="37"/>
        <v>0</v>
      </c>
      <c r="BJ71" s="37">
        <f t="shared" si="37"/>
        <v>0</v>
      </c>
      <c r="BK71" s="37">
        <f t="shared" si="37"/>
        <v>0</v>
      </c>
      <c r="BL71" s="37">
        <f t="shared" si="37"/>
        <v>0</v>
      </c>
      <c r="BM71" s="37">
        <f t="shared" si="37"/>
        <v>0</v>
      </c>
      <c r="BN71" s="37">
        <f t="shared" si="37"/>
        <v>0</v>
      </c>
    </row>
    <row r="72" spans="3:66">
      <c r="C72" s="37">
        <v>-4.4703483581542969E-8</v>
      </c>
      <c r="E72" s="14" t="s">
        <v>54</v>
      </c>
      <c r="F72" s="37">
        <f>SUM(G72:BN72)</f>
        <v>-1.4901161193847656E-8</v>
      </c>
      <c r="G72" s="37">
        <f t="shared" ref="G72:AL72" si="38">G98+G99-G100</f>
        <v>0</v>
      </c>
      <c r="H72" s="37">
        <f t="shared" si="38"/>
        <v>0</v>
      </c>
      <c r="I72" s="37">
        <f t="shared" si="38"/>
        <v>0</v>
      </c>
      <c r="J72" s="37">
        <f t="shared" si="38"/>
        <v>0</v>
      </c>
      <c r="K72" s="37">
        <f t="shared" si="38"/>
        <v>0</v>
      </c>
      <c r="L72" s="37">
        <f t="shared" si="38"/>
        <v>0</v>
      </c>
      <c r="M72" s="37">
        <f t="shared" si="38"/>
        <v>85923102.720000014</v>
      </c>
      <c r="N72" s="37">
        <f t="shared" si="38"/>
        <v>14320517.120000003</v>
      </c>
      <c r="O72" s="37">
        <f t="shared" si="38"/>
        <v>14320517.120000003</v>
      </c>
      <c r="P72" s="37">
        <f t="shared" si="38"/>
        <v>14320517.120000003</v>
      </c>
      <c r="Q72" s="37">
        <f t="shared" si="38"/>
        <v>14320517.120000003</v>
      </c>
      <c r="R72" s="37">
        <f t="shared" si="38"/>
        <v>14320517.120000003</v>
      </c>
      <c r="S72" s="37">
        <f t="shared" si="38"/>
        <v>14320517.120000003</v>
      </c>
      <c r="T72" s="37">
        <f t="shared" si="38"/>
        <v>14320517.120000003</v>
      </c>
      <c r="U72" s="37">
        <f t="shared" si="38"/>
        <v>14320517.120000003</v>
      </c>
      <c r="V72" s="37">
        <f t="shared" si="38"/>
        <v>14320517.120000003</v>
      </c>
      <c r="W72" s="37">
        <f t="shared" si="38"/>
        <v>14320517.120000003</v>
      </c>
      <c r="X72" s="37">
        <f t="shared" si="38"/>
        <v>14320517.120000003</v>
      </c>
      <c r="Y72" s="37">
        <f t="shared" si="38"/>
        <v>14320517.120000003</v>
      </c>
      <c r="Z72" s="37">
        <f t="shared" si="38"/>
        <v>14320517.120000003</v>
      </c>
      <c r="AA72" s="37">
        <f t="shared" si="38"/>
        <v>14320517.120000003</v>
      </c>
      <c r="AB72" s="37">
        <f t="shared" si="38"/>
        <v>14320517.120000003</v>
      </c>
      <c r="AC72" s="37">
        <f t="shared" si="38"/>
        <v>14320517.120000003</v>
      </c>
      <c r="AD72" s="37">
        <f t="shared" si="38"/>
        <v>14320517.120000003</v>
      </c>
      <c r="AE72" s="37">
        <f t="shared" si="38"/>
        <v>14320517.120000003</v>
      </c>
      <c r="AF72" s="37">
        <f t="shared" si="38"/>
        <v>14320517.120000003</v>
      </c>
      <c r="AG72" s="37">
        <f t="shared" si="38"/>
        <v>-53701939.20000001</v>
      </c>
      <c r="AH72" s="37">
        <f t="shared" si="38"/>
        <v>-53701939.20000001</v>
      </c>
      <c r="AI72" s="37">
        <f t="shared" si="38"/>
        <v>-53701939.20000001</v>
      </c>
      <c r="AJ72" s="37">
        <f t="shared" si="38"/>
        <v>-53701939.20000001</v>
      </c>
      <c r="AK72" s="37">
        <f t="shared" si="38"/>
        <v>-53701939.20000001</v>
      </c>
      <c r="AL72" s="37">
        <f t="shared" si="38"/>
        <v>-53701939.20000001</v>
      </c>
      <c r="AM72" s="37">
        <f t="shared" ref="AM72:BN72" si="39">AM98+AM99-AM100</f>
        <v>-35801292.800000004</v>
      </c>
      <c r="AN72" s="37">
        <f t="shared" si="39"/>
        <v>0</v>
      </c>
      <c r="AO72" s="37">
        <f t="shared" si="39"/>
        <v>0</v>
      </c>
      <c r="AP72" s="37">
        <f t="shared" si="39"/>
        <v>0</v>
      </c>
      <c r="AQ72" s="37">
        <f t="shared" si="39"/>
        <v>0</v>
      </c>
      <c r="AR72" s="37">
        <f t="shared" si="39"/>
        <v>0</v>
      </c>
      <c r="AS72" s="37">
        <f t="shared" si="39"/>
        <v>0</v>
      </c>
      <c r="AT72" s="37">
        <f t="shared" si="39"/>
        <v>0</v>
      </c>
      <c r="AU72" s="37">
        <f t="shared" si="39"/>
        <v>0</v>
      </c>
      <c r="AV72" s="37">
        <f t="shared" si="39"/>
        <v>0</v>
      </c>
      <c r="AW72" s="37">
        <f t="shared" si="39"/>
        <v>0</v>
      </c>
      <c r="AX72" s="37">
        <f t="shared" si="39"/>
        <v>0</v>
      </c>
      <c r="AY72" s="37">
        <f t="shared" si="39"/>
        <v>0</v>
      </c>
      <c r="AZ72" s="37">
        <f t="shared" si="39"/>
        <v>0</v>
      </c>
      <c r="BA72" s="37">
        <f t="shared" si="39"/>
        <v>0</v>
      </c>
      <c r="BB72" s="37">
        <f t="shared" si="39"/>
        <v>0</v>
      </c>
      <c r="BC72" s="37">
        <f t="shared" si="39"/>
        <v>0</v>
      </c>
      <c r="BD72" s="37">
        <f t="shared" si="39"/>
        <v>0</v>
      </c>
      <c r="BE72" s="37">
        <f t="shared" si="39"/>
        <v>0</v>
      </c>
      <c r="BF72" s="37">
        <f t="shared" si="39"/>
        <v>0</v>
      </c>
      <c r="BG72" s="37">
        <f t="shared" si="39"/>
        <v>0</v>
      </c>
      <c r="BH72" s="37">
        <f t="shared" si="39"/>
        <v>0</v>
      </c>
      <c r="BI72" s="37">
        <f t="shared" si="39"/>
        <v>0</v>
      </c>
      <c r="BJ72" s="37">
        <f t="shared" si="39"/>
        <v>0</v>
      </c>
      <c r="BK72" s="37">
        <f t="shared" si="39"/>
        <v>0</v>
      </c>
      <c r="BL72" s="37">
        <f t="shared" si="39"/>
        <v>0</v>
      </c>
      <c r="BM72" s="37">
        <f t="shared" si="39"/>
        <v>0</v>
      </c>
      <c r="BN72" s="37">
        <f t="shared" si="39"/>
        <v>0</v>
      </c>
    </row>
    <row r="74" spans="3:66" ht="15.75">
      <c r="E74" s="12" t="s">
        <v>29</v>
      </c>
    </row>
    <row r="75" spans="3:66" ht="15.75" thickBot="1">
      <c r="C75" s="75">
        <v>74872000</v>
      </c>
      <c r="E75" s="15" t="s">
        <v>30</v>
      </c>
      <c r="F75" s="75">
        <f>F57-F68</f>
        <v>9329286.3999999762</v>
      </c>
      <c r="G75" s="75">
        <f t="shared" ref="G75:BN75" si="40">G57-G68</f>
        <v>-18264023.77142857</v>
      </c>
      <c r="H75" s="75">
        <f t="shared" si="40"/>
        <v>-15346097.371428572</v>
      </c>
      <c r="I75" s="75">
        <f t="shared" si="40"/>
        <v>-15346097.371428572</v>
      </c>
      <c r="J75" s="75">
        <f t="shared" si="40"/>
        <v>-15346097.371428572</v>
      </c>
      <c r="K75" s="75">
        <f t="shared" si="40"/>
        <v>-15346097.371428572</v>
      </c>
      <c r="L75" s="75">
        <f t="shared" si="40"/>
        <v>-15346097.371428572</v>
      </c>
      <c r="M75" s="75">
        <f t="shared" si="40"/>
        <v>-37101337.371428572</v>
      </c>
      <c r="N75" s="75">
        <f t="shared" si="40"/>
        <v>-23447528</v>
      </c>
      <c r="O75" s="75">
        <f t="shared" si="40"/>
        <v>-23447528</v>
      </c>
      <c r="P75" s="75">
        <f t="shared" si="40"/>
        <v>-23447528</v>
      </c>
      <c r="Q75" s="75">
        <f t="shared" si="40"/>
        <v>-23447528</v>
      </c>
      <c r="R75" s="75">
        <f t="shared" si="40"/>
        <v>-16907398.975999996</v>
      </c>
      <c r="S75" s="75">
        <f t="shared" si="40"/>
        <v>-19144979.776000001</v>
      </c>
      <c r="T75" s="75">
        <f t="shared" si="40"/>
        <v>-16907398.975999996</v>
      </c>
      <c r="U75" s="75">
        <f t="shared" si="40"/>
        <v>-16907398.975999996</v>
      </c>
      <c r="V75" s="75">
        <f t="shared" si="40"/>
        <v>-16907398.975999996</v>
      </c>
      <c r="W75" s="75">
        <f t="shared" si="40"/>
        <v>-16304375.615999999</v>
      </c>
      <c r="X75" s="75">
        <f t="shared" si="40"/>
        <v>-16140228.415999999</v>
      </c>
      <c r="Y75" s="75">
        <f t="shared" si="40"/>
        <v>-16140228.415999999</v>
      </c>
      <c r="Z75" s="75">
        <f t="shared" si="40"/>
        <v>-16140228.415999999</v>
      </c>
      <c r="AA75" s="75">
        <f t="shared" si="40"/>
        <v>-16140228.415999999</v>
      </c>
      <c r="AB75" s="75">
        <f t="shared" si="40"/>
        <v>-16140228.415999999</v>
      </c>
      <c r="AC75" s="75">
        <f t="shared" si="40"/>
        <v>-16140228.415999999</v>
      </c>
      <c r="AD75" s="75">
        <f t="shared" si="40"/>
        <v>-16140228.415999999</v>
      </c>
      <c r="AE75" s="75">
        <f t="shared" si="40"/>
        <v>-18377809.215999998</v>
      </c>
      <c r="AF75" s="75">
        <f t="shared" si="40"/>
        <v>-16140228.415999999</v>
      </c>
      <c r="AG75" s="75">
        <f t="shared" si="40"/>
        <v>78688007.423999995</v>
      </c>
      <c r="AH75" s="75">
        <f t="shared" si="40"/>
        <v>76252240.896000013</v>
      </c>
      <c r="AI75" s="75">
        <f t="shared" si="40"/>
        <v>71380707.840000004</v>
      </c>
      <c r="AJ75" s="75">
        <f t="shared" si="40"/>
        <v>71380707.840000004</v>
      </c>
      <c r="AK75" s="75">
        <f t="shared" si="40"/>
        <v>71380707.840000004</v>
      </c>
      <c r="AL75" s="75">
        <f t="shared" si="40"/>
        <v>71380707.840000004</v>
      </c>
      <c r="AM75" s="75">
        <f t="shared" si="40"/>
        <v>47023042.559999995</v>
      </c>
      <c r="AN75" s="75">
        <f t="shared" si="40"/>
        <v>-1692288</v>
      </c>
      <c r="AO75" s="75">
        <f t="shared" si="40"/>
        <v>0</v>
      </c>
      <c r="AP75" s="75">
        <f t="shared" si="40"/>
        <v>0</v>
      </c>
      <c r="AQ75" s="75">
        <f t="shared" si="40"/>
        <v>0</v>
      </c>
      <c r="AR75" s="75">
        <f t="shared" si="40"/>
        <v>0</v>
      </c>
      <c r="AS75" s="75">
        <f t="shared" si="40"/>
        <v>0</v>
      </c>
      <c r="AT75" s="75">
        <f t="shared" si="40"/>
        <v>0</v>
      </c>
      <c r="AU75" s="75">
        <f t="shared" si="40"/>
        <v>0</v>
      </c>
      <c r="AV75" s="75">
        <f t="shared" si="40"/>
        <v>0</v>
      </c>
      <c r="AW75" s="75">
        <f t="shared" si="40"/>
        <v>0</v>
      </c>
      <c r="AX75" s="75">
        <f t="shared" si="40"/>
        <v>0</v>
      </c>
      <c r="AY75" s="75">
        <f t="shared" si="40"/>
        <v>0</v>
      </c>
      <c r="AZ75" s="75">
        <f t="shared" si="40"/>
        <v>0</v>
      </c>
      <c r="BA75" s="75">
        <f t="shared" si="40"/>
        <v>0</v>
      </c>
      <c r="BB75" s="75">
        <f t="shared" si="40"/>
        <v>0</v>
      </c>
      <c r="BC75" s="75">
        <f t="shared" si="40"/>
        <v>0</v>
      </c>
      <c r="BD75" s="75">
        <f t="shared" si="40"/>
        <v>0</v>
      </c>
      <c r="BE75" s="75">
        <f t="shared" si="40"/>
        <v>0</v>
      </c>
      <c r="BF75" s="75">
        <f t="shared" si="40"/>
        <v>0</v>
      </c>
      <c r="BG75" s="75">
        <f t="shared" si="40"/>
        <v>0</v>
      </c>
      <c r="BH75" s="75">
        <f t="shared" si="40"/>
        <v>0</v>
      </c>
      <c r="BI75" s="75">
        <f t="shared" si="40"/>
        <v>0</v>
      </c>
      <c r="BJ75" s="75">
        <f t="shared" si="40"/>
        <v>0</v>
      </c>
      <c r="BK75" s="75">
        <f t="shared" si="40"/>
        <v>0</v>
      </c>
      <c r="BL75" s="75">
        <f t="shared" si="40"/>
        <v>0</v>
      </c>
      <c r="BM75" s="75">
        <f t="shared" si="40"/>
        <v>0</v>
      </c>
      <c r="BN75" s="75">
        <f t="shared" si="40"/>
        <v>0</v>
      </c>
    </row>
    <row r="76" spans="3:66" ht="15.75" thickTop="1">
      <c r="C76" s="37"/>
      <c r="E76" s="15" t="s">
        <v>31</v>
      </c>
      <c r="F76" s="37"/>
      <c r="G76" s="37">
        <f>G75</f>
        <v>-18264023.77142857</v>
      </c>
      <c r="H76" s="37">
        <f>G76+H75</f>
        <v>-33610121.142857142</v>
      </c>
      <c r="I76" s="37">
        <f t="shared" ref="I76:BN76" si="41">H76+I75</f>
        <v>-48956218.514285713</v>
      </c>
      <c r="J76" s="37">
        <f t="shared" si="41"/>
        <v>-64302315.885714285</v>
      </c>
      <c r="K76" s="37">
        <f t="shared" si="41"/>
        <v>-79648413.257142857</v>
      </c>
      <c r="L76" s="37">
        <f t="shared" si="41"/>
        <v>-94994510.628571421</v>
      </c>
      <c r="M76" s="37">
        <f t="shared" si="41"/>
        <v>-132095848</v>
      </c>
      <c r="N76" s="37">
        <f t="shared" si="41"/>
        <v>-155543376</v>
      </c>
      <c r="O76" s="37">
        <f t="shared" si="41"/>
        <v>-178990904</v>
      </c>
      <c r="P76" s="37">
        <f t="shared" si="41"/>
        <v>-202438432</v>
      </c>
      <c r="Q76" s="37">
        <f t="shared" si="41"/>
        <v>-225885960</v>
      </c>
      <c r="R76" s="37">
        <f t="shared" si="41"/>
        <v>-242793358.97600001</v>
      </c>
      <c r="S76" s="37">
        <f t="shared" si="41"/>
        <v>-261938338.752</v>
      </c>
      <c r="T76" s="37">
        <f t="shared" si="41"/>
        <v>-278845737.72799999</v>
      </c>
      <c r="U76" s="37">
        <f t="shared" si="41"/>
        <v>-295753136.704</v>
      </c>
      <c r="V76" s="37">
        <f t="shared" si="41"/>
        <v>-312660535.68000001</v>
      </c>
      <c r="W76" s="37">
        <f t="shared" si="41"/>
        <v>-328964911.296</v>
      </c>
      <c r="X76" s="37">
        <f t="shared" si="41"/>
        <v>-345105139.71200001</v>
      </c>
      <c r="Y76" s="37">
        <f t="shared" si="41"/>
        <v>-361245368.12800002</v>
      </c>
      <c r="Z76" s="37">
        <f t="shared" si="41"/>
        <v>-377385596.54400003</v>
      </c>
      <c r="AA76" s="37">
        <f t="shared" si="41"/>
        <v>-393525824.96000004</v>
      </c>
      <c r="AB76" s="37">
        <f t="shared" si="41"/>
        <v>-409666053.37600005</v>
      </c>
      <c r="AC76" s="37">
        <f t="shared" si="41"/>
        <v>-425806281.79200006</v>
      </c>
      <c r="AD76" s="37">
        <f t="shared" si="41"/>
        <v>-441946510.20800006</v>
      </c>
      <c r="AE76" s="37">
        <f t="shared" si="41"/>
        <v>-460324319.42400008</v>
      </c>
      <c r="AF76" s="37">
        <f t="shared" si="41"/>
        <v>-476464547.84000009</v>
      </c>
      <c r="AG76" s="37">
        <f t="shared" si="41"/>
        <v>-397776540.41600013</v>
      </c>
      <c r="AH76" s="37">
        <f t="shared" si="41"/>
        <v>-321524299.5200001</v>
      </c>
      <c r="AI76" s="37">
        <f t="shared" si="41"/>
        <v>-250143591.6800001</v>
      </c>
      <c r="AJ76" s="37">
        <f t="shared" si="41"/>
        <v>-178762883.84000009</v>
      </c>
      <c r="AK76" s="37">
        <f t="shared" si="41"/>
        <v>-107382176.00000009</v>
      </c>
      <c r="AL76" s="37">
        <f t="shared" si="41"/>
        <v>-36001468.160000086</v>
      </c>
      <c r="AM76" s="37">
        <f t="shared" si="41"/>
        <v>11021574.399999909</v>
      </c>
      <c r="AN76" s="37">
        <f t="shared" si="41"/>
        <v>9329286.3999999091</v>
      </c>
      <c r="AO76" s="37">
        <f t="shared" si="41"/>
        <v>9329286.3999999091</v>
      </c>
      <c r="AP76" s="37">
        <f t="shared" si="41"/>
        <v>9329286.3999999091</v>
      </c>
      <c r="AQ76" s="37">
        <f t="shared" si="41"/>
        <v>9329286.3999999091</v>
      </c>
      <c r="AR76" s="37">
        <f t="shared" si="41"/>
        <v>9329286.3999999091</v>
      </c>
      <c r="AS76" s="37">
        <f t="shared" si="41"/>
        <v>9329286.3999999091</v>
      </c>
      <c r="AT76" s="37">
        <f t="shared" si="41"/>
        <v>9329286.3999999091</v>
      </c>
      <c r="AU76" s="37">
        <f t="shared" si="41"/>
        <v>9329286.3999999091</v>
      </c>
      <c r="AV76" s="37">
        <f t="shared" si="41"/>
        <v>9329286.3999999091</v>
      </c>
      <c r="AW76" s="37">
        <f t="shared" si="41"/>
        <v>9329286.3999999091</v>
      </c>
      <c r="AX76" s="37">
        <f t="shared" si="41"/>
        <v>9329286.3999999091</v>
      </c>
      <c r="AY76" s="37">
        <f t="shared" si="41"/>
        <v>9329286.3999999091</v>
      </c>
      <c r="AZ76" s="37">
        <f t="shared" si="41"/>
        <v>9329286.3999999091</v>
      </c>
      <c r="BA76" s="37">
        <f t="shared" si="41"/>
        <v>9329286.3999999091</v>
      </c>
      <c r="BB76" s="37">
        <f t="shared" si="41"/>
        <v>9329286.3999999091</v>
      </c>
      <c r="BC76" s="37">
        <f t="shared" si="41"/>
        <v>9329286.3999999091</v>
      </c>
      <c r="BD76" s="37">
        <f t="shared" si="41"/>
        <v>9329286.3999999091</v>
      </c>
      <c r="BE76" s="37">
        <f t="shared" si="41"/>
        <v>9329286.3999999091</v>
      </c>
      <c r="BF76" s="37">
        <f t="shared" si="41"/>
        <v>9329286.3999999091</v>
      </c>
      <c r="BG76" s="37">
        <f t="shared" si="41"/>
        <v>9329286.3999999091</v>
      </c>
      <c r="BH76" s="37">
        <f t="shared" si="41"/>
        <v>9329286.3999999091</v>
      </c>
      <c r="BI76" s="37">
        <f t="shared" si="41"/>
        <v>9329286.3999999091</v>
      </c>
      <c r="BJ76" s="37">
        <f t="shared" si="41"/>
        <v>9329286.3999999091</v>
      </c>
      <c r="BK76" s="37">
        <f t="shared" si="41"/>
        <v>9329286.3999999091</v>
      </c>
      <c r="BL76" s="37">
        <f t="shared" si="41"/>
        <v>9329286.3999999091</v>
      </c>
      <c r="BM76" s="37">
        <f t="shared" si="41"/>
        <v>9329286.3999999091</v>
      </c>
      <c r="BN76" s="37">
        <f t="shared" si="41"/>
        <v>9329286.3999999091</v>
      </c>
    </row>
    <row r="78" spans="3:66" ht="15.75">
      <c r="E78" s="12" t="s">
        <v>32</v>
      </c>
    </row>
    <row r="79" spans="3:66" ht="15.75" thickBot="1">
      <c r="C79" s="75">
        <v>81120000.000000045</v>
      </c>
      <c r="E79" s="15" t="s">
        <v>30</v>
      </c>
      <c r="F79" s="75">
        <f>F57-F68-F71</f>
        <v>-36168189.866666712</v>
      </c>
      <c r="G79" s="75">
        <f>G75+G72-G71</f>
        <v>-18264023.77142857</v>
      </c>
      <c r="H79" s="75">
        <f t="shared" ref="H79:BN79" si="42">H75+H72-H71</f>
        <v>-15346097.371428572</v>
      </c>
      <c r="I79" s="75">
        <f t="shared" si="42"/>
        <v>-15346097.371428572</v>
      </c>
      <c r="J79" s="75">
        <f t="shared" si="42"/>
        <v>-15346097.371428572</v>
      </c>
      <c r="K79" s="75">
        <f t="shared" si="42"/>
        <v>-15346097.371428572</v>
      </c>
      <c r="L79" s="75">
        <f t="shared" si="42"/>
        <v>-15346097.371428572</v>
      </c>
      <c r="M79" s="75">
        <f t="shared" si="42"/>
        <v>48821765.348571442</v>
      </c>
      <c r="N79" s="75">
        <f t="shared" si="42"/>
        <v>-9843036.7359999977</v>
      </c>
      <c r="O79" s="75">
        <f t="shared" si="42"/>
        <v>-9962374.3786666635</v>
      </c>
      <c r="P79" s="75">
        <f t="shared" si="42"/>
        <v>-10081712.021333331</v>
      </c>
      <c r="Q79" s="75">
        <f t="shared" si="42"/>
        <v>-10201049.663999997</v>
      </c>
      <c r="R79" s="75">
        <f t="shared" si="42"/>
        <v>-3780258.2826666599</v>
      </c>
      <c r="S79" s="75">
        <f t="shared" si="42"/>
        <v>-6137176.7253333312</v>
      </c>
      <c r="T79" s="75">
        <f t="shared" si="42"/>
        <v>-4018933.5679999935</v>
      </c>
      <c r="U79" s="75">
        <f t="shared" si="42"/>
        <v>-4138271.2106666602</v>
      </c>
      <c r="V79" s="75">
        <f t="shared" si="42"/>
        <v>-4257608.853333327</v>
      </c>
      <c r="W79" s="75">
        <f t="shared" si="42"/>
        <v>-3773923.1359999962</v>
      </c>
      <c r="X79" s="75">
        <f t="shared" si="42"/>
        <v>-3729113.5786666637</v>
      </c>
      <c r="Y79" s="75">
        <f t="shared" si="42"/>
        <v>-3848451.22133333</v>
      </c>
      <c r="Z79" s="75">
        <f t="shared" si="42"/>
        <v>-3967788.8639999968</v>
      </c>
      <c r="AA79" s="75">
        <f t="shared" si="42"/>
        <v>-4087126.5066666631</v>
      </c>
      <c r="AB79" s="75">
        <f t="shared" si="42"/>
        <v>-4206464.1493333299</v>
      </c>
      <c r="AC79" s="75">
        <f t="shared" si="42"/>
        <v>-4325801.7919999966</v>
      </c>
      <c r="AD79" s="75">
        <f t="shared" si="42"/>
        <v>-4445139.4346666634</v>
      </c>
      <c r="AE79" s="75">
        <f t="shared" si="42"/>
        <v>-6802057.8773333291</v>
      </c>
      <c r="AF79" s="75">
        <f t="shared" si="42"/>
        <v>-4683814.7199999969</v>
      </c>
      <c r="AG79" s="75">
        <f t="shared" si="42"/>
        <v>22002627.157333318</v>
      </c>
      <c r="AH79" s="75">
        <f t="shared" si="42"/>
        <v>20014376.789333336</v>
      </c>
      <c r="AI79" s="75">
        <f t="shared" si="42"/>
        <v>15590359.893333327</v>
      </c>
      <c r="AJ79" s="75">
        <f t="shared" si="42"/>
        <v>16037876.053333327</v>
      </c>
      <c r="AK79" s="75">
        <f t="shared" si="42"/>
        <v>16485392.213333327</v>
      </c>
      <c r="AL79" s="75">
        <f t="shared" si="42"/>
        <v>16932908.373333327</v>
      </c>
      <c r="AM79" s="75">
        <f t="shared" si="42"/>
        <v>10923405.653333323</v>
      </c>
      <c r="AN79" s="75">
        <f t="shared" si="42"/>
        <v>-1692288</v>
      </c>
      <c r="AO79" s="75">
        <f t="shared" si="42"/>
        <v>0</v>
      </c>
      <c r="AP79" s="75">
        <f t="shared" si="42"/>
        <v>0</v>
      </c>
      <c r="AQ79" s="75">
        <f t="shared" si="42"/>
        <v>0</v>
      </c>
      <c r="AR79" s="75">
        <f t="shared" si="42"/>
        <v>0</v>
      </c>
      <c r="AS79" s="75">
        <f t="shared" si="42"/>
        <v>0</v>
      </c>
      <c r="AT79" s="75">
        <f t="shared" si="42"/>
        <v>0</v>
      </c>
      <c r="AU79" s="75">
        <f t="shared" si="42"/>
        <v>0</v>
      </c>
      <c r="AV79" s="75">
        <f t="shared" si="42"/>
        <v>0</v>
      </c>
      <c r="AW79" s="75">
        <f t="shared" si="42"/>
        <v>0</v>
      </c>
      <c r="AX79" s="75">
        <f t="shared" si="42"/>
        <v>0</v>
      </c>
      <c r="AY79" s="75">
        <f t="shared" si="42"/>
        <v>0</v>
      </c>
      <c r="AZ79" s="75">
        <f t="shared" si="42"/>
        <v>0</v>
      </c>
      <c r="BA79" s="75">
        <f t="shared" si="42"/>
        <v>0</v>
      </c>
      <c r="BB79" s="75">
        <f t="shared" si="42"/>
        <v>0</v>
      </c>
      <c r="BC79" s="75">
        <f t="shared" si="42"/>
        <v>0</v>
      </c>
      <c r="BD79" s="75">
        <f t="shared" si="42"/>
        <v>0</v>
      </c>
      <c r="BE79" s="75">
        <f t="shared" si="42"/>
        <v>0</v>
      </c>
      <c r="BF79" s="75">
        <f t="shared" si="42"/>
        <v>0</v>
      </c>
      <c r="BG79" s="75">
        <f t="shared" si="42"/>
        <v>0</v>
      </c>
      <c r="BH79" s="75">
        <f t="shared" si="42"/>
        <v>0</v>
      </c>
      <c r="BI79" s="75">
        <f t="shared" si="42"/>
        <v>0</v>
      </c>
      <c r="BJ79" s="75">
        <f t="shared" si="42"/>
        <v>0</v>
      </c>
      <c r="BK79" s="75">
        <f t="shared" si="42"/>
        <v>0</v>
      </c>
      <c r="BL79" s="75">
        <f t="shared" si="42"/>
        <v>0</v>
      </c>
      <c r="BM79" s="75">
        <f t="shared" si="42"/>
        <v>0</v>
      </c>
      <c r="BN79" s="75">
        <f t="shared" si="42"/>
        <v>0</v>
      </c>
    </row>
    <row r="80" spans="3:66" ht="15.75" thickTop="1">
      <c r="E80" s="15" t="s">
        <v>31</v>
      </c>
      <c r="F80" s="37"/>
      <c r="G80" s="37">
        <f>G79</f>
        <v>-18264023.77142857</v>
      </c>
      <c r="H80" s="37">
        <f>G80+H79</f>
        <v>-33610121.142857142</v>
      </c>
      <c r="I80" s="37">
        <f t="shared" ref="I80:BN80" si="43">H80+I79</f>
        <v>-48956218.514285713</v>
      </c>
      <c r="J80" s="37">
        <f t="shared" si="43"/>
        <v>-64302315.885714285</v>
      </c>
      <c r="K80" s="37">
        <f t="shared" si="43"/>
        <v>-79648413.257142857</v>
      </c>
      <c r="L80" s="37">
        <f t="shared" si="43"/>
        <v>-94994510.628571421</v>
      </c>
      <c r="M80" s="37">
        <f t="shared" si="43"/>
        <v>-46172745.279999979</v>
      </c>
      <c r="N80" s="37">
        <f t="shared" si="43"/>
        <v>-56015782.015999973</v>
      </c>
      <c r="O80" s="37">
        <f t="shared" si="43"/>
        <v>-65978156.394666635</v>
      </c>
      <c r="P80" s="37">
        <f t="shared" si="43"/>
        <v>-76059868.415999964</v>
      </c>
      <c r="Q80" s="37">
        <f t="shared" si="43"/>
        <v>-86260918.079999954</v>
      </c>
      <c r="R80" s="37">
        <f t="shared" si="43"/>
        <v>-90041176.362666607</v>
      </c>
      <c r="S80" s="37">
        <f t="shared" si="43"/>
        <v>-96178353.08799994</v>
      </c>
      <c r="T80" s="37">
        <f t="shared" si="43"/>
        <v>-100197286.65599993</v>
      </c>
      <c r="U80" s="37">
        <f t="shared" si="43"/>
        <v>-104335557.86666659</v>
      </c>
      <c r="V80" s="37">
        <f t="shared" si="43"/>
        <v>-108593166.71999991</v>
      </c>
      <c r="W80" s="37">
        <f t="shared" si="43"/>
        <v>-112367089.8559999</v>
      </c>
      <c r="X80" s="37">
        <f t="shared" si="43"/>
        <v>-116096203.43466656</v>
      </c>
      <c r="Y80" s="37">
        <f t="shared" si="43"/>
        <v>-119944654.65599988</v>
      </c>
      <c r="Z80" s="37">
        <f t="shared" si="43"/>
        <v>-123912443.51999988</v>
      </c>
      <c r="AA80" s="37">
        <f t="shared" si="43"/>
        <v>-127999570.02666654</v>
      </c>
      <c r="AB80" s="37">
        <f t="shared" si="43"/>
        <v>-132206034.17599986</v>
      </c>
      <c r="AC80" s="37">
        <f t="shared" si="43"/>
        <v>-136531835.96799988</v>
      </c>
      <c r="AD80" s="37">
        <f t="shared" si="43"/>
        <v>-140976975.40266654</v>
      </c>
      <c r="AE80" s="37">
        <f t="shared" si="43"/>
        <v>-147779033.27999988</v>
      </c>
      <c r="AF80" s="37">
        <f t="shared" si="43"/>
        <v>-152462847.99999988</v>
      </c>
      <c r="AG80" s="37">
        <f t="shared" si="43"/>
        <v>-130460220.84266657</v>
      </c>
      <c r="AH80" s="37">
        <f t="shared" si="43"/>
        <v>-110445844.05333322</v>
      </c>
      <c r="AI80" s="37">
        <f t="shared" si="43"/>
        <v>-94855484.159999892</v>
      </c>
      <c r="AJ80" s="37">
        <f t="shared" si="43"/>
        <v>-78817608.106666565</v>
      </c>
      <c r="AK80" s="37">
        <f t="shared" si="43"/>
        <v>-62332215.893333241</v>
      </c>
      <c r="AL80" s="37">
        <f t="shared" si="43"/>
        <v>-45399307.519999914</v>
      </c>
      <c r="AM80" s="37">
        <f t="shared" si="43"/>
        <v>-34475901.866666593</v>
      </c>
      <c r="AN80" s="37">
        <f t="shared" si="43"/>
        <v>-36168189.866666593</v>
      </c>
      <c r="AO80" s="37">
        <f t="shared" si="43"/>
        <v>-36168189.866666593</v>
      </c>
      <c r="AP80" s="37">
        <f t="shared" si="43"/>
        <v>-36168189.866666593</v>
      </c>
      <c r="AQ80" s="37">
        <f t="shared" si="43"/>
        <v>-36168189.866666593</v>
      </c>
      <c r="AR80" s="37">
        <f t="shared" si="43"/>
        <v>-36168189.866666593</v>
      </c>
      <c r="AS80" s="37">
        <f t="shared" si="43"/>
        <v>-36168189.866666593</v>
      </c>
      <c r="AT80" s="37">
        <f t="shared" si="43"/>
        <v>-36168189.866666593</v>
      </c>
      <c r="AU80" s="37">
        <f t="shared" si="43"/>
        <v>-36168189.866666593</v>
      </c>
      <c r="AV80" s="37">
        <f t="shared" si="43"/>
        <v>-36168189.866666593</v>
      </c>
      <c r="AW80" s="37">
        <f t="shared" si="43"/>
        <v>-36168189.866666593</v>
      </c>
      <c r="AX80" s="37">
        <f t="shared" si="43"/>
        <v>-36168189.866666593</v>
      </c>
      <c r="AY80" s="37">
        <f t="shared" si="43"/>
        <v>-36168189.866666593</v>
      </c>
      <c r="AZ80" s="37">
        <f t="shared" si="43"/>
        <v>-36168189.866666593</v>
      </c>
      <c r="BA80" s="37">
        <f t="shared" si="43"/>
        <v>-36168189.866666593</v>
      </c>
      <c r="BB80" s="37">
        <f t="shared" si="43"/>
        <v>-36168189.866666593</v>
      </c>
      <c r="BC80" s="37">
        <f t="shared" si="43"/>
        <v>-36168189.866666593</v>
      </c>
      <c r="BD80" s="37">
        <f t="shared" si="43"/>
        <v>-36168189.866666593</v>
      </c>
      <c r="BE80" s="37">
        <f t="shared" si="43"/>
        <v>-36168189.866666593</v>
      </c>
      <c r="BF80" s="37">
        <f t="shared" si="43"/>
        <v>-36168189.866666593</v>
      </c>
      <c r="BG80" s="37">
        <f t="shared" si="43"/>
        <v>-36168189.866666593</v>
      </c>
      <c r="BH80" s="37">
        <f t="shared" si="43"/>
        <v>-36168189.866666593</v>
      </c>
      <c r="BI80" s="37">
        <f t="shared" si="43"/>
        <v>-36168189.866666593</v>
      </c>
      <c r="BJ80" s="37">
        <f t="shared" si="43"/>
        <v>-36168189.866666593</v>
      </c>
      <c r="BK80" s="37">
        <f t="shared" si="43"/>
        <v>-36168189.866666593</v>
      </c>
      <c r="BL80" s="37">
        <f t="shared" si="43"/>
        <v>-36168189.866666593</v>
      </c>
      <c r="BM80" s="37">
        <f t="shared" si="43"/>
        <v>-36168189.866666593</v>
      </c>
      <c r="BN80" s="37">
        <f t="shared" si="43"/>
        <v>-36168189.866666593</v>
      </c>
    </row>
    <row r="87" spans="1:54">
      <c r="A87" s="2" t="s">
        <v>27</v>
      </c>
      <c r="B87" s="1"/>
      <c r="C87" s="1"/>
    </row>
    <row r="88" spans="1:54" outlineLevel="1">
      <c r="A88" s="6" t="s">
        <v>55</v>
      </c>
      <c r="B88" s="6"/>
    </row>
    <row r="89" spans="1:54" outlineLevel="1"/>
    <row r="90" spans="1:54" outlineLevel="1">
      <c r="A90" t="s">
        <v>56</v>
      </c>
      <c r="C90" s="23">
        <f>B9*B18</f>
        <v>639308800</v>
      </c>
      <c r="F90" s="55">
        <f>SUM(G90:BB90)</f>
        <v>1.0000000000000002</v>
      </c>
      <c r="G90" s="20">
        <f t="shared" ref="G90:BB90" si="44">G62/$F$62</f>
        <v>0</v>
      </c>
      <c r="H90" s="20">
        <f t="shared" si="44"/>
        <v>0</v>
      </c>
      <c r="I90" s="20">
        <f t="shared" si="44"/>
        <v>0</v>
      </c>
      <c r="J90" s="20">
        <f t="shared" si="44"/>
        <v>0</v>
      </c>
      <c r="K90" s="20">
        <f t="shared" si="44"/>
        <v>0</v>
      </c>
      <c r="L90" s="20">
        <f t="shared" si="44"/>
        <v>0</v>
      </c>
      <c r="M90" s="20">
        <f t="shared" si="44"/>
        <v>0.05</v>
      </c>
      <c r="N90" s="20">
        <f t="shared" si="44"/>
        <v>0.05</v>
      </c>
      <c r="O90" s="20">
        <f t="shared" si="44"/>
        <v>0.05</v>
      </c>
      <c r="P90" s="20">
        <f t="shared" si="44"/>
        <v>0.05</v>
      </c>
      <c r="Q90" s="20">
        <f t="shared" si="44"/>
        <v>0.05</v>
      </c>
      <c r="R90" s="20">
        <f t="shared" si="44"/>
        <v>0.05</v>
      </c>
      <c r="S90" s="20">
        <f t="shared" si="44"/>
        <v>0.05</v>
      </c>
      <c r="T90" s="20">
        <f t="shared" si="44"/>
        <v>0.05</v>
      </c>
      <c r="U90" s="20">
        <f t="shared" si="44"/>
        <v>0.05</v>
      </c>
      <c r="V90" s="20">
        <f t="shared" si="44"/>
        <v>0.05</v>
      </c>
      <c r="W90" s="20">
        <f t="shared" si="44"/>
        <v>0.05</v>
      </c>
      <c r="X90" s="20">
        <f t="shared" si="44"/>
        <v>0.05</v>
      </c>
      <c r="Y90" s="20">
        <f t="shared" si="44"/>
        <v>0.05</v>
      </c>
      <c r="Z90" s="20">
        <f t="shared" si="44"/>
        <v>0.05</v>
      </c>
      <c r="AA90" s="20">
        <f t="shared" si="44"/>
        <v>0.05</v>
      </c>
      <c r="AB90" s="20">
        <f t="shared" si="44"/>
        <v>0.05</v>
      </c>
      <c r="AC90" s="20">
        <f t="shared" si="44"/>
        <v>0.05</v>
      </c>
      <c r="AD90" s="20">
        <f t="shared" si="44"/>
        <v>0.05</v>
      </c>
      <c r="AE90" s="20">
        <f t="shared" si="44"/>
        <v>0.05</v>
      </c>
      <c r="AF90" s="20">
        <f t="shared" si="44"/>
        <v>0.05</v>
      </c>
      <c r="AG90" s="20">
        <f t="shared" si="44"/>
        <v>0</v>
      </c>
      <c r="AH90" s="20">
        <f t="shared" si="44"/>
        <v>0</v>
      </c>
      <c r="AI90" s="20">
        <f t="shared" si="44"/>
        <v>0</v>
      </c>
      <c r="AJ90" s="20">
        <f t="shared" si="44"/>
        <v>0</v>
      </c>
      <c r="AK90" s="20">
        <f t="shared" si="44"/>
        <v>0</v>
      </c>
      <c r="AL90" s="20">
        <f t="shared" si="44"/>
        <v>0</v>
      </c>
      <c r="AM90" s="20">
        <f t="shared" si="44"/>
        <v>0</v>
      </c>
      <c r="AN90" s="20">
        <f t="shared" si="44"/>
        <v>0</v>
      </c>
      <c r="AO90" s="20">
        <f t="shared" si="44"/>
        <v>0</v>
      </c>
      <c r="AP90" s="20">
        <f t="shared" si="44"/>
        <v>0</v>
      </c>
      <c r="AQ90" s="20">
        <f t="shared" si="44"/>
        <v>0</v>
      </c>
      <c r="AR90" s="20">
        <f t="shared" si="44"/>
        <v>0</v>
      </c>
      <c r="AS90" s="20">
        <f t="shared" si="44"/>
        <v>0</v>
      </c>
      <c r="AT90" s="20">
        <f t="shared" si="44"/>
        <v>0</v>
      </c>
      <c r="AU90" s="20">
        <f t="shared" si="44"/>
        <v>0</v>
      </c>
      <c r="AV90" s="20">
        <f t="shared" si="44"/>
        <v>0</v>
      </c>
      <c r="AW90" s="20">
        <f t="shared" si="44"/>
        <v>0</v>
      </c>
      <c r="AX90" s="20">
        <f t="shared" si="44"/>
        <v>0</v>
      </c>
      <c r="AY90" s="20">
        <f t="shared" si="44"/>
        <v>0</v>
      </c>
      <c r="AZ90" s="20">
        <f t="shared" si="44"/>
        <v>0</v>
      </c>
      <c r="BA90" s="20">
        <f t="shared" si="44"/>
        <v>0</v>
      </c>
      <c r="BB90" s="20">
        <f t="shared" si="44"/>
        <v>0</v>
      </c>
    </row>
    <row r="91" spans="1:54" outlineLevel="1">
      <c r="A91" t="s">
        <v>61</v>
      </c>
      <c r="C91" s="35">
        <f>B35</f>
        <v>0.1</v>
      </c>
      <c r="F91" s="55">
        <f>SUM(G91:BB91)</f>
        <v>1</v>
      </c>
      <c r="G91" s="20">
        <f t="shared" ref="G91:BB91" si="45">G51/$F$51</f>
        <v>0</v>
      </c>
      <c r="H91" s="20">
        <f t="shared" si="45"/>
        <v>0</v>
      </c>
      <c r="I91" s="20">
        <f t="shared" si="45"/>
        <v>0</v>
      </c>
      <c r="J91" s="20">
        <f t="shared" si="45"/>
        <v>0</v>
      </c>
      <c r="K91" s="20">
        <f t="shared" si="45"/>
        <v>0</v>
      </c>
      <c r="L91" s="20">
        <f t="shared" si="45"/>
        <v>0</v>
      </c>
      <c r="M91" s="20">
        <f t="shared" si="45"/>
        <v>0</v>
      </c>
      <c r="N91" s="20">
        <f t="shared" si="45"/>
        <v>0</v>
      </c>
      <c r="O91" s="20">
        <f t="shared" si="45"/>
        <v>0</v>
      </c>
      <c r="P91" s="20">
        <f t="shared" si="45"/>
        <v>0</v>
      </c>
      <c r="Q91" s="20">
        <f t="shared" si="45"/>
        <v>0</v>
      </c>
      <c r="R91" s="20">
        <f t="shared" si="45"/>
        <v>0</v>
      </c>
      <c r="S91" s="20">
        <f t="shared" si="45"/>
        <v>0</v>
      </c>
      <c r="T91" s="20">
        <f t="shared" si="45"/>
        <v>0</v>
      </c>
      <c r="U91" s="20">
        <f t="shared" si="45"/>
        <v>0</v>
      </c>
      <c r="V91" s="20">
        <f t="shared" si="45"/>
        <v>0</v>
      </c>
      <c r="W91" s="20">
        <f t="shared" si="45"/>
        <v>0</v>
      </c>
      <c r="X91" s="20">
        <f t="shared" si="45"/>
        <v>0</v>
      </c>
      <c r="Y91" s="20">
        <f t="shared" si="45"/>
        <v>0</v>
      </c>
      <c r="Z91" s="20">
        <f t="shared" si="45"/>
        <v>0</v>
      </c>
      <c r="AA91" s="20">
        <f t="shared" si="45"/>
        <v>0</v>
      </c>
      <c r="AB91" s="20">
        <f t="shared" si="45"/>
        <v>0</v>
      </c>
      <c r="AC91" s="20">
        <f t="shared" si="45"/>
        <v>0</v>
      </c>
      <c r="AD91" s="20">
        <f t="shared" si="45"/>
        <v>0</v>
      </c>
      <c r="AE91" s="20">
        <f t="shared" si="45"/>
        <v>0</v>
      </c>
      <c r="AF91" s="20">
        <f t="shared" si="45"/>
        <v>0</v>
      </c>
      <c r="AG91" s="20">
        <f t="shared" si="45"/>
        <v>0.15</v>
      </c>
      <c r="AH91" s="20">
        <f t="shared" si="45"/>
        <v>0.15</v>
      </c>
      <c r="AI91" s="20">
        <f t="shared" si="45"/>
        <v>0.15</v>
      </c>
      <c r="AJ91" s="20">
        <f t="shared" si="45"/>
        <v>0.15</v>
      </c>
      <c r="AK91" s="20">
        <f t="shared" si="45"/>
        <v>0.15</v>
      </c>
      <c r="AL91" s="20">
        <f t="shared" si="45"/>
        <v>0.15</v>
      </c>
      <c r="AM91" s="20">
        <f t="shared" si="45"/>
        <v>0.1</v>
      </c>
      <c r="AN91" s="20">
        <f t="shared" si="45"/>
        <v>0</v>
      </c>
      <c r="AO91" s="20">
        <f t="shared" si="45"/>
        <v>0</v>
      </c>
      <c r="AP91" s="20">
        <f t="shared" si="45"/>
        <v>0</v>
      </c>
      <c r="AQ91" s="20">
        <f t="shared" si="45"/>
        <v>0</v>
      </c>
      <c r="AR91" s="20">
        <f t="shared" si="45"/>
        <v>0</v>
      </c>
      <c r="AS91" s="20">
        <f t="shared" si="45"/>
        <v>0</v>
      </c>
      <c r="AT91" s="20">
        <f t="shared" si="45"/>
        <v>0</v>
      </c>
      <c r="AU91" s="20">
        <f t="shared" si="45"/>
        <v>0</v>
      </c>
      <c r="AV91" s="20">
        <f t="shared" si="45"/>
        <v>0</v>
      </c>
      <c r="AW91" s="20">
        <f t="shared" si="45"/>
        <v>0</v>
      </c>
      <c r="AX91" s="20">
        <f t="shared" si="45"/>
        <v>0</v>
      </c>
      <c r="AY91" s="20">
        <f t="shared" si="45"/>
        <v>0</v>
      </c>
      <c r="AZ91" s="20">
        <f t="shared" si="45"/>
        <v>0</v>
      </c>
      <c r="BA91" s="20">
        <f t="shared" si="45"/>
        <v>0</v>
      </c>
      <c r="BB91" s="20">
        <f t="shared" si="45"/>
        <v>0</v>
      </c>
    </row>
    <row r="92" spans="1:54" outlineLevel="1">
      <c r="A92" s="26" t="s">
        <v>64</v>
      </c>
      <c r="C92" s="23">
        <f>B33*C90</f>
        <v>358012928.00000006</v>
      </c>
    </row>
    <row r="93" spans="1:54" ht="15.75" outlineLevel="1">
      <c r="A93" t="s">
        <v>66</v>
      </c>
      <c r="C93" s="40">
        <f>B12</f>
        <v>7</v>
      </c>
      <c r="E93" s="27" t="s">
        <v>59</v>
      </c>
    </row>
    <row r="94" spans="1:54" outlineLevel="1">
      <c r="A94" t="s">
        <v>68</v>
      </c>
      <c r="C94" s="35">
        <v>5.0000000000000001E-3</v>
      </c>
      <c r="E94" s="28" t="s">
        <v>60</v>
      </c>
      <c r="F94" s="29">
        <f>SUM(G94:BB94)</f>
        <v>45497476.266666688</v>
      </c>
      <c r="G94" s="30">
        <f t="shared" ref="G94:BB94" si="46">F101*($C91/12)</f>
        <v>0</v>
      </c>
      <c r="H94" s="30">
        <f t="shared" si="46"/>
        <v>0</v>
      </c>
      <c r="I94" s="30">
        <f t="shared" si="46"/>
        <v>0</v>
      </c>
      <c r="J94" s="30">
        <f t="shared" si="46"/>
        <v>0</v>
      </c>
      <c r="K94" s="30">
        <f t="shared" si="46"/>
        <v>0</v>
      </c>
      <c r="L94" s="30">
        <f t="shared" si="46"/>
        <v>0</v>
      </c>
      <c r="M94" s="30">
        <f t="shared" si="46"/>
        <v>0</v>
      </c>
      <c r="N94" s="30">
        <f t="shared" si="46"/>
        <v>716025.85600000015</v>
      </c>
      <c r="O94" s="30">
        <f t="shared" si="46"/>
        <v>835363.4986666668</v>
      </c>
      <c r="P94" s="30">
        <f t="shared" si="46"/>
        <v>954701.14133333357</v>
      </c>
      <c r="Q94" s="30">
        <f t="shared" si="46"/>
        <v>1074038.7840000002</v>
      </c>
      <c r="R94" s="30">
        <f t="shared" si="46"/>
        <v>1193376.4266666668</v>
      </c>
      <c r="S94" s="30">
        <f t="shared" si="46"/>
        <v>1312714.0693333335</v>
      </c>
      <c r="T94" s="30">
        <f t="shared" si="46"/>
        <v>1432051.7120000003</v>
      </c>
      <c r="U94" s="30">
        <f t="shared" si="46"/>
        <v>1551389.3546666668</v>
      </c>
      <c r="V94" s="30">
        <f t="shared" si="46"/>
        <v>1670726.9973333336</v>
      </c>
      <c r="W94" s="30">
        <f t="shared" si="46"/>
        <v>1790064.6400000004</v>
      </c>
      <c r="X94" s="30">
        <f t="shared" si="46"/>
        <v>1909402.2826666671</v>
      </c>
      <c r="Y94" s="30">
        <f t="shared" si="46"/>
        <v>2028739.9253333337</v>
      </c>
      <c r="Z94" s="30">
        <f t="shared" si="46"/>
        <v>2148077.5680000004</v>
      </c>
      <c r="AA94" s="30">
        <f t="shared" si="46"/>
        <v>2267415.2106666667</v>
      </c>
      <c r="AB94" s="30">
        <f t="shared" si="46"/>
        <v>2386752.8533333335</v>
      </c>
      <c r="AC94" s="30">
        <f t="shared" si="46"/>
        <v>2506090.4960000003</v>
      </c>
      <c r="AD94" s="30">
        <f t="shared" si="46"/>
        <v>2625428.138666667</v>
      </c>
      <c r="AE94" s="30">
        <f t="shared" si="46"/>
        <v>2744765.7813333338</v>
      </c>
      <c r="AF94" s="30">
        <f t="shared" si="46"/>
        <v>2864103.4240000006</v>
      </c>
      <c r="AG94" s="30">
        <f t="shared" si="46"/>
        <v>2983441.0666666673</v>
      </c>
      <c r="AH94" s="30">
        <f t="shared" si="46"/>
        <v>2535924.9066666672</v>
      </c>
      <c r="AI94" s="30">
        <f t="shared" si="46"/>
        <v>2088408.7466666671</v>
      </c>
      <c r="AJ94" s="30">
        <f t="shared" si="46"/>
        <v>1640892.5866666669</v>
      </c>
      <c r="AK94" s="30">
        <f t="shared" si="46"/>
        <v>1193376.4266666668</v>
      </c>
      <c r="AL94" s="30">
        <f t="shared" si="46"/>
        <v>745860.2666666666</v>
      </c>
      <c r="AM94" s="30">
        <f t="shared" si="46"/>
        <v>298344.10666666657</v>
      </c>
      <c r="AN94" s="30">
        <f t="shared" si="46"/>
        <v>0</v>
      </c>
      <c r="AO94" s="30">
        <f t="shared" si="46"/>
        <v>0</v>
      </c>
      <c r="AP94" s="30">
        <f t="shared" si="46"/>
        <v>0</v>
      </c>
      <c r="AQ94" s="30">
        <f t="shared" si="46"/>
        <v>0</v>
      </c>
      <c r="AR94" s="30">
        <f t="shared" si="46"/>
        <v>0</v>
      </c>
      <c r="AS94" s="30">
        <f t="shared" si="46"/>
        <v>0</v>
      </c>
      <c r="AT94" s="30">
        <f t="shared" si="46"/>
        <v>0</v>
      </c>
      <c r="AU94" s="30">
        <f t="shared" si="46"/>
        <v>0</v>
      </c>
      <c r="AV94" s="30">
        <f t="shared" si="46"/>
        <v>0</v>
      </c>
      <c r="AW94" s="30">
        <f t="shared" si="46"/>
        <v>0</v>
      </c>
      <c r="AX94" s="30">
        <f t="shared" si="46"/>
        <v>0</v>
      </c>
      <c r="AY94" s="30">
        <f t="shared" si="46"/>
        <v>0</v>
      </c>
      <c r="AZ94" s="30">
        <f t="shared" si="46"/>
        <v>0</v>
      </c>
      <c r="BA94" s="30">
        <f t="shared" si="46"/>
        <v>0</v>
      </c>
      <c r="BB94" s="30">
        <f t="shared" si="46"/>
        <v>0</v>
      </c>
    </row>
    <row r="95" spans="1:54" outlineLevel="1">
      <c r="E95" s="32"/>
    </row>
    <row r="96" spans="1:54" ht="15.75" outlineLevel="1">
      <c r="C96" s="10"/>
      <c r="E96" s="27" t="s">
        <v>63</v>
      </c>
    </row>
    <row r="97" spans="1:54" outlineLevel="1">
      <c r="E97" s="24" t="s">
        <v>65</v>
      </c>
      <c r="F97" s="34"/>
      <c r="G97" s="30">
        <f>F101</f>
        <v>0</v>
      </c>
      <c r="H97" s="30">
        <f>G101</f>
        <v>0</v>
      </c>
      <c r="I97" s="30">
        <f t="shared" ref="I97:BB97" si="47">H101</f>
        <v>0</v>
      </c>
      <c r="J97" s="30">
        <f t="shared" si="47"/>
        <v>0</v>
      </c>
      <c r="K97" s="30">
        <f t="shared" si="47"/>
        <v>0</v>
      </c>
      <c r="L97" s="30">
        <f t="shared" si="47"/>
        <v>0</v>
      </c>
      <c r="M97" s="30">
        <f t="shared" si="47"/>
        <v>0</v>
      </c>
      <c r="N97" s="30">
        <f t="shared" si="47"/>
        <v>85923102.720000014</v>
      </c>
      <c r="O97" s="30">
        <f t="shared" si="47"/>
        <v>100243619.84000002</v>
      </c>
      <c r="P97" s="30">
        <f t="shared" si="47"/>
        <v>114564136.96000002</v>
      </c>
      <c r="Q97" s="30">
        <f t="shared" si="47"/>
        <v>128884654.08000003</v>
      </c>
      <c r="R97" s="30">
        <f t="shared" si="47"/>
        <v>143205171.20000002</v>
      </c>
      <c r="S97" s="30">
        <f t="shared" si="47"/>
        <v>157525688.32000002</v>
      </c>
      <c r="T97" s="30">
        <f t="shared" si="47"/>
        <v>171846205.44000003</v>
      </c>
      <c r="U97" s="30">
        <f t="shared" si="47"/>
        <v>186166722.56000003</v>
      </c>
      <c r="V97" s="30">
        <f t="shared" si="47"/>
        <v>200487239.68000004</v>
      </c>
      <c r="W97" s="30">
        <f t="shared" si="47"/>
        <v>214807756.80000004</v>
      </c>
      <c r="X97" s="30">
        <f t="shared" si="47"/>
        <v>229128273.92000005</v>
      </c>
      <c r="Y97" s="30">
        <f t="shared" si="47"/>
        <v>243448791.04000005</v>
      </c>
      <c r="Z97" s="30">
        <f t="shared" si="47"/>
        <v>257769308.16000006</v>
      </c>
      <c r="AA97" s="30">
        <f t="shared" si="47"/>
        <v>272089825.28000003</v>
      </c>
      <c r="AB97" s="30">
        <f t="shared" si="47"/>
        <v>286410342.40000004</v>
      </c>
      <c r="AC97" s="30">
        <f t="shared" si="47"/>
        <v>300730859.52000004</v>
      </c>
      <c r="AD97" s="30">
        <f t="shared" si="47"/>
        <v>315051376.64000005</v>
      </c>
      <c r="AE97" s="30">
        <f t="shared" si="47"/>
        <v>329371893.76000005</v>
      </c>
      <c r="AF97" s="30">
        <f t="shared" si="47"/>
        <v>343692410.88000005</v>
      </c>
      <c r="AG97" s="30">
        <f t="shared" si="47"/>
        <v>358012928.00000006</v>
      </c>
      <c r="AH97" s="30">
        <f t="shared" si="47"/>
        <v>304310988.80000007</v>
      </c>
      <c r="AI97" s="30">
        <f t="shared" si="47"/>
        <v>250609049.60000005</v>
      </c>
      <c r="AJ97" s="30">
        <f t="shared" si="47"/>
        <v>196907110.40000004</v>
      </c>
      <c r="AK97" s="30">
        <f t="shared" si="47"/>
        <v>143205171.20000002</v>
      </c>
      <c r="AL97" s="30">
        <f t="shared" si="47"/>
        <v>89503232</v>
      </c>
      <c r="AM97" s="30">
        <f t="shared" si="47"/>
        <v>35801292.79999999</v>
      </c>
      <c r="AN97" s="30">
        <f t="shared" si="47"/>
        <v>0</v>
      </c>
      <c r="AO97" s="30">
        <f t="shared" si="47"/>
        <v>0</v>
      </c>
      <c r="AP97" s="30">
        <f t="shared" si="47"/>
        <v>0</v>
      </c>
      <c r="AQ97" s="30">
        <f t="shared" si="47"/>
        <v>0</v>
      </c>
      <c r="AR97" s="30">
        <f t="shared" si="47"/>
        <v>0</v>
      </c>
      <c r="AS97" s="30">
        <f t="shared" si="47"/>
        <v>0</v>
      </c>
      <c r="AT97" s="30">
        <f t="shared" si="47"/>
        <v>0</v>
      </c>
      <c r="AU97" s="30">
        <f t="shared" si="47"/>
        <v>0</v>
      </c>
      <c r="AV97" s="30">
        <f t="shared" si="47"/>
        <v>0</v>
      </c>
      <c r="AW97" s="30">
        <f t="shared" si="47"/>
        <v>0</v>
      </c>
      <c r="AX97" s="30">
        <f t="shared" si="47"/>
        <v>0</v>
      </c>
      <c r="AY97" s="30">
        <f t="shared" si="47"/>
        <v>0</v>
      </c>
      <c r="AZ97" s="30">
        <f t="shared" si="47"/>
        <v>0</v>
      </c>
      <c r="BA97" s="30">
        <f t="shared" si="47"/>
        <v>0</v>
      </c>
      <c r="BB97" s="30">
        <f t="shared" si="47"/>
        <v>0</v>
      </c>
    </row>
    <row r="98" spans="1:54" outlineLevel="1">
      <c r="E98" s="24" t="s">
        <v>67</v>
      </c>
      <c r="F98" s="29">
        <f>SUM(G98:AU98)</f>
        <v>71602585.600000009</v>
      </c>
      <c r="G98" s="29">
        <f t="shared" ref="G98:BB98" si="48">IF(G$47=$C93,$C92*$B34,0)</f>
        <v>0</v>
      </c>
      <c r="H98" s="29">
        <f t="shared" si="48"/>
        <v>0</v>
      </c>
      <c r="I98" s="29">
        <f t="shared" si="48"/>
        <v>0</v>
      </c>
      <c r="J98" s="29">
        <f t="shared" si="48"/>
        <v>0</v>
      </c>
      <c r="K98" s="29">
        <f t="shared" si="48"/>
        <v>0</v>
      </c>
      <c r="L98" s="29">
        <f t="shared" si="48"/>
        <v>0</v>
      </c>
      <c r="M98" s="29">
        <f t="shared" si="48"/>
        <v>71602585.600000009</v>
      </c>
      <c r="N98" s="29">
        <f t="shared" si="48"/>
        <v>0</v>
      </c>
      <c r="O98" s="29">
        <f t="shared" si="48"/>
        <v>0</v>
      </c>
      <c r="P98" s="29">
        <f t="shared" si="48"/>
        <v>0</v>
      </c>
      <c r="Q98" s="29">
        <f t="shared" si="48"/>
        <v>0</v>
      </c>
      <c r="R98" s="29">
        <f t="shared" si="48"/>
        <v>0</v>
      </c>
      <c r="S98" s="29">
        <f t="shared" si="48"/>
        <v>0</v>
      </c>
      <c r="T98" s="29">
        <f t="shared" si="48"/>
        <v>0</v>
      </c>
      <c r="U98" s="29">
        <f t="shared" si="48"/>
        <v>0</v>
      </c>
      <c r="V98" s="29">
        <f t="shared" si="48"/>
        <v>0</v>
      </c>
      <c r="W98" s="29">
        <f t="shared" si="48"/>
        <v>0</v>
      </c>
      <c r="X98" s="29">
        <f t="shared" si="48"/>
        <v>0</v>
      </c>
      <c r="Y98" s="29">
        <f t="shared" si="48"/>
        <v>0</v>
      </c>
      <c r="Z98" s="29">
        <f t="shared" si="48"/>
        <v>0</v>
      </c>
      <c r="AA98" s="29">
        <f t="shared" si="48"/>
        <v>0</v>
      </c>
      <c r="AB98" s="29">
        <f t="shared" si="48"/>
        <v>0</v>
      </c>
      <c r="AC98" s="29">
        <f t="shared" si="48"/>
        <v>0</v>
      </c>
      <c r="AD98" s="29">
        <f t="shared" si="48"/>
        <v>0</v>
      </c>
      <c r="AE98" s="29">
        <f t="shared" si="48"/>
        <v>0</v>
      </c>
      <c r="AF98" s="29">
        <f t="shared" si="48"/>
        <v>0</v>
      </c>
      <c r="AG98" s="29">
        <f t="shared" si="48"/>
        <v>0</v>
      </c>
      <c r="AH98" s="29">
        <f t="shared" si="48"/>
        <v>0</v>
      </c>
      <c r="AI98" s="29">
        <f t="shared" si="48"/>
        <v>0</v>
      </c>
      <c r="AJ98" s="29">
        <f t="shared" si="48"/>
        <v>0</v>
      </c>
      <c r="AK98" s="29">
        <f t="shared" si="48"/>
        <v>0</v>
      </c>
      <c r="AL98" s="29">
        <f t="shared" si="48"/>
        <v>0</v>
      </c>
      <c r="AM98" s="29">
        <f t="shared" si="48"/>
        <v>0</v>
      </c>
      <c r="AN98" s="29">
        <f t="shared" si="48"/>
        <v>0</v>
      </c>
      <c r="AO98" s="29">
        <f t="shared" si="48"/>
        <v>0</v>
      </c>
      <c r="AP98" s="29">
        <f t="shared" si="48"/>
        <v>0</v>
      </c>
      <c r="AQ98" s="29">
        <f t="shared" si="48"/>
        <v>0</v>
      </c>
      <c r="AR98" s="29">
        <f t="shared" si="48"/>
        <v>0</v>
      </c>
      <c r="AS98" s="29">
        <f t="shared" si="48"/>
        <v>0</v>
      </c>
      <c r="AT98" s="29">
        <f t="shared" si="48"/>
        <v>0</v>
      </c>
      <c r="AU98" s="29">
        <f t="shared" si="48"/>
        <v>0</v>
      </c>
      <c r="AV98" s="29">
        <f t="shared" si="48"/>
        <v>0</v>
      </c>
      <c r="AW98" s="29">
        <f t="shared" si="48"/>
        <v>0</v>
      </c>
      <c r="AX98" s="29">
        <f t="shared" si="48"/>
        <v>0</v>
      </c>
      <c r="AY98" s="29">
        <f t="shared" si="48"/>
        <v>0</v>
      </c>
      <c r="AZ98" s="29">
        <f t="shared" si="48"/>
        <v>0</v>
      </c>
      <c r="BA98" s="29">
        <f t="shared" si="48"/>
        <v>0</v>
      </c>
      <c r="BB98" s="29">
        <f t="shared" si="48"/>
        <v>0</v>
      </c>
    </row>
    <row r="99" spans="1:54" outlineLevel="1">
      <c r="A99" t="s">
        <v>72</v>
      </c>
      <c r="B99" t="b">
        <f>AND(B100:B101)</f>
        <v>1</v>
      </c>
      <c r="C99" s="30"/>
      <c r="E99" s="24" t="s">
        <v>69</v>
      </c>
      <c r="F99" s="29">
        <f>SUM(G99:AU99)</f>
        <v>286410342.40000004</v>
      </c>
      <c r="G99" s="29">
        <f t="shared" ref="G99:BB99" si="49">$C92*(1-$B34)*G90</f>
        <v>0</v>
      </c>
      <c r="H99" s="29">
        <f t="shared" si="49"/>
        <v>0</v>
      </c>
      <c r="I99" s="29">
        <f t="shared" si="49"/>
        <v>0</v>
      </c>
      <c r="J99" s="29">
        <f t="shared" si="49"/>
        <v>0</v>
      </c>
      <c r="K99" s="29">
        <f t="shared" si="49"/>
        <v>0</v>
      </c>
      <c r="L99" s="29">
        <f t="shared" si="49"/>
        <v>0</v>
      </c>
      <c r="M99" s="29">
        <f t="shared" si="49"/>
        <v>14320517.120000003</v>
      </c>
      <c r="N99" s="29">
        <f t="shared" si="49"/>
        <v>14320517.120000003</v>
      </c>
      <c r="O99" s="29">
        <f t="shared" si="49"/>
        <v>14320517.120000003</v>
      </c>
      <c r="P99" s="29">
        <f t="shared" si="49"/>
        <v>14320517.120000003</v>
      </c>
      <c r="Q99" s="29">
        <f t="shared" si="49"/>
        <v>14320517.120000003</v>
      </c>
      <c r="R99" s="29">
        <f t="shared" si="49"/>
        <v>14320517.120000003</v>
      </c>
      <c r="S99" s="29">
        <f t="shared" si="49"/>
        <v>14320517.120000003</v>
      </c>
      <c r="T99" s="29">
        <f t="shared" si="49"/>
        <v>14320517.120000003</v>
      </c>
      <c r="U99" s="29">
        <f t="shared" si="49"/>
        <v>14320517.120000003</v>
      </c>
      <c r="V99" s="29">
        <f t="shared" si="49"/>
        <v>14320517.120000003</v>
      </c>
      <c r="W99" s="29">
        <f t="shared" si="49"/>
        <v>14320517.120000003</v>
      </c>
      <c r="X99" s="29">
        <f t="shared" si="49"/>
        <v>14320517.120000003</v>
      </c>
      <c r="Y99" s="29">
        <f t="shared" si="49"/>
        <v>14320517.120000003</v>
      </c>
      <c r="Z99" s="29">
        <f t="shared" si="49"/>
        <v>14320517.120000003</v>
      </c>
      <c r="AA99" s="29">
        <f t="shared" si="49"/>
        <v>14320517.120000003</v>
      </c>
      <c r="AB99" s="29">
        <f t="shared" si="49"/>
        <v>14320517.120000003</v>
      </c>
      <c r="AC99" s="29">
        <f t="shared" si="49"/>
        <v>14320517.120000003</v>
      </c>
      <c r="AD99" s="29">
        <f t="shared" si="49"/>
        <v>14320517.120000003</v>
      </c>
      <c r="AE99" s="29">
        <f t="shared" si="49"/>
        <v>14320517.120000003</v>
      </c>
      <c r="AF99" s="29">
        <f t="shared" si="49"/>
        <v>14320517.120000003</v>
      </c>
      <c r="AG99" s="29">
        <f t="shared" si="49"/>
        <v>0</v>
      </c>
      <c r="AH99" s="29">
        <f t="shared" si="49"/>
        <v>0</v>
      </c>
      <c r="AI99" s="29">
        <f t="shared" si="49"/>
        <v>0</v>
      </c>
      <c r="AJ99" s="29">
        <f t="shared" si="49"/>
        <v>0</v>
      </c>
      <c r="AK99" s="29">
        <f t="shared" si="49"/>
        <v>0</v>
      </c>
      <c r="AL99" s="29">
        <f t="shared" si="49"/>
        <v>0</v>
      </c>
      <c r="AM99" s="29">
        <f t="shared" si="49"/>
        <v>0</v>
      </c>
      <c r="AN99" s="29">
        <f t="shared" si="49"/>
        <v>0</v>
      </c>
      <c r="AO99" s="29">
        <f t="shared" si="49"/>
        <v>0</v>
      </c>
      <c r="AP99" s="29">
        <f t="shared" si="49"/>
        <v>0</v>
      </c>
      <c r="AQ99" s="29">
        <f t="shared" si="49"/>
        <v>0</v>
      </c>
      <c r="AR99" s="29">
        <f t="shared" si="49"/>
        <v>0</v>
      </c>
      <c r="AS99" s="29">
        <f t="shared" si="49"/>
        <v>0</v>
      </c>
      <c r="AT99" s="29">
        <f t="shared" si="49"/>
        <v>0</v>
      </c>
      <c r="AU99" s="29">
        <f t="shared" si="49"/>
        <v>0</v>
      </c>
      <c r="AV99" s="29">
        <f t="shared" si="49"/>
        <v>0</v>
      </c>
      <c r="AW99" s="29">
        <f t="shared" si="49"/>
        <v>0</v>
      </c>
      <c r="AX99" s="29">
        <f t="shared" si="49"/>
        <v>0</v>
      </c>
      <c r="AY99" s="29">
        <f t="shared" si="49"/>
        <v>0</v>
      </c>
      <c r="AZ99" s="29">
        <f t="shared" si="49"/>
        <v>0</v>
      </c>
      <c r="BA99" s="29">
        <f t="shared" si="49"/>
        <v>0</v>
      </c>
      <c r="BB99" s="29">
        <f t="shared" si="49"/>
        <v>0</v>
      </c>
    </row>
    <row r="100" spans="1:54" outlineLevel="1">
      <c r="B100" s="36" t="b">
        <f>ROUND(C92,2)=ROUND(SUM(F98,F99),2)</f>
        <v>1</v>
      </c>
      <c r="C100" s="31"/>
      <c r="E100" s="24" t="s">
        <v>70</v>
      </c>
      <c r="F100" s="29">
        <f>SUM(G100:AU100)</f>
        <v>358012928.00000006</v>
      </c>
      <c r="G100" s="30">
        <f t="shared" ref="G100:BB100" si="50">G91*$C92</f>
        <v>0</v>
      </c>
      <c r="H100" s="30">
        <f t="shared" si="50"/>
        <v>0</v>
      </c>
      <c r="I100" s="30">
        <f t="shared" si="50"/>
        <v>0</v>
      </c>
      <c r="J100" s="30">
        <f t="shared" si="50"/>
        <v>0</v>
      </c>
      <c r="K100" s="30">
        <f t="shared" si="50"/>
        <v>0</v>
      </c>
      <c r="L100" s="30">
        <f t="shared" si="50"/>
        <v>0</v>
      </c>
      <c r="M100" s="30">
        <f t="shared" si="50"/>
        <v>0</v>
      </c>
      <c r="N100" s="30">
        <f t="shared" si="50"/>
        <v>0</v>
      </c>
      <c r="O100" s="30">
        <f t="shared" si="50"/>
        <v>0</v>
      </c>
      <c r="P100" s="30">
        <f t="shared" si="50"/>
        <v>0</v>
      </c>
      <c r="Q100" s="30">
        <f t="shared" si="50"/>
        <v>0</v>
      </c>
      <c r="R100" s="30">
        <f t="shared" si="50"/>
        <v>0</v>
      </c>
      <c r="S100" s="30">
        <f t="shared" si="50"/>
        <v>0</v>
      </c>
      <c r="T100" s="30">
        <f t="shared" si="50"/>
        <v>0</v>
      </c>
      <c r="U100" s="30">
        <f t="shared" si="50"/>
        <v>0</v>
      </c>
      <c r="V100" s="30">
        <f t="shared" si="50"/>
        <v>0</v>
      </c>
      <c r="W100" s="30">
        <f t="shared" si="50"/>
        <v>0</v>
      </c>
      <c r="X100" s="30">
        <f t="shared" si="50"/>
        <v>0</v>
      </c>
      <c r="Y100" s="30">
        <f t="shared" si="50"/>
        <v>0</v>
      </c>
      <c r="Z100" s="30">
        <f t="shared" si="50"/>
        <v>0</v>
      </c>
      <c r="AA100" s="30">
        <f t="shared" si="50"/>
        <v>0</v>
      </c>
      <c r="AB100" s="30">
        <f t="shared" si="50"/>
        <v>0</v>
      </c>
      <c r="AC100" s="30">
        <f t="shared" si="50"/>
        <v>0</v>
      </c>
      <c r="AD100" s="30">
        <f t="shared" si="50"/>
        <v>0</v>
      </c>
      <c r="AE100" s="30">
        <f t="shared" si="50"/>
        <v>0</v>
      </c>
      <c r="AF100" s="30">
        <f t="shared" si="50"/>
        <v>0</v>
      </c>
      <c r="AG100" s="30">
        <f t="shared" si="50"/>
        <v>53701939.20000001</v>
      </c>
      <c r="AH100" s="30">
        <f t="shared" si="50"/>
        <v>53701939.20000001</v>
      </c>
      <c r="AI100" s="30">
        <f t="shared" si="50"/>
        <v>53701939.20000001</v>
      </c>
      <c r="AJ100" s="30">
        <f t="shared" si="50"/>
        <v>53701939.20000001</v>
      </c>
      <c r="AK100" s="30">
        <f t="shared" si="50"/>
        <v>53701939.20000001</v>
      </c>
      <c r="AL100" s="30">
        <f t="shared" si="50"/>
        <v>53701939.20000001</v>
      </c>
      <c r="AM100" s="30">
        <f t="shared" si="50"/>
        <v>35801292.800000004</v>
      </c>
      <c r="AN100" s="30">
        <f t="shared" si="50"/>
        <v>0</v>
      </c>
      <c r="AO100" s="30">
        <f t="shared" si="50"/>
        <v>0</v>
      </c>
      <c r="AP100" s="30">
        <f t="shared" si="50"/>
        <v>0</v>
      </c>
      <c r="AQ100" s="30">
        <f t="shared" si="50"/>
        <v>0</v>
      </c>
      <c r="AR100" s="30">
        <f t="shared" si="50"/>
        <v>0</v>
      </c>
      <c r="AS100" s="30">
        <f t="shared" si="50"/>
        <v>0</v>
      </c>
      <c r="AT100" s="30">
        <f t="shared" si="50"/>
        <v>0</v>
      </c>
      <c r="AU100" s="30">
        <f t="shared" si="50"/>
        <v>0</v>
      </c>
      <c r="AV100" s="30">
        <f t="shared" si="50"/>
        <v>0</v>
      </c>
      <c r="AW100" s="30">
        <f t="shared" si="50"/>
        <v>0</v>
      </c>
      <c r="AX100" s="30">
        <f t="shared" si="50"/>
        <v>0</v>
      </c>
      <c r="AY100" s="30">
        <f t="shared" si="50"/>
        <v>0</v>
      </c>
      <c r="AZ100" s="30">
        <f t="shared" si="50"/>
        <v>0</v>
      </c>
      <c r="BA100" s="30">
        <f t="shared" si="50"/>
        <v>0</v>
      </c>
      <c r="BB100" s="30">
        <f t="shared" si="50"/>
        <v>0</v>
      </c>
    </row>
    <row r="101" spans="1:54" outlineLevel="1">
      <c r="B101" s="36" t="b">
        <f>ROUND(C92,)=ROUND(F100,0)</f>
        <v>1</v>
      </c>
      <c r="E101" s="24" t="s">
        <v>71</v>
      </c>
      <c r="F101" s="30"/>
      <c r="G101" s="30">
        <f t="shared" ref="G101:BB101" si="51">G97+G98+G99-G100</f>
        <v>0</v>
      </c>
      <c r="H101" s="30">
        <f t="shared" si="51"/>
        <v>0</v>
      </c>
      <c r="I101" s="30">
        <f t="shared" si="51"/>
        <v>0</v>
      </c>
      <c r="J101" s="30">
        <f t="shared" si="51"/>
        <v>0</v>
      </c>
      <c r="K101" s="30">
        <f t="shared" si="51"/>
        <v>0</v>
      </c>
      <c r="L101" s="30">
        <f t="shared" si="51"/>
        <v>0</v>
      </c>
      <c r="M101" s="30">
        <f t="shared" si="51"/>
        <v>85923102.720000014</v>
      </c>
      <c r="N101" s="30">
        <f t="shared" si="51"/>
        <v>100243619.84000002</v>
      </c>
      <c r="O101" s="30">
        <f t="shared" si="51"/>
        <v>114564136.96000002</v>
      </c>
      <c r="P101" s="30">
        <f t="shared" si="51"/>
        <v>128884654.08000003</v>
      </c>
      <c r="Q101" s="30">
        <f t="shared" si="51"/>
        <v>143205171.20000002</v>
      </c>
      <c r="R101" s="30">
        <f t="shared" si="51"/>
        <v>157525688.32000002</v>
      </c>
      <c r="S101" s="30">
        <f t="shared" si="51"/>
        <v>171846205.44000003</v>
      </c>
      <c r="T101" s="30">
        <f t="shared" si="51"/>
        <v>186166722.56000003</v>
      </c>
      <c r="U101" s="30">
        <f t="shared" si="51"/>
        <v>200487239.68000004</v>
      </c>
      <c r="V101" s="30">
        <f t="shared" si="51"/>
        <v>214807756.80000004</v>
      </c>
      <c r="W101" s="30">
        <f t="shared" si="51"/>
        <v>229128273.92000005</v>
      </c>
      <c r="X101" s="30">
        <f t="shared" si="51"/>
        <v>243448791.04000005</v>
      </c>
      <c r="Y101" s="30">
        <f t="shared" si="51"/>
        <v>257769308.16000006</v>
      </c>
      <c r="Z101" s="30">
        <f t="shared" si="51"/>
        <v>272089825.28000003</v>
      </c>
      <c r="AA101" s="30">
        <f t="shared" si="51"/>
        <v>286410342.40000004</v>
      </c>
      <c r="AB101" s="30">
        <f t="shared" si="51"/>
        <v>300730859.52000004</v>
      </c>
      <c r="AC101" s="30">
        <f t="shared" si="51"/>
        <v>315051376.64000005</v>
      </c>
      <c r="AD101" s="30">
        <f t="shared" si="51"/>
        <v>329371893.76000005</v>
      </c>
      <c r="AE101" s="30">
        <f t="shared" si="51"/>
        <v>343692410.88000005</v>
      </c>
      <c r="AF101" s="30">
        <f t="shared" si="51"/>
        <v>358012928.00000006</v>
      </c>
      <c r="AG101" s="30">
        <f t="shared" si="51"/>
        <v>304310988.80000007</v>
      </c>
      <c r="AH101" s="30">
        <f t="shared" si="51"/>
        <v>250609049.60000005</v>
      </c>
      <c r="AI101" s="30">
        <f t="shared" si="51"/>
        <v>196907110.40000004</v>
      </c>
      <c r="AJ101" s="30">
        <f t="shared" si="51"/>
        <v>143205171.20000002</v>
      </c>
      <c r="AK101" s="30">
        <f t="shared" si="51"/>
        <v>89503232</v>
      </c>
      <c r="AL101" s="30">
        <f t="shared" si="51"/>
        <v>35801292.79999999</v>
      </c>
      <c r="AM101" s="30">
        <f t="shared" si="51"/>
        <v>0</v>
      </c>
      <c r="AN101" s="30">
        <f t="shared" si="51"/>
        <v>0</v>
      </c>
      <c r="AO101" s="30">
        <f t="shared" si="51"/>
        <v>0</v>
      </c>
      <c r="AP101" s="30">
        <f t="shared" si="51"/>
        <v>0</v>
      </c>
      <c r="AQ101" s="30">
        <f t="shared" si="51"/>
        <v>0</v>
      </c>
      <c r="AR101" s="30">
        <f t="shared" si="51"/>
        <v>0</v>
      </c>
      <c r="AS101" s="30">
        <f t="shared" si="51"/>
        <v>0</v>
      </c>
      <c r="AT101" s="30">
        <f t="shared" si="51"/>
        <v>0</v>
      </c>
      <c r="AU101" s="30">
        <f t="shared" si="51"/>
        <v>0</v>
      </c>
      <c r="AV101" s="30">
        <f t="shared" si="51"/>
        <v>0</v>
      </c>
      <c r="AW101" s="30">
        <f t="shared" si="51"/>
        <v>0</v>
      </c>
      <c r="AX101" s="30">
        <f t="shared" si="51"/>
        <v>0</v>
      </c>
      <c r="AY101" s="30">
        <f t="shared" si="51"/>
        <v>0</v>
      </c>
      <c r="AZ101" s="30">
        <f t="shared" si="51"/>
        <v>0</v>
      </c>
      <c r="BA101" s="30">
        <f t="shared" si="51"/>
        <v>0</v>
      </c>
      <c r="BB101" s="30">
        <f t="shared" si="51"/>
        <v>0</v>
      </c>
    </row>
    <row r="102" spans="1:54" outlineLevel="1"/>
    <row r="103" spans="1:54" outlineLevel="1">
      <c r="A103" s="26" t="s">
        <v>62</v>
      </c>
      <c r="C103" s="33">
        <v>0</v>
      </c>
      <c r="E103" s="24"/>
      <c r="F103" s="23"/>
    </row>
    <row r="104" spans="1:54">
      <c r="F104" s="23"/>
    </row>
    <row r="105" spans="1:54">
      <c r="F105" s="23"/>
    </row>
  </sheetData>
  <mergeCells count="1">
    <mergeCell ref="M4:P4"/>
  </mergeCells>
  <conditionalFormatting sqref="F75:BN75">
    <cfRule type="cellIs" dxfId="10" priority="15" operator="lessThan">
      <formula>0</formula>
    </cfRule>
  </conditionalFormatting>
  <conditionalFormatting sqref="F76:BN76">
    <cfRule type="cellIs" dxfId="9" priority="14" operator="lessThan">
      <formula>0</formula>
    </cfRule>
  </conditionalFormatting>
  <conditionalFormatting sqref="G71:BN72">
    <cfRule type="cellIs" dxfId="8" priority="13" operator="lessThan">
      <formula>0</formula>
    </cfRule>
  </conditionalFormatting>
  <conditionalFormatting sqref="F72">
    <cfRule type="cellIs" dxfId="7" priority="12" operator="lessThan">
      <formula>0</formula>
    </cfRule>
  </conditionalFormatting>
  <conditionalFormatting sqref="G79:BN79">
    <cfRule type="cellIs" dxfId="6" priority="11" operator="lessThan">
      <formula>0</formula>
    </cfRule>
  </conditionalFormatting>
  <conditionalFormatting sqref="G80:BN80">
    <cfRule type="cellIs" dxfId="5" priority="10" operator="lessThan">
      <formula>0</formula>
    </cfRule>
  </conditionalFormatting>
  <conditionalFormatting sqref="F79:F80">
    <cfRule type="cellIs" dxfId="4" priority="9" operator="lessThan">
      <formula>0</formula>
    </cfRule>
  </conditionalFormatting>
  <conditionalFormatting sqref="M6:P9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4:P1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2:P25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0:P33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75">
    <cfRule type="cellIs" dxfId="3" priority="4" operator="lessThan">
      <formula>0</formula>
    </cfRule>
  </conditionalFormatting>
  <conditionalFormatting sqref="C76">
    <cfRule type="cellIs" dxfId="2" priority="3" operator="lessThan">
      <formula>0</formula>
    </cfRule>
  </conditionalFormatting>
  <conditionalFormatting sqref="C72">
    <cfRule type="cellIs" dxfId="1" priority="2" operator="lessThan">
      <formula>0</formula>
    </cfRule>
  </conditionalFormatting>
  <conditionalFormatting sqref="C79">
    <cfRule type="cellIs" dxfId="0" priority="1" operator="lessThan">
      <formula>0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A771B-D621-44B7-B957-0EEFDF16A30F}">
  <dimension ref="A1:A6"/>
  <sheetViews>
    <sheetView showGridLines="0" workbookViewId="0">
      <selection sqref="A1:A6"/>
    </sheetView>
  </sheetViews>
  <sheetFormatPr defaultRowHeight="15"/>
  <cols>
    <col min="1" max="1" width="25.7109375" customWidth="1"/>
  </cols>
  <sheetData>
    <row r="1" spans="1:1">
      <c r="A1" s="3" t="s">
        <v>11</v>
      </c>
    </row>
    <row r="2" spans="1:1">
      <c r="A2" s="3" t="s">
        <v>48</v>
      </c>
    </row>
    <row r="3" spans="1:1">
      <c r="A3" s="3" t="s">
        <v>49</v>
      </c>
    </row>
    <row r="4" spans="1:1">
      <c r="A4" s="3" t="s">
        <v>42</v>
      </c>
    </row>
    <row r="5" spans="1:1">
      <c r="A5" s="3" t="s">
        <v>12</v>
      </c>
    </row>
    <row r="6" spans="1:1">
      <c r="A6" s="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Simulation</vt:lpstr>
      <vt:lpstr>Inputs</vt:lpstr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jimmy</cp:lastModifiedBy>
  <dcterms:created xsi:type="dcterms:W3CDTF">2023-03-19T04:40:23Z</dcterms:created>
  <dcterms:modified xsi:type="dcterms:W3CDTF">2023-04-16T21:29:00Z</dcterms:modified>
</cp:coreProperties>
</file>