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charts/chart6.xml" ContentType="application/vnd.openxmlformats-officedocument.drawingml.chart+xml"/>
  <Override PartName="/xl/charts/chart7.xml" ContentType="application/vnd.openxmlformats-officedocument.drawingml.chart+xml"/>
  <Override PartName="/xl/revisions/revisionLog1.xml" ContentType="application/vnd.openxmlformats-officedocument.spreadsheetml.revisionLog+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revisions/userNames.xml" ContentType="application/vnd.openxmlformats-officedocument.spreadsheetml.userNames+xml"/>
  <Override PartName="/xl/charts/chart2.xml" ContentType="application/vnd.openxmlformats-officedocument.drawingml.chart+xml"/>
  <Default Extension="emf" ContentType="image/x-emf"/>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nnections.xml" ContentType="application/vnd.openxmlformats-officedocument.spreadsheetml.connections+xml"/>
  <Override PartName="/xl/drawings/drawing1.xml" ContentType="application/vnd.openxmlformats-officedocument.drawing+xml"/>
  <Override PartName="/xl/revisions/revisionHeaders.xml" ContentType="application/vnd.openxmlformats-officedocument.spreadsheetml.revisionHeader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revisions/revisionLog11.xml" ContentType="application/vnd.openxmlformats-officedocument.spreadsheetml.revisionLog+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workbookProtection lockRevision="1"/>
  <bookViews>
    <workbookView xWindow="870" yWindow="765" windowWidth="9120" windowHeight="4845"/>
  </bookViews>
  <sheets>
    <sheet name="LM5118 Calculator" sheetId="1" r:id="rId1"/>
    <sheet name="Bill of Materials" sheetId="2" r:id="rId2"/>
    <sheet name="Bode Plots" sheetId="3" r:id="rId3"/>
    <sheet name="Worksheet" sheetId="4" state="hidden" r:id="rId4"/>
    <sheet name="Graph" sheetId="5" state="hidden" r:id="rId5"/>
  </sheets>
  <externalReferences>
    <externalReference r:id="rId6"/>
    <externalReference r:id="rId7"/>
  </externalReferences>
  <definedNames>
    <definedName name="_1_Dmin">'LM5118 Calculator'!#REF!</definedName>
    <definedName name="_5118_EVAL_A2" localSheetId="1">'Bill of Materials'!#REF!</definedName>
    <definedName name="_Rfb1">'LM5118 Calculator'!$E$64</definedName>
    <definedName name="_Rfb2">'LM5118 Calculator'!$E$65</definedName>
    <definedName name="_Ruv1">'LM5118 Calculator'!$E$90</definedName>
    <definedName name="_Ruv2">'LM5118 Calculator'!$E$92</definedName>
    <definedName name="A">10</definedName>
    <definedName name="BuckBoostMode">'LM5118 Calculator'!$E$13</definedName>
    <definedName name="BuckMode">'LM5118 Calculator'!$E$12</definedName>
    <definedName name="Ccomp">'LM5118 Calculator'!$E$82</definedName>
    <definedName name="Chb">'LM5118 Calculator'!$E$70</definedName>
    <definedName name="Chf">'LM5118 Calculator'!$E$81</definedName>
    <definedName name="Cin">'LM5118 Calculator'!$E$61</definedName>
    <definedName name="CinESR">'LM5118 Calculator'!$E$57</definedName>
    <definedName name="Cout">'LM5118 Calculator'!$E$52</definedName>
    <definedName name="Coutesr">'LM5118 Calculator'!$E$51</definedName>
    <definedName name="Cpole">'LM5118 Calculator'!$E$81</definedName>
    <definedName name="Cr">'LM5118 Calculator'!$E$95</definedName>
    <definedName name="Cramp">'LM5118 Calculator'!$E$43</definedName>
    <definedName name="Css">'LM5118 Calculator'!$E$86</definedName>
    <definedName name="Cvcc">'LM5118 Calculator'!$E$71</definedName>
    <definedName name="Czero">'LM5118 Calculator'!$E$82</definedName>
    <definedName name="DeltaVout">'LM5118 Calculator'!$E$47</definedName>
    <definedName name="Dmax_Buck">IF(Vinmin&gt;BuckMode, Vout/Vinmin,Vout/BuckMode)</definedName>
    <definedName name="Dmax_BuckBoost">Vout/(Vinmin+Vout)</definedName>
    <definedName name="DMaximumAll">IF(Dmax_Buck&gt;Dmax_BuckBoost,Dmax_Buck,Dmax_BuckBoost)</definedName>
    <definedName name="Dmin">Vout/(Vinmin+Vout)</definedName>
    <definedName name="Dominate_Pole">(1+Dmin)*1000000/(Rout*Cout*2*3.14)</definedName>
    <definedName name="Dpole">(1+Dmin)*1000000/(Rout*Cout*2*3.14)</definedName>
    <definedName name="Dviolate">1-'LM5118 Calculator'!$E$19*400*10^-6</definedName>
    <definedName name="ErrorAmpGain_Cross">-'LM5118 Calculator'!$E$77</definedName>
    <definedName name="Fmax">(1-DMaximumAll)/(400*10^-6)</definedName>
    <definedName name="Fsw">'LM5118 Calculator'!$E$19</definedName>
    <definedName name="Gmmod">1/(Rs*A)</definedName>
    <definedName name="Ilimit">'[1]LM5116 Calculator'!$E$12</definedName>
    <definedName name="Iout">'LM5118 Calculator'!$E$9</definedName>
    <definedName name="IpeakBB">'LM5118 Calculator'!$E$32</definedName>
    <definedName name="IpeakBuck">'LM5118 Calculator'!$E$31</definedName>
    <definedName name="IrippleBB">'LM5118 Calculator'!$E$30</definedName>
    <definedName name="IrippleBuck">'LM5118 Calculator'!$E$28</definedName>
    <definedName name="L">'LM5118 Calculator'!$E$25</definedName>
    <definedName name="Lboost">'LM5118 Calculator'!$E$24</definedName>
    <definedName name="Lbuck">'LM5118 Calculator'!$E$23</definedName>
    <definedName name="LM5118_EVAL_A9_BOM" localSheetId="1">'Bill of Materials'!$B$4:$G$39</definedName>
    <definedName name="ModCrossFreq">(Dpole/1000)*SQRT((Rout*Vinmin/10*Rs/1000*(Vinmin+2*Vout)))^2-1</definedName>
    <definedName name="_xlnm.Print_Area" localSheetId="0">'LM5118 Calculator'!$A$1:$L$95</definedName>
    <definedName name="_xlnm.Print_Area" localSheetId="3">Worksheet!$A$1:$R$54</definedName>
    <definedName name="Rcomp">'LM5118 Calculator'!$E$80</definedName>
    <definedName name="Ripple">'LM5118 Calculator'!$E$10</definedName>
    <definedName name="RLmin">Vout/Ilimit</definedName>
    <definedName name="Rout">Vout/Iout</definedName>
    <definedName name="Rramp">'LM5118 Calculator'!$E$44</definedName>
    <definedName name="Rs">'LM5118 Calculator'!$E$36</definedName>
    <definedName name="Rt">'LM5118 Calculator'!$E$20</definedName>
    <definedName name="UVLOdesired">'[2]LM5116 Calculator'!$E$34</definedName>
    <definedName name="Vccx">'LM5118 Calculator'!$E$11</definedName>
    <definedName name="Vin_nominal">'LM5118 Calculator'!#REF!</definedName>
    <definedName name="Vinmax">'LM5118 Calculator'!$E$8</definedName>
    <definedName name="Vinmin">'LM5118 Calculator'!$E$7</definedName>
    <definedName name="Vout">'LM5118 Calculator'!$E$6</definedName>
    <definedName name="Vref">1.23</definedName>
    <definedName name="Z_7663E1A9_6243_4C84_AC6E_7B523F6FB71A_.wvu.PrintArea" localSheetId="0" hidden="1">'LM5118 Calculator'!$A$1:$L$95</definedName>
    <definedName name="Z_7663E1A9_6243_4C84_AC6E_7B523F6FB71A_.wvu.PrintArea" localSheetId="3" hidden="1">Worksheet!$A$1:$R$54</definedName>
    <definedName name="Z_BBC81B30_D89B_4B72_A8DB_9AA4271FD83F_.wvu.PrintArea" localSheetId="0" hidden="1">'LM5118 Calculator'!$A$1:$L$95</definedName>
    <definedName name="Z_BBC81B30_D89B_4B72_A8DB_9AA4271FD83F_.wvu.PrintArea" localSheetId="3" hidden="1">Worksheet!$A$1:$R$54</definedName>
  </definedNames>
  <calcPr calcId="125725"/>
  <customWorkbookViews>
    <customWorkbookView name="Dave Lewis - Personal View" guid="{7663E1A9-6243-4C84-AC6E-7B523F6FB71A}" mergeInterval="0" personalView="1" maximized="1" xWindow="1" yWindow="1" windowWidth="1676" windowHeight="816" activeSheetId="1"/>
    <customWorkbookView name="Cameron - Personal View" guid="{BBC81B30-D89B-4B72-A8DB-9AA4271FD83F}" mergeInterval="0" personalView="1" maximized="1" xWindow="1" yWindow="1" windowWidth="1362" windowHeight="496" activeSheetId="1"/>
  </customWorkbookViews>
</workbook>
</file>

<file path=xl/calcChain.xml><?xml version="1.0" encoding="utf-8"?>
<calcChain xmlns="http://schemas.openxmlformats.org/spreadsheetml/2006/main">
  <c r="C7" i="5"/>
  <c r="D7"/>
  <c r="E7"/>
  <c r="H7" s="1"/>
  <c r="H8" s="1"/>
  <c r="F7"/>
  <c r="H12" s="1"/>
  <c r="H13" s="1"/>
  <c r="G7"/>
  <c r="I7"/>
  <c r="J7"/>
  <c r="L7"/>
  <c r="M7"/>
  <c r="B4" i="4"/>
  <c r="E6"/>
  <c r="F6"/>
  <c r="E7"/>
  <c r="F7"/>
  <c r="E8"/>
  <c r="F8"/>
  <c r="E9"/>
  <c r="F9"/>
  <c r="E10"/>
  <c r="F10"/>
  <c r="E11"/>
  <c r="F11"/>
  <c r="E12"/>
  <c r="F12"/>
  <c r="E13"/>
  <c r="F13"/>
  <c r="E14"/>
  <c r="F14"/>
  <c r="E15"/>
  <c r="F15"/>
  <c r="E18"/>
  <c r="F18"/>
  <c r="E19"/>
  <c r="E20"/>
  <c r="E21"/>
  <c r="E22"/>
  <c r="E23"/>
  <c r="D24"/>
  <c r="E24"/>
  <c r="D25"/>
  <c r="E25"/>
  <c r="D26"/>
  <c r="E26"/>
  <c r="D27"/>
  <c r="E27"/>
  <c r="D28"/>
  <c r="E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C2" i="3"/>
  <c r="K2"/>
  <c r="L2"/>
  <c r="P2"/>
  <c r="R2"/>
  <c r="C3"/>
  <c r="K3"/>
  <c r="L3"/>
  <c r="P3"/>
  <c r="R3"/>
  <c r="C4"/>
  <c r="K4"/>
  <c r="L4"/>
  <c r="P4"/>
  <c r="R4"/>
  <c r="C5"/>
  <c r="K5"/>
  <c r="L5"/>
  <c r="P5"/>
  <c r="R5"/>
  <c r="C6"/>
  <c r="K6"/>
  <c r="L6"/>
  <c r="P6"/>
  <c r="R6"/>
  <c r="C7"/>
  <c r="K7"/>
  <c r="L7"/>
  <c r="P7"/>
  <c r="R7"/>
  <c r="C8"/>
  <c r="K8"/>
  <c r="L8"/>
  <c r="P8"/>
  <c r="R8"/>
  <c r="C9"/>
  <c r="K9"/>
  <c r="L9"/>
  <c r="P9"/>
  <c r="R9"/>
  <c r="C10"/>
  <c r="K10"/>
  <c r="L10"/>
  <c r="P10"/>
  <c r="R10"/>
  <c r="C11"/>
  <c r="K11"/>
  <c r="L11"/>
  <c r="P11"/>
  <c r="R11"/>
  <c r="C12"/>
  <c r="K12"/>
  <c r="L12"/>
  <c r="P12"/>
  <c r="R12"/>
  <c r="C13"/>
  <c r="K13"/>
  <c r="L13"/>
  <c r="P13"/>
  <c r="R13"/>
  <c r="C14"/>
  <c r="K14"/>
  <c r="L14"/>
  <c r="P14"/>
  <c r="R14"/>
  <c r="C15"/>
  <c r="K15"/>
  <c r="L15"/>
  <c r="P15"/>
  <c r="R15"/>
  <c r="C16"/>
  <c r="K16"/>
  <c r="L16"/>
  <c r="P16"/>
  <c r="R16"/>
  <c r="C17"/>
  <c r="K17"/>
  <c r="L17"/>
  <c r="P17"/>
  <c r="R17"/>
  <c r="C18"/>
  <c r="K18"/>
  <c r="L18"/>
  <c r="P18"/>
  <c r="R18"/>
  <c r="C19"/>
  <c r="K19"/>
  <c r="L19"/>
  <c r="P19"/>
  <c r="R19"/>
  <c r="C20"/>
  <c r="K20"/>
  <c r="L20"/>
  <c r="P20"/>
  <c r="R20"/>
  <c r="C21"/>
  <c r="K21"/>
  <c r="L21"/>
  <c r="P21"/>
  <c r="R21"/>
  <c r="C22"/>
  <c r="K22"/>
  <c r="L22"/>
  <c r="P22"/>
  <c r="R22"/>
  <c r="C23"/>
  <c r="K23"/>
  <c r="L23"/>
  <c r="P23"/>
  <c r="R23"/>
  <c r="D4" i="2"/>
  <c r="D6"/>
  <c r="D7"/>
  <c r="D8"/>
  <c r="D11"/>
  <c r="D12"/>
  <c r="D13"/>
  <c r="D15"/>
  <c r="D16"/>
  <c r="D19"/>
  <c r="E12" i="1"/>
  <c r="E18" s="1"/>
  <c r="A20" s="1"/>
  <c r="E13"/>
  <c r="E15" s="1"/>
  <c r="E20"/>
  <c r="D18" i="2" s="1"/>
  <c r="E28" i="1"/>
  <c r="E30"/>
  <c r="E56" s="1"/>
  <c r="E39"/>
  <c r="E60" s="1"/>
  <c r="E43"/>
  <c r="D5" i="2" s="1"/>
  <c r="E44" i="1"/>
  <c r="D20" i="2" s="1"/>
  <c r="E48" i="1"/>
  <c r="E50"/>
  <c r="E57"/>
  <c r="E65"/>
  <c r="E69"/>
  <c r="E71"/>
  <c r="E74"/>
  <c r="E75" s="1"/>
  <c r="E78"/>
  <c r="E86"/>
  <c r="E89"/>
  <c r="E92"/>
  <c r="E95"/>
  <c r="A21" l="1"/>
  <c r="E23"/>
  <c r="E58"/>
  <c r="E29"/>
  <c r="E38" s="1"/>
  <c r="E49"/>
  <c r="E40"/>
  <c r="E32"/>
  <c r="E36" s="1"/>
  <c r="E77" s="1"/>
  <c r="E24"/>
  <c r="E51"/>
  <c r="E2" i="3" s="1"/>
  <c r="F9" i="5"/>
  <c r="F10" s="1"/>
  <c r="E79" i="1"/>
  <c r="A19"/>
  <c r="D14" i="2"/>
  <c r="E59" i="1" l="1"/>
  <c r="E31"/>
  <c r="E19" i="3"/>
  <c r="M12"/>
  <c r="E3"/>
  <c r="Q9"/>
  <c r="E22"/>
  <c r="M6"/>
  <c r="E5"/>
  <c r="Q15"/>
  <c r="M2"/>
  <c r="E15"/>
  <c r="M18"/>
  <c r="D17"/>
  <c r="Q4"/>
  <c r="Q7"/>
  <c r="M11"/>
  <c r="E17"/>
  <c r="Q20"/>
  <c r="Q23"/>
  <c r="M4"/>
  <c r="E7"/>
  <c r="E10"/>
  <c r="Q13"/>
  <c r="Q16"/>
  <c r="M19"/>
  <c r="E23"/>
  <c r="Q8"/>
  <c r="Q11"/>
  <c r="E21"/>
  <c r="E14"/>
  <c r="E53" i="1"/>
  <c r="M3" i="3"/>
  <c r="E6"/>
  <c r="M8"/>
  <c r="M10"/>
  <c r="E13"/>
  <c r="M15"/>
  <c r="Q17"/>
  <c r="M20"/>
  <c r="M22"/>
  <c r="D9"/>
  <c r="Q3"/>
  <c r="Q5"/>
  <c r="M7"/>
  <c r="E9"/>
  <c r="E11"/>
  <c r="Q12"/>
  <c r="M14"/>
  <c r="M16"/>
  <c r="E18"/>
  <c r="Q19"/>
  <c r="Q21"/>
  <c r="M23"/>
  <c r="E76" i="1"/>
  <c r="D22" i="3"/>
  <c r="D14"/>
  <c r="D4"/>
  <c r="D19"/>
  <c r="D11"/>
  <c r="D5"/>
  <c r="D17" i="2"/>
  <c r="D16" i="3"/>
  <c r="D7"/>
  <c r="D21"/>
  <c r="D13"/>
  <c r="D6"/>
  <c r="D2"/>
  <c r="D18"/>
  <c r="D10"/>
  <c r="Q2"/>
  <c r="E4"/>
  <c r="M5"/>
  <c r="Q6"/>
  <c r="E8"/>
  <c r="M9"/>
  <c r="Q10"/>
  <c r="E12"/>
  <c r="M13"/>
  <c r="Q14"/>
  <c r="E16"/>
  <c r="M17"/>
  <c r="Q18"/>
  <c r="E20"/>
  <c r="M21"/>
  <c r="Q22"/>
  <c r="D23"/>
  <c r="D15"/>
  <c r="D8"/>
  <c r="D3"/>
  <c r="D20"/>
  <c r="D12"/>
  <c r="E80" i="1"/>
  <c r="E82" s="1"/>
  <c r="J28"/>
  <c r="E81" l="1"/>
  <c r="D9" i="2" s="1"/>
  <c r="D21"/>
  <c r="N8" i="3"/>
  <c r="N10" l="1"/>
  <c r="F2"/>
  <c r="H2" s="1"/>
  <c r="N2"/>
  <c r="N18"/>
  <c r="N20"/>
  <c r="N6"/>
  <c r="N12"/>
  <c r="N4"/>
  <c r="N22"/>
  <c r="N14"/>
  <c r="N16"/>
  <c r="J17"/>
  <c r="J18"/>
  <c r="J19"/>
  <c r="J20"/>
  <c r="J21"/>
  <c r="J22"/>
  <c r="J23"/>
  <c r="D10" i="2"/>
  <c r="J14" i="3"/>
  <c r="J10"/>
  <c r="J6"/>
  <c r="J16"/>
  <c r="J12"/>
  <c r="J8"/>
  <c r="J4"/>
  <c r="J2"/>
  <c r="J13"/>
  <c r="J9"/>
  <c r="J5"/>
  <c r="J3"/>
  <c r="J15"/>
  <c r="J11"/>
  <c r="J7"/>
  <c r="G20"/>
  <c r="I20" s="1"/>
  <c r="G16"/>
  <c r="I16" s="1"/>
  <c r="G12"/>
  <c r="I12" s="1"/>
  <c r="G10"/>
  <c r="I10" s="1"/>
  <c r="G8"/>
  <c r="I8" s="1"/>
  <c r="G6"/>
  <c r="I6" s="1"/>
  <c r="G4"/>
  <c r="I4" s="1"/>
  <c r="G2"/>
  <c r="I2" s="1"/>
  <c r="F23"/>
  <c r="H23" s="1"/>
  <c r="F21"/>
  <c r="H21" s="1"/>
  <c r="F19"/>
  <c r="H19" s="1"/>
  <c r="F17"/>
  <c r="H17" s="1"/>
  <c r="F15"/>
  <c r="H15" s="1"/>
  <c r="F13"/>
  <c r="H13" s="1"/>
  <c r="F11"/>
  <c r="H11" s="1"/>
  <c r="F9"/>
  <c r="H9" s="1"/>
  <c r="F7"/>
  <c r="H7" s="1"/>
  <c r="F5"/>
  <c r="H5" s="1"/>
  <c r="F3"/>
  <c r="H3" s="1"/>
  <c r="O22"/>
  <c r="O20"/>
  <c r="O18"/>
  <c r="O16"/>
  <c r="O14"/>
  <c r="O12"/>
  <c r="O10"/>
  <c r="O8"/>
  <c r="O6"/>
  <c r="O4"/>
  <c r="O2"/>
  <c r="N23"/>
  <c r="N21"/>
  <c r="N19"/>
  <c r="N17"/>
  <c r="N15"/>
  <c r="N13"/>
  <c r="N11"/>
  <c r="N9"/>
  <c r="N7"/>
  <c r="N5"/>
  <c r="N3"/>
  <c r="G23"/>
  <c r="I23" s="1"/>
  <c r="G21"/>
  <c r="I21" s="1"/>
  <c r="G19"/>
  <c r="I19" s="1"/>
  <c r="G17"/>
  <c r="I17" s="1"/>
  <c r="G15"/>
  <c r="I15" s="1"/>
  <c r="G13"/>
  <c r="I13" s="1"/>
  <c r="G11"/>
  <c r="I11" s="1"/>
  <c r="G9"/>
  <c r="I9" s="1"/>
  <c r="G7"/>
  <c r="I7" s="1"/>
  <c r="G5"/>
  <c r="I5" s="1"/>
  <c r="G3"/>
  <c r="I3" s="1"/>
  <c r="G22"/>
  <c r="I22" s="1"/>
  <c r="G18"/>
  <c r="I18" s="1"/>
  <c r="G14"/>
  <c r="I14" s="1"/>
  <c r="F22"/>
  <c r="H22" s="1"/>
  <c r="F20"/>
  <c r="H20" s="1"/>
  <c r="F18"/>
  <c r="H18" s="1"/>
  <c r="F16"/>
  <c r="H16" s="1"/>
  <c r="F14"/>
  <c r="H14" s="1"/>
  <c r="F12"/>
  <c r="H12" s="1"/>
  <c r="F10"/>
  <c r="H10" s="1"/>
  <c r="F8"/>
  <c r="H8" s="1"/>
  <c r="F6"/>
  <c r="H6" s="1"/>
  <c r="F4"/>
  <c r="H4" s="1"/>
  <c r="O23"/>
  <c r="O21"/>
  <c r="O19"/>
  <c r="O17"/>
  <c r="O15"/>
  <c r="O13"/>
  <c r="O11"/>
  <c r="O9"/>
  <c r="O7"/>
  <c r="O5"/>
  <c r="O3"/>
</calcChain>
</file>

<file path=xl/comments1.xml><?xml version="1.0" encoding="utf-8"?>
<comments xmlns="http://schemas.openxmlformats.org/spreadsheetml/2006/main">
  <authors>
    <author>crmcsc</author>
    <author>dpace</author>
    <author>Karl Heck</author>
  </authors>
  <commentList>
    <comment ref="E7" authorId="0" guid="{1FA06516-1AE4-4092-AE66-D3395C75787D}">
      <text>
        <r>
          <rPr>
            <sz val="9"/>
            <color indexed="81"/>
            <rFont val="Tahoma"/>
            <charset val="1"/>
          </rPr>
          <t>For operation with input voltage  below 4V, see the datasheet instructions for drawing operating current  from the output.</t>
        </r>
      </text>
    </comment>
    <comment ref="E9" authorId="0" guid="{1CC95A6B-5EAA-479D-B099-F6C1B969785A}">
      <text>
        <r>
          <rPr>
            <sz val="9"/>
            <color indexed="81"/>
            <rFont val="Tahoma"/>
            <charset val="1"/>
          </rPr>
          <t xml:space="preserve">This is the maximum average load current required for the application.  
</t>
        </r>
      </text>
    </comment>
    <comment ref="E10" authorId="0" guid="{078F0D3D-6A1F-4C16-821D-DA6835F2B6A8}">
      <text>
        <r>
          <rPr>
            <sz val="9"/>
            <color indexed="81"/>
            <rFont val="Tahoma"/>
            <charset val="1"/>
          </rPr>
          <t>A good starting value for both buck mode and buck-boost mode ripple is 40% of the average  inductor current.  Target inductor values are then calculated  for both operating modes.  Then a compromise inductance value between the two calculated values must be chosen.  Actual inductor current ripple is caclulated based on this chosen value. 
For buck-boost calculations, the %ripple is true inductor ripple.  In some subsequent equations, the output current is used, but appropriate factors are incorporated to refer this back to inductor ripple.  For buck calculations, the average inductor current is output current.</t>
        </r>
      </text>
    </comment>
    <comment ref="E11" authorId="0" guid="{269979B3-7E49-4BE8-BCB9-351277387F31}">
      <text>
        <r>
          <rPr>
            <sz val="9"/>
            <color indexed="81"/>
            <rFont val="Tahoma"/>
            <charset val="1"/>
          </rPr>
          <t xml:space="preserve">VCCX is an optional  input to the LM5118. If a voltage greater than 4.7V is supplied to VCCX, the operating current for LM5118 will be drawn from this external supply instead of VIN.   This will increase overall efficiency and reduce the LM5118 junction temperature.    
</t>
        </r>
      </text>
    </comment>
    <comment ref="E18" authorId="0" guid="{2AE8CDA4-5619-4A72-8AC3-1889E4098C76}">
      <text>
        <r>
          <rPr>
            <sz val="9"/>
            <color indexed="81"/>
            <rFont val="Tahoma"/>
            <charset val="1"/>
          </rPr>
          <t xml:space="preserve">This value is determined by either the minimum on-time constraint or the LM5118 maximum switching frequency of 500 kHz.
</t>
        </r>
      </text>
    </comment>
    <comment ref="E19" authorId="0" guid="{447FC002-8AEA-44E1-A03B-FC6F438BC610}">
      <text>
        <r>
          <rPr>
            <sz val="9"/>
            <color indexed="81"/>
            <rFont val="Tahoma"/>
            <charset val="1"/>
          </rPr>
          <t xml:space="preserve">Selection of the operating frequency is a trade-off between the conversion efficiency and solution size.  
Operation at lower frequency improves efficiency but requires a larger inductor and more output filter capacitance.   
Operation at high frequency will reduce the efficiency and consequently generate more heat.  In some applications, a high operating frequency will limit the input voltage range, as described below:
 Attention must be given to the minimum off time requirement of 400ns (see datasheet for limits over temperature)  when selecting switching frequency.  Depending on input and output voltage requirements,  the maximum duty cycle could be limited by the minimum off time and could affect the converter's performance.  Refer to the data sheet discussion and graph regarding minimum off time and duty cycle.
 </t>
        </r>
      </text>
    </comment>
    <comment ref="E23" authorId="0" guid="{F6E623BE-019A-458C-AB37-6106D676E034}">
      <text>
        <r>
          <rPr>
            <sz val="9"/>
            <color indexed="81"/>
            <rFont val="Tahoma"/>
            <charset val="1"/>
          </rPr>
          <t>This is the initial calculated inductor value  based on the specified percent ripple for operation in the buck mode.  This value must be compared to the calculated buck-boost mode  inductor value.  A compromise value is chosen based on operating requirements.</t>
        </r>
        <r>
          <rPr>
            <sz val="9"/>
            <color indexed="81"/>
            <rFont val="Tahoma"/>
            <charset val="1"/>
          </rPr>
          <t xml:space="preserve">
</t>
        </r>
      </text>
    </comment>
    <comment ref="E24" authorId="0" guid="{42C93288-7FF3-45C2-93A0-44EAA4BF5031}">
      <text>
        <r>
          <rPr>
            <sz val="9"/>
            <color indexed="81"/>
            <rFont val="Tahoma"/>
            <charset val="1"/>
          </rPr>
          <t>This is the initial calculated inductor value  based on the specified percent ripple for operation in the buck-boost mode.  This value must be compared to the calculated buck mode  inductor value.  A compromise value is chosen based on operating requirements.</t>
        </r>
        <r>
          <rPr>
            <sz val="9"/>
            <color indexed="81"/>
            <rFont val="Tahoma"/>
            <charset val="1"/>
          </rPr>
          <t xml:space="preserve">
</t>
        </r>
      </text>
    </comment>
    <comment ref="E25" authorId="0" guid="{31809635-F0D9-4596-A3F1-0BF862AB8C1D}">
      <text>
        <r>
          <rPr>
            <sz val="9"/>
            <color indexed="81"/>
            <rFont val="Tahoma"/>
            <charset val="1"/>
          </rPr>
          <t>The actual inductor value that is selected will be a compromise between low inductor ripple current in the buck mode vs loop stability in the buck-boost mode.
A right half-plane zero in the buck-boost mode  moves to lower frequencies as the value of L  increases.  This makes the loop more difficult to stabilize.
A suggested starting point for the  inductor value is  as close to the buck-boost calculated value as possible while maintaining tolerable ripple in the buck mode.</t>
        </r>
        <r>
          <rPr>
            <sz val="9"/>
            <color indexed="81"/>
            <rFont val="Tahoma"/>
            <charset val="1"/>
          </rPr>
          <t xml:space="preserve">
</t>
        </r>
      </text>
    </comment>
    <comment ref="E28" authorId="0" guid="{4F86C53B-D68D-4AEB-B379-745CB2ED356A}">
      <text>
        <r>
          <rPr>
            <sz val="9"/>
            <color indexed="81"/>
            <rFont val="Tahoma"/>
            <charset val="1"/>
          </rPr>
          <t>The ripple current at Vin=Vout, which is approximately the highest Vin voltage consistent with pure buck-boost operation.</t>
        </r>
      </text>
    </comment>
    <comment ref="E29" authorId="0" guid="{25E10807-B9C9-4EEE-9D17-85C9EF4269C0}">
      <text>
        <r>
          <rPr>
            <sz val="9"/>
            <color indexed="81"/>
            <rFont val="Tahoma"/>
            <charset val="1"/>
          </rPr>
          <t>This value is the worst case peak-to-peak buck mode ripple at Vin(max).</t>
        </r>
      </text>
    </comment>
    <comment ref="E30" authorId="0" guid="{09D9CC8E-BD32-4115-ABBF-D10DB599340B}">
      <text>
        <r>
          <rPr>
            <sz val="9"/>
            <color indexed="81"/>
            <rFont val="Tahoma"/>
            <charset val="1"/>
          </rPr>
          <t xml:space="preserve">This value represents the peak to peak ripple current at Vin(min). </t>
        </r>
      </text>
    </comment>
    <comment ref="E31" authorId="0" guid="{38F691D7-6964-4097-AD56-DC0DA9905C1B}">
      <text>
        <r>
          <rPr>
            <sz val="9"/>
            <color indexed="81"/>
            <rFont val="Tahoma"/>
            <charset val="1"/>
          </rPr>
          <t>This is the peak inductor current in the buck mode calculated at Vin(max).  This number depends on the final inductor value chosen and will typically be larger than normally expected in a pure buck regulator.  This is due to the smaller than optimum value of L  for pure buck mode operation. Note that this value is calculated at the chosen output current, not at current limit.</t>
        </r>
      </text>
    </comment>
    <comment ref="E32" authorId="0" guid="{3D8D25ED-6A35-4EE5-8FAE-627ACE294C6A}">
      <text>
        <r>
          <rPr>
            <sz val="9"/>
            <color indexed="81"/>
            <rFont val="Tahoma"/>
            <charset val="1"/>
          </rPr>
          <t xml:space="preserve">This is the peak inductor current in the buck-boost mode.  This value is calculated for the chosen </t>
        </r>
        <r>
          <rPr>
            <b/>
            <sz val="9"/>
            <color indexed="81"/>
            <rFont val="Tahoma"/>
            <charset val="1"/>
          </rPr>
          <t xml:space="preserve">output current.  </t>
        </r>
        <r>
          <rPr>
            <sz val="9"/>
            <color indexed="81"/>
            <rFont val="Tahoma"/>
            <charset val="1"/>
          </rPr>
          <t>This value will increase at current limit which is calculated below.  It is also the peak switch current and therefore the peak current the sense resistor will experience at the chosen output current.  The current limit threshold is internally doubled in buck-boost mode, therefore the buck mode current limit value set by Rs must be at least one-half this value.</t>
        </r>
        <r>
          <rPr>
            <sz val="9"/>
            <color indexed="81"/>
            <rFont val="Tahoma"/>
            <charset val="1"/>
          </rPr>
          <t xml:space="preserve">
</t>
        </r>
      </text>
    </comment>
    <comment ref="E35" authorId="0" guid="{AFE9484C-020E-4A91-9256-63AB7E29A810}">
      <text>
        <r>
          <rPr>
            <sz val="9"/>
            <color indexed="81"/>
            <rFont val="Tahoma"/>
            <charset val="1"/>
          </rPr>
          <t>Some margin beyond the maximum load current is recommended for the current limit threshold.   
5% - 20%  is a reasonable starting point depending on selected component and LM5118 current limit threshold tolerances. 
Many low value resistors make for current sense applications are offered in a limited number of standard values.  This is a factor in the margin selected.</t>
        </r>
        <r>
          <rPr>
            <sz val="9"/>
            <color indexed="81"/>
            <rFont val="Tahoma"/>
            <charset val="1"/>
          </rPr>
          <t xml:space="preserve">
</t>
        </r>
      </text>
    </comment>
    <comment ref="E36" authorId="1" guid="{DAA0595C-C955-4307-BC9C-93DC18CDC4E0}">
      <text>
        <r>
          <rPr>
            <sz val="9"/>
            <color indexed="81"/>
            <rFont val="Tahoma"/>
            <charset val="1"/>
          </rPr>
          <t>Rs value calculated to allow enough peak current to support Iout  in buck and buck-boost modes.</t>
        </r>
      </text>
    </comment>
    <comment ref="E38" authorId="0" guid="{FE393820-55FB-4297-B854-3D607C01B56E}">
      <text>
        <r>
          <rPr>
            <sz val="9"/>
            <color indexed="81"/>
            <rFont val="Tahoma"/>
            <charset val="1"/>
          </rPr>
          <t xml:space="preserve">This is the lowest average load current where current limit will occur over the Vin operating range. The value of this cell is based on the Buck Mode maximum input voltage. This value will depend on input voltage and should be noted in a new design by changing the maximum input voltage over the operating range and observing the value in this cell.   Note than in short circuit, the hiccup current limit function will limit the average current to a value much less than shown. 
</t>
        </r>
      </text>
    </comment>
    <comment ref="E39" authorId="0" guid="{7913F75C-1B7A-468C-BB20-7977C8BEA0C4}">
      <text>
        <r>
          <rPr>
            <sz val="9"/>
            <color indexed="81"/>
            <rFont val="Tahoma"/>
            <charset val="1"/>
          </rPr>
          <t xml:space="preserve">The inductor must be sized to handle this  buck boost current limit without saturating. 
</t>
        </r>
      </text>
    </comment>
    <comment ref="E40" authorId="0" guid="{05058057-FB56-48BB-AA75-35D9717FF439}">
      <text>
        <r>
          <rPr>
            <sz val="9"/>
            <color indexed="81"/>
            <rFont val="Tahoma"/>
            <charset val="1"/>
          </rPr>
          <t>This value is calculated to guarantee the average output current in the buck-boost mode. This value may be adjusted by entering a different resistor value into the closest standard value cell above.  The value is based on the required Iout, tolerance and the actual selected current limit sense resistor, Rs.</t>
        </r>
        <r>
          <rPr>
            <sz val="9"/>
            <color indexed="81"/>
            <rFont val="Tahoma"/>
            <charset val="1"/>
          </rPr>
          <t xml:space="preserve">
</t>
        </r>
      </text>
    </comment>
    <comment ref="E44" authorId="0" guid="{61FC960E-8A71-4524-A7A1-B08C808FBB8B}">
      <text>
        <r>
          <rPr>
            <sz val="9"/>
            <color indexed="81"/>
            <rFont val="Tahoma"/>
            <charset val="1"/>
          </rPr>
          <t xml:space="preserve">For duty cycles greater than 50%, peak current mode control circuits are subject to sub-harmonic oscillation.  50µA of fixed slope compensation is added to the LM5118, however at input voltages in excess of 20V, additional slope compensation may be required.  </t>
        </r>
      </text>
    </comment>
    <comment ref="E49" authorId="0" guid="{D11FEE36-5600-4EA9-9438-3CA440EF99D3}">
      <text>
        <r>
          <rPr>
            <sz val="9"/>
            <color indexed="81"/>
            <rFont val="Tahoma"/>
            <charset val="1"/>
          </rPr>
          <t>The output capacitor(s) must be able to withstand this ripple value without overheating over the operating temperature range.</t>
        </r>
        <r>
          <rPr>
            <sz val="9"/>
            <color indexed="81"/>
            <rFont val="Tahoma"/>
            <charset val="1"/>
          </rPr>
          <t xml:space="preserve">
</t>
        </r>
      </text>
    </comment>
    <comment ref="E50" authorId="0" guid="{19C83AC5-0E20-4523-B621-B2FE32870EAB}">
      <text>
        <r>
          <rPr>
            <sz val="9"/>
            <color indexed="81"/>
            <rFont val="Tahoma"/>
            <charset val="1"/>
          </rPr>
          <t xml:space="preserve">This value is the minimum capacitance value required to reduce the ripple current to the desired value.  This value assumes all the output ripple is due to the capacitor value.  The actual capacitor value will usually be larger to account for ripple generated across the capacitor ESR.
</t>
        </r>
      </text>
    </comment>
    <comment ref="E51" authorId="0" guid="{E52F0F3B-5A76-4401-9E0A-1BA48A99F108}">
      <text>
        <r>
          <rPr>
            <sz val="9"/>
            <color indexed="81"/>
            <rFont val="Tahoma"/>
            <charset val="1"/>
          </rPr>
          <t xml:space="preserve">This value assumes the output capacitor is large enough to ignore it's contribution to output ripple.  In this case, ripple is determined by ESR.
</t>
        </r>
      </text>
    </comment>
    <comment ref="E53" authorId="0" guid="{F9AB745E-6BCC-4C8A-B4C3-C928D9305CD7}">
      <text>
        <r>
          <rPr>
            <sz val="9"/>
            <color indexed="81"/>
            <rFont val="Tahoma"/>
            <charset val="1"/>
          </rPr>
          <t>This value is calculated at maximum Vin where ripple is highest.</t>
        </r>
        <r>
          <rPr>
            <sz val="9"/>
            <color indexed="81"/>
            <rFont val="Tahoma"/>
            <charset val="1"/>
          </rPr>
          <t xml:space="preserve">
</t>
        </r>
      </text>
    </comment>
    <comment ref="E56" authorId="0" guid="{9A7D777E-2EAA-4FFA-8715-635C1EF19DC4}">
      <text>
        <r>
          <rPr>
            <sz val="9"/>
            <color indexed="81"/>
            <rFont val="Tahoma"/>
            <charset val="1"/>
          </rPr>
          <t xml:space="preserve">The worst case RMS ripple current occurs at minimum Vin.
</t>
        </r>
      </text>
    </comment>
    <comment ref="E57" authorId="0" guid="{A1876BF1-1AD1-41F8-B812-45A8662DB9B3}">
      <text>
        <r>
          <rPr>
            <sz val="9"/>
            <color indexed="81"/>
            <rFont val="Tahoma"/>
            <charset val="1"/>
          </rPr>
          <t xml:space="preserve">The input capacitors should have a low ESR to hold the input voltage ripple to a value consistent with design goals.  For example, the valley of the input ripple voltage subtracts from the effective Vin and could trip the UVLO circuit and Vin(min).
</t>
        </r>
      </text>
    </comment>
    <comment ref="E60" authorId="0" guid="{C2D9D8AA-8E24-4A5E-9227-8E17CD7A84C9}">
      <text>
        <r>
          <rPr>
            <sz val="9"/>
            <color indexed="81"/>
            <rFont val="Tahoma"/>
            <charset val="1"/>
          </rPr>
          <t xml:space="preserve">The input capacitor(s) must meet several criteria:  1) It must withstand the maximum input voltage.
2) It must have a ripple current rating high enough to handle the RMS current.
3) It must have an ESR rating low enough for the peak to peak input current rating to limit the input voltage swing at the IC. </t>
        </r>
        <r>
          <rPr>
            <b/>
            <sz val="9"/>
            <color indexed="81"/>
            <rFont val="Tahoma"/>
            <charset val="1"/>
          </rPr>
          <t xml:space="preserve">
</t>
        </r>
        <r>
          <rPr>
            <sz val="9"/>
            <color indexed="81"/>
            <rFont val="Tahoma"/>
            <charset val="1"/>
          </rPr>
          <t xml:space="preserve">
Good quality ceramic capacitors are good choices to</t>
        </r>
        <r>
          <rPr>
            <b/>
            <sz val="9"/>
            <color indexed="81"/>
            <rFont val="Tahoma"/>
            <charset val="1"/>
          </rPr>
          <t xml:space="preserve"> </t>
        </r>
        <r>
          <rPr>
            <sz val="9"/>
            <color indexed="81"/>
            <rFont val="Tahoma"/>
            <charset val="1"/>
          </rPr>
          <t>meet these criteria</t>
        </r>
        <r>
          <rPr>
            <b/>
            <sz val="9"/>
            <color indexed="81"/>
            <rFont val="Tahoma"/>
            <charset val="1"/>
          </rPr>
          <t>.</t>
        </r>
      </text>
    </comment>
    <comment ref="E61" authorId="0" guid="{658ACEFF-3BD1-49FA-9FAC-7D5E1BFC118A}">
      <text>
        <r>
          <rPr>
            <sz val="9"/>
            <color indexed="81"/>
            <rFont val="Tahoma"/>
            <charset val="1"/>
          </rPr>
          <t xml:space="preserve">Frequently the input capacitor(s) must have a higher value than referenced in the previous cell to meet all the criteria required.  Ceramic capacitors are a good choice because of their low ESR and high ripple current ratings.  If Electroltyic capacitors are used, values much higher than the previous calculated value may be required to meet ripple current and ESR ratings.
</t>
        </r>
      </text>
    </comment>
    <comment ref="E64" authorId="2" guid="{73618245-6E30-4F2C-BE5E-A9E57899DCBC}">
      <text>
        <r>
          <rPr>
            <sz val="9"/>
            <color indexed="81"/>
            <rFont val="Tahoma"/>
            <charset val="1"/>
          </rPr>
          <t xml:space="preserve">Rfb1 is typically chosen to be a vlaue which will allow 1ma or greater divider current for noise immunity.  For example, for a 12 volt output choose Rb1 to be 1.2k or smaller. </t>
        </r>
      </text>
    </comment>
    <comment ref="E68" authorId="0" guid="{70620340-43A3-45D8-8431-6B27A0A20B22}">
      <text>
        <r>
          <rPr>
            <sz val="9"/>
            <color indexed="81"/>
            <rFont val="Tahoma"/>
            <charset val="1"/>
          </rPr>
          <t xml:space="preserve">Consistent with design goals, choose a MOSFET with the lowest Qg value.  This will minimize losses at higher frequencies.
</t>
        </r>
      </text>
    </comment>
    <comment ref="E71" authorId="0" guid="{7329A8A8-1EA6-4488-B285-3E08E5C77B0E}">
      <text>
        <r>
          <rPr>
            <sz val="9"/>
            <color indexed="81"/>
            <rFont val="Tahoma"/>
            <charset val="1"/>
          </rPr>
          <t xml:space="preserve">This value should be at least ten times larger than Chb.
</t>
        </r>
      </text>
    </comment>
    <comment ref="E74" authorId="0" guid="{8E2DF449-79A2-480B-8C73-DCBDDB2A52EE}">
      <text>
        <r>
          <rPr>
            <sz val="9"/>
            <color indexed="81"/>
            <rFont val="Tahoma"/>
            <charset val="1"/>
          </rPr>
          <t xml:space="preserve">This zero location is determined by the L, Vin, Vout, and Iout.
</t>
        </r>
      </text>
    </comment>
    <comment ref="E75" authorId="0" guid="{C565B89E-1B7C-4340-B6C3-3F9AC76E9DA6}">
      <text>
        <r>
          <rPr>
            <sz val="9"/>
            <color indexed="81"/>
            <rFont val="Tahoma"/>
            <charset val="1"/>
          </rPr>
          <t xml:space="preserve">Typically, the bandwidth of the overall loop must be less than the right-half-plane zero by a factor of 3.5 to 5.  A factor of 3.9 was chosen for this example. A larger number provides more margin from instability caused by the right-half-plane zero.
</t>
        </r>
      </text>
    </comment>
    <comment ref="E89" authorId="0" guid="{3C6FE7C3-52F9-4667-895F-E8970F9B0123}">
      <text>
        <r>
          <rPr>
            <sz val="9"/>
            <color indexed="81"/>
            <rFont val="Tahoma"/>
            <charset val="1"/>
          </rPr>
          <t xml:space="preserve">This  is the minimum resistance value that insures that the current through R1 is low enough to allow the internal UVLO discharge switch to pull the UVLO pin low.
</t>
        </r>
      </text>
    </comment>
    <comment ref="E91" authorId="0" guid="{FC8552D1-DFBB-4124-80B5-07E74F0212AB}">
      <text>
        <r>
          <rPr>
            <sz val="9"/>
            <color indexed="81"/>
            <rFont val="Tahoma"/>
            <charset val="1"/>
          </rPr>
          <t xml:space="preserve">The UVLO threshold must be lower than the minimum input voltage with some margin for component tolerances.  Also consider  the the input ripple voltage which momentarily reduces Vin below the average Vin(min).
</t>
        </r>
      </text>
    </comment>
    <comment ref="E93" authorId="0" guid="{658DE887-91D7-45F5-AA55-2FF6EDBC9BEF}">
      <text>
        <r>
          <rPr>
            <sz val="9"/>
            <color indexed="81"/>
            <rFont val="Tahoma"/>
            <charset val="1"/>
          </rPr>
          <t xml:space="preserve">The off-time of the hiccup mode  current limiting  will determine how effectively power is limited in a prolonged short circuit condition. </t>
        </r>
      </text>
    </comment>
    <comment ref="E94" authorId="0" guid="{56D6A7EB-5450-4EFD-A42A-B642911A360C}">
      <text>
        <r>
          <rPr>
            <sz val="9"/>
            <color indexed="81"/>
            <rFont val="Tahoma"/>
            <charset val="1"/>
          </rPr>
          <t xml:space="preserve">The hiccup mode off-time is a function of input voltage and should be chosen for the nominal operating parameters of a given design. </t>
        </r>
      </text>
    </comment>
  </commentList>
</comments>
</file>

<file path=xl/connections.xml><?xml version="1.0" encoding="utf-8"?>
<connections xmlns="http://schemas.openxmlformats.org/spreadsheetml/2006/main">
  <connection id="1" sourceFile="C:\Documents and Settings\crmcsc.INTERFACE\My Documents\PROJECTS\Buck-Boost\APPS BOARD\Latest Files\LM5118_EVAL_A9_BOM.XLS" keepAlive="1" name="LM5118_EVAL_A9_BOM" type="5" refreshedVersion="2" background="1" saveData="1">
    <dbPr connection="Provider=Microsoft.Jet.OLEDB.4.0;User ID=Admin;Data Source=C:\Documents and Settings\crmcsc.INTERFACE\My Documents\PROJECTS\Buck-Boost\APPS BOARD\Latest Files\LM5118_EVAL_A9_BOM.XLS;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 command="'Sheet1 (2)$'" commandType="3"/>
  </connection>
</connections>
</file>

<file path=xl/sharedStrings.xml><?xml version="1.0" encoding="utf-8"?>
<sst xmlns="http://schemas.openxmlformats.org/spreadsheetml/2006/main" count="178" uniqueCount="165">
  <si>
    <t>Vout (V)</t>
  </si>
  <si>
    <t>Vin(min) (V)</t>
  </si>
  <si>
    <t>Vin(max) (V)</t>
  </si>
  <si>
    <t>Step 2 - Switching Frequency</t>
  </si>
  <si>
    <t>LM5118 Quick Start Component Calculator</t>
  </si>
  <si>
    <t>Cramp (pF)</t>
  </si>
  <si>
    <t>Step 3 - Inductor Value</t>
  </si>
  <si>
    <t>Step 10 - Feedback Resistors</t>
  </si>
  <si>
    <t>Bandwidth (kHz)</t>
  </si>
  <si>
    <t>Right Half Plane Zero Frequency (kHz)</t>
  </si>
  <si>
    <t xml:space="preserve"> </t>
  </si>
  <si>
    <t>Target Error Amp Zero Frequency (Hz)</t>
  </si>
  <si>
    <t>Cpole (nF)</t>
  </si>
  <si>
    <t>Czero (nF)</t>
  </si>
  <si>
    <t>Buck Mode Output Ripple Voltage (mV)</t>
  </si>
  <si>
    <t>Buck-Boost Mode Operation</t>
  </si>
  <si>
    <t>Cout</t>
  </si>
  <si>
    <t>L</t>
  </si>
  <si>
    <t>Rt</t>
  </si>
  <si>
    <t>Vinmax</t>
  </si>
  <si>
    <t>Vinmin</t>
  </si>
  <si>
    <t>Vout</t>
  </si>
  <si>
    <t>Component</t>
  </si>
  <si>
    <t>Description</t>
  </si>
  <si>
    <t>Value</t>
  </si>
  <si>
    <t>Cramp</t>
  </si>
  <si>
    <t>Rfb1</t>
  </si>
  <si>
    <t>Rs</t>
  </si>
  <si>
    <t>LM5118 List of Components</t>
  </si>
  <si>
    <t xml:space="preserve"> Step 1 - Application Requirements</t>
  </si>
  <si>
    <t>Step 4 - Calculate Output and Inductor Currents Based on Chosen Inductor</t>
  </si>
  <si>
    <t>Step 5 - Ramp Capacitor</t>
  </si>
  <si>
    <t xml:space="preserve">Cin </t>
  </si>
  <si>
    <t>Input capacitor</t>
  </si>
  <si>
    <t>Ramp capacitor</t>
  </si>
  <si>
    <t>Css</t>
  </si>
  <si>
    <t>Soft start capacitor</t>
  </si>
  <si>
    <t>Output capacitor</t>
  </si>
  <si>
    <t>UVLO filter capacitor</t>
  </si>
  <si>
    <t>Compensation capacitor</t>
  </si>
  <si>
    <t>Cvcc</t>
  </si>
  <si>
    <t>VCC bypass capacitor</t>
  </si>
  <si>
    <t>Chb</t>
  </si>
  <si>
    <t>HB-SW bypass capacitor</t>
  </si>
  <si>
    <t>Feedback resistor</t>
  </si>
  <si>
    <t>Rfb2</t>
  </si>
  <si>
    <t>UVLO divider resistor</t>
  </si>
  <si>
    <t>Inductor</t>
  </si>
  <si>
    <t>Rramp</t>
  </si>
  <si>
    <t>Optional ramp resistor</t>
  </si>
  <si>
    <t>Rcomp</t>
  </si>
  <si>
    <t>Compensation resistor</t>
  </si>
  <si>
    <t>Modulator
Gain
(dB)</t>
  </si>
  <si>
    <t>Modulator
Phase
(deg)</t>
  </si>
  <si>
    <t>Error Amplifier Gain
(dB)</t>
  </si>
  <si>
    <t>Error Amplifier Phase (deg)</t>
  </si>
  <si>
    <t>Overall Loop
Gain
(dB)</t>
  </si>
  <si>
    <t>Loop
Phase
(deg)</t>
  </si>
  <si>
    <t>Vin</t>
  </si>
  <si>
    <t>10 is buck</t>
  </si>
  <si>
    <t>10 is buck-boost</t>
  </si>
  <si>
    <t>pole at orgin gain</t>
  </si>
  <si>
    <t>Cpole</t>
  </si>
  <si>
    <t>Czero</t>
  </si>
  <si>
    <t>Dominant mod pole</t>
  </si>
  <si>
    <t xml:space="preserve"> ModRHP Zero</t>
  </si>
  <si>
    <t>ModESRzero</t>
  </si>
  <si>
    <t>error zero</t>
  </si>
  <si>
    <t>error hf pole</t>
  </si>
  <si>
    <t>MOD ESR Zero</t>
  </si>
  <si>
    <t>MOD Dominate Pole</t>
  </si>
  <si>
    <t>Mod RHP ZERO Phase</t>
  </si>
  <si>
    <t>Buck-Boost RMS Input Ripple Current (A)</t>
  </si>
  <si>
    <t>Buck-Boost Mode Peak to Peak Current Ripple in Input Cap (A)</t>
  </si>
  <si>
    <t>Buck Mode RMS input Ripple Current (A)</t>
  </si>
  <si>
    <t>Buck Mode Peak to Peak Current Ripple in Input Cap (A)</t>
  </si>
  <si>
    <t>Lower ts limit</t>
  </si>
  <si>
    <t>Upper ts limit</t>
  </si>
  <si>
    <t>Lo B-B Voltage</t>
  </si>
  <si>
    <t>Hi B-B voltage</t>
  </si>
  <si>
    <t>Lower Buck</t>
  </si>
  <si>
    <t>Upper Buck</t>
  </si>
  <si>
    <t>Step 13 - Soft Start capacitor</t>
  </si>
  <si>
    <t xml:space="preserve">NEW </t>
  </si>
  <si>
    <t>Offset</t>
  </si>
  <si>
    <t>Buck</t>
  </si>
  <si>
    <t>Offset-Buck</t>
  </si>
  <si>
    <t>Buck-Boost</t>
  </si>
  <si>
    <t>Graph-Trans</t>
  </si>
  <si>
    <t>Offset-Trans</t>
  </si>
  <si>
    <t>Target output ripple (mV)</t>
  </si>
  <si>
    <t>-</t>
  </si>
  <si>
    <t>1/16 W</t>
  </si>
  <si>
    <t>Sense resistor</t>
  </si>
  <si>
    <t>Oscillator timing resistor</t>
  </si>
  <si>
    <t>Cr</t>
  </si>
  <si>
    <t>16V, X7R</t>
  </si>
  <si>
    <t>100V,  X7R</t>
  </si>
  <si>
    <t>100V,  COG</t>
  </si>
  <si>
    <t>25V,  X7R</t>
  </si>
  <si>
    <t>100V COG</t>
  </si>
  <si>
    <t>100V, X7R</t>
  </si>
  <si>
    <t>2 W</t>
  </si>
  <si>
    <t>13A</t>
  </si>
  <si>
    <r>
      <t xml:space="preserve">Buck-Boost Ripple Current at Vin=Vout, </t>
    </r>
    <r>
      <rPr>
        <sz val="10"/>
        <rFont val="Arial"/>
        <family val="2"/>
      </rPr>
      <t>ΔI</t>
    </r>
    <r>
      <rPr>
        <sz val="8.5"/>
        <rFont val="Arial"/>
      </rPr>
      <t xml:space="preserve"> </t>
    </r>
    <r>
      <rPr>
        <sz val="10"/>
        <rFont val="Arial"/>
      </rPr>
      <t xml:space="preserve">(A) </t>
    </r>
  </si>
  <si>
    <t>Buck-Boost Ripple Current at Vin(min), ΔI (A)</t>
  </si>
  <si>
    <t>Buck-Mode Peak Inductor Current, Ip(b) (A)</t>
  </si>
  <si>
    <t>Buck-Boost Mode Peak Inductor Current, Ip(b-b) (A)</t>
  </si>
  <si>
    <r>
      <t>Current Sense Resistor, Rs (m</t>
    </r>
    <r>
      <rPr>
        <sz val="10"/>
        <rFont val="Symbol"/>
        <family val="1"/>
        <charset val="2"/>
      </rPr>
      <t>W</t>
    </r>
    <r>
      <rPr>
        <sz val="10"/>
        <rFont val="Arial"/>
      </rPr>
      <t>)</t>
    </r>
  </si>
  <si>
    <t xml:space="preserve"> Buck Mode Average Output Current Limit (A)</t>
  </si>
  <si>
    <r>
      <t>Closest Standard Value, Rs (m</t>
    </r>
    <r>
      <rPr>
        <sz val="10"/>
        <rFont val="Symbol"/>
        <family val="1"/>
        <charset val="2"/>
      </rPr>
      <t>W</t>
    </r>
    <r>
      <rPr>
        <sz val="10"/>
        <rFont val="Arial"/>
      </rPr>
      <t>)</t>
    </r>
  </si>
  <si>
    <t xml:space="preserve"> Buck-Boost Mode Average Output Current Limit (A)</t>
  </si>
  <si>
    <t>Buck-Boost RMS Ripple Current in Output Cap (A)</t>
  </si>
  <si>
    <r>
      <t>Rfb1 (</t>
    </r>
    <r>
      <rPr>
        <sz val="10"/>
        <rFont val="Symbol"/>
        <family val="1"/>
        <charset val="2"/>
      </rPr>
      <t>W</t>
    </r>
    <r>
      <rPr>
        <sz val="10"/>
        <rFont val="Arial"/>
      </rPr>
      <t>)</t>
    </r>
  </si>
  <si>
    <r>
      <t>Rfb2 (</t>
    </r>
    <r>
      <rPr>
        <sz val="10"/>
        <rFont val="Symbol"/>
        <family val="1"/>
        <charset val="2"/>
      </rPr>
      <t>W</t>
    </r>
    <r>
      <rPr>
        <sz val="10"/>
        <rFont val="Arial"/>
      </rPr>
      <t>)</t>
    </r>
  </si>
  <si>
    <r>
      <t>Rcomp (</t>
    </r>
    <r>
      <rPr>
        <sz val="10"/>
        <rFont val="Symbol"/>
        <family val="1"/>
        <charset val="2"/>
      </rPr>
      <t>W</t>
    </r>
    <r>
      <rPr>
        <sz val="10"/>
        <rFont val="Arial"/>
      </rPr>
      <t>)</t>
    </r>
  </si>
  <si>
    <r>
      <t>Required COUT ESR (m</t>
    </r>
    <r>
      <rPr>
        <sz val="10"/>
        <rFont val="Symbol"/>
        <family val="1"/>
        <charset val="2"/>
      </rPr>
      <t>W</t>
    </r>
    <r>
      <rPr>
        <sz val="10"/>
        <rFont val="Arial"/>
      </rPr>
      <t>)</t>
    </r>
  </si>
  <si>
    <t>Step 12 - Error Amplifier Compensation</t>
  </si>
  <si>
    <t>Modulator Gm (A/V)</t>
  </si>
  <si>
    <t>Frequency (Hz)</t>
  </si>
  <si>
    <t>Frequency (rad/sec)</t>
  </si>
  <si>
    <r>
      <t>Rramp (k</t>
    </r>
    <r>
      <rPr>
        <sz val="10"/>
        <rFont val="Symbol"/>
        <family val="1"/>
        <charset val="2"/>
      </rPr>
      <t>W</t>
    </r>
    <r>
      <rPr>
        <sz val="10"/>
        <rFont val="Arial"/>
      </rPr>
      <t>)</t>
    </r>
  </si>
  <si>
    <t>Step 9 - Output Capacitors (Based on Worst Case Conditions for Each Mode)</t>
  </si>
  <si>
    <t>Step 10 - Input Capacitors (Based on Worst Case Conditions for Each Mode)</t>
  </si>
  <si>
    <t>Step 11 - Chb &amp; Cvcc Capacitor</t>
  </si>
  <si>
    <t>Maximum Possible Switching Frequency (kHz)</t>
  </si>
  <si>
    <t>Switching Frequency (kHz)</t>
  </si>
  <si>
    <t>Chosen COUT output capacitor value (µF)</t>
  </si>
  <si>
    <t>Chosen CIN Input Capacitor Value (µF)</t>
  </si>
  <si>
    <t>Chosen Value for Chb (µF)</t>
  </si>
  <si>
    <t>Calculated Buck Mode Inductor Value, Lb (µH)</t>
  </si>
  <si>
    <t>Calculated Buck-Boost Mode Inductor Value, Lb-b (µH)</t>
  </si>
  <si>
    <t>Actual Chosen Inductor Value, L (µH)</t>
  </si>
  <si>
    <r>
      <t>Timing Resistor, Rt (k</t>
    </r>
    <r>
      <rPr>
        <sz val="10"/>
        <rFont val="Symbol"/>
        <family val="1"/>
        <charset val="2"/>
      </rPr>
      <t>W</t>
    </r>
    <r>
      <rPr>
        <sz val="10"/>
        <rFont val="Arial"/>
      </rPr>
      <t>)</t>
    </r>
  </si>
  <si>
    <t>VCCX Voltage (V)</t>
  </si>
  <si>
    <t>Modulator Gain at Loop Crossover (dB)</t>
  </si>
  <si>
    <r>
      <t xml:space="preserve">Buck mode Ripple Current at Vin(max), </t>
    </r>
    <r>
      <rPr>
        <sz val="10"/>
        <rFont val="Arial"/>
        <family val="2"/>
      </rPr>
      <t>ΔI</t>
    </r>
    <r>
      <rPr>
        <sz val="8.5"/>
        <rFont val="Arial"/>
      </rPr>
      <t xml:space="preserve"> (</t>
    </r>
    <r>
      <rPr>
        <sz val="10"/>
        <rFont val="Arial"/>
        <family val="2"/>
      </rPr>
      <t>A</t>
    </r>
    <r>
      <rPr>
        <sz val="8.5"/>
        <rFont val="Arial"/>
      </rPr>
      <t>)</t>
    </r>
  </si>
  <si>
    <t>Minimum COUT output Capacitor Value (µF)</t>
  </si>
  <si>
    <t>Current Limit Margin (% beyond Max Load) (%)</t>
  </si>
  <si>
    <t>Buck-Boost Duty cycle at Vin(min) (%)</t>
  </si>
  <si>
    <t>Step 5 - Current Limit With Safety Margin; Recalculate Currents</t>
  </si>
  <si>
    <t>Choose off-time of hiccup duty cycle (µs)</t>
  </si>
  <si>
    <t>Maximum Average Load Current Iout (A)</t>
  </si>
  <si>
    <t>Ripple Current as % of Maximum Load Current (%)</t>
  </si>
  <si>
    <t>Vin at start of  Transition to Buck-Boost Mode (V)</t>
  </si>
  <si>
    <t>Recommended Controller IC</t>
  </si>
  <si>
    <t>Buck-Boost Mode Inductor Current Peak at Current Limit (A)</t>
  </si>
  <si>
    <t>High-side MOSFET Qg at VGS=10V (nC)</t>
  </si>
  <si>
    <t>Minimum Bootstrap Capacitor Chb (µF)</t>
  </si>
  <si>
    <t>Minimum VCC Bypass Capacitor Cvcc (µF)</t>
  </si>
  <si>
    <t>Choose soft-start time (ms)</t>
  </si>
  <si>
    <t>Desired Undervoltage Threshold (V)</t>
  </si>
  <si>
    <t>Step 14 - UVLO Threshold and Hiccup Mode Restart</t>
  </si>
  <si>
    <t xml:space="preserve">Vin voltage for desired hiccup mode off-time  (V)  </t>
  </si>
  <si>
    <t>Hiccup Mode Off-time Capacitor Value Cr (µF)</t>
  </si>
  <si>
    <t>Ruv1</t>
  </si>
  <si>
    <t>Ruv2</t>
  </si>
  <si>
    <r>
      <t>Minimum Value of Resistor Ruv1  (k</t>
    </r>
    <r>
      <rPr>
        <sz val="10"/>
        <rFont val="Symbol"/>
        <family val="1"/>
        <charset val="2"/>
      </rPr>
      <t>W</t>
    </r>
    <r>
      <rPr>
        <sz val="10"/>
        <rFont val="Arial"/>
      </rPr>
      <t>)</t>
    </r>
  </si>
  <si>
    <r>
      <t>Chosen Value of  Ruv1 (k</t>
    </r>
    <r>
      <rPr>
        <sz val="10"/>
        <rFont val="Symbol"/>
        <family val="1"/>
        <charset val="2"/>
      </rPr>
      <t>W</t>
    </r>
    <r>
      <rPr>
        <sz val="10"/>
        <rFont val="Arial"/>
      </rPr>
      <t>)</t>
    </r>
  </si>
  <si>
    <r>
      <t>Ruv2 Value (k</t>
    </r>
    <r>
      <rPr>
        <sz val="10"/>
        <rFont val="Symbol"/>
        <family val="1"/>
        <charset val="2"/>
      </rPr>
      <t>W</t>
    </r>
    <r>
      <rPr>
        <sz val="10"/>
        <rFont val="Arial"/>
      </rPr>
      <t>)</t>
    </r>
  </si>
  <si>
    <t>Soft Start Capacitor Value (nF)</t>
  </si>
  <si>
    <t xml:space="preserve">             Rating    </t>
  </si>
  <si>
    <r>
      <t>Initial Input Capacitor Value(</t>
    </r>
    <r>
      <rPr>
        <sz val="10"/>
        <rFont val="Arial"/>
        <family val="2"/>
      </rPr>
      <t>μF)</t>
    </r>
  </si>
  <si>
    <t xml:space="preserve"> Enter design requirements in the shaded cells</t>
  </si>
  <si>
    <t>Tartet Error Amp Pole Frequency (Hz)</t>
  </si>
</sst>
</file>

<file path=xl/styles.xml><?xml version="1.0" encoding="utf-8"?>
<styleSheet xmlns="http://schemas.openxmlformats.org/spreadsheetml/2006/main">
  <numFmts count="23">
    <numFmt numFmtId="164" formatCode="0.000"/>
    <numFmt numFmtId="165" formatCode="0&quot;%&quot;"/>
    <numFmt numFmtId="166" formatCode="0.0000"/>
    <numFmt numFmtId="167" formatCode="0.0"/>
    <numFmt numFmtId="168" formatCode="0\ &quot;V&quot;"/>
    <numFmt numFmtId="169" formatCode="0.0\ &quot;W&quot;"/>
    <numFmt numFmtId="170" formatCode="0.0\ &quot;A&quot;"/>
    <numFmt numFmtId="171" formatCode="#,##0;[Red]#,##0"/>
    <numFmt numFmtId="172" formatCode="0.0000E+00"/>
    <numFmt numFmtId="173" formatCode="0.000E+00"/>
    <numFmt numFmtId="174" formatCode="#,##0.00;[Red]#,##0.00"/>
    <numFmt numFmtId="175" formatCode="#,##0.0;[Red]#,##0.0"/>
    <numFmt numFmtId="176" formatCode="0.0\ &quot;μF&quot;"/>
    <numFmt numFmtId="177" formatCode="#,##0\ &quot;pF&quot;"/>
    <numFmt numFmtId="178" formatCode="#,##0\ &quot;μF&quot;"/>
    <numFmt numFmtId="179" formatCode="0.00\ &quot;μF&quot;"/>
    <numFmt numFmtId="180" formatCode="#,##0\ &quot;Ω&quot;"/>
    <numFmt numFmtId="181" formatCode="0.00\ &quot;kΩ&quot;"/>
    <numFmt numFmtId="182" formatCode="0.0\ &quot;kΩ&quot;"/>
    <numFmt numFmtId="183" formatCode="0.0\ &quot;mΩ&quot;"/>
    <numFmt numFmtId="184" formatCode="0.0\ &quot;μH&quot;"/>
    <numFmt numFmtId="185" formatCode="0.0\ &quot;nF&quot;"/>
    <numFmt numFmtId="186" formatCode="0\ &quot;μF&quot;"/>
  </numFmts>
  <fonts count="22">
    <font>
      <sz val="10"/>
      <name val="Arial"/>
    </font>
    <font>
      <sz val="10"/>
      <name val="Arial"/>
    </font>
    <font>
      <b/>
      <sz val="14"/>
      <name val="Arial"/>
      <family val="2"/>
    </font>
    <font>
      <sz val="8"/>
      <color indexed="22"/>
      <name val="Arial"/>
      <family val="2"/>
    </font>
    <font>
      <sz val="8"/>
      <name val="Arial"/>
    </font>
    <font>
      <sz val="8"/>
      <color indexed="10"/>
      <name val="Arial"/>
    </font>
    <font>
      <b/>
      <sz val="8"/>
      <name val="Arial"/>
    </font>
    <font>
      <sz val="10"/>
      <color indexed="10"/>
      <name val="Arial"/>
    </font>
    <font>
      <b/>
      <sz val="10"/>
      <name val="Arial"/>
      <family val="2"/>
    </font>
    <font>
      <sz val="10"/>
      <color indexed="12"/>
      <name val="Arial"/>
    </font>
    <font>
      <b/>
      <sz val="10"/>
      <color indexed="12"/>
      <name val="Arial"/>
      <family val="2"/>
    </font>
    <font>
      <b/>
      <sz val="10"/>
      <color indexed="12"/>
      <name val="Arial"/>
    </font>
    <font>
      <sz val="10"/>
      <name val="Arial"/>
      <family val="2"/>
    </font>
    <font>
      <sz val="8.5"/>
      <name val="Arial"/>
    </font>
    <font>
      <b/>
      <sz val="8"/>
      <color indexed="12"/>
      <name val="Arial"/>
      <family val="2"/>
    </font>
    <font>
      <b/>
      <sz val="10"/>
      <color indexed="10"/>
      <name val="Arial"/>
      <family val="2"/>
    </font>
    <font>
      <sz val="10"/>
      <name val="Symbol"/>
      <family val="1"/>
      <charset val="2"/>
    </font>
    <font>
      <sz val="10"/>
      <color indexed="14"/>
      <name val="Arial"/>
      <family val="2"/>
    </font>
    <font>
      <b/>
      <sz val="10"/>
      <color indexed="52"/>
      <name val="Arial"/>
    </font>
    <font>
      <b/>
      <i/>
      <sz val="10"/>
      <color indexed="10"/>
      <name val="Arial"/>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83">
    <xf numFmtId="0" fontId="0" fillId="0" borderId="0" xfId="0"/>
    <xf numFmtId="2" fontId="0" fillId="0" borderId="0" xfId="0" applyNumberFormat="1"/>
    <xf numFmtId="0" fontId="0" fillId="0" borderId="0" xfId="0" applyAlignment="1">
      <alignment horizontal="center"/>
    </xf>
    <xf numFmtId="0" fontId="8" fillId="0" borderId="0" xfId="0" applyFont="1" applyAlignment="1">
      <alignment horizontal="center" wrapText="1"/>
    </xf>
    <xf numFmtId="11"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1" fontId="0" fillId="0" borderId="0" xfId="0" applyNumberFormat="1"/>
    <xf numFmtId="172" fontId="0" fillId="0" borderId="0" xfId="0" applyNumberFormat="1"/>
    <xf numFmtId="166" fontId="0" fillId="0" borderId="0" xfId="0" applyNumberFormat="1" applyAlignment="1">
      <alignment horizontal="center"/>
    </xf>
    <xf numFmtId="173" fontId="0" fillId="0" borderId="0" xfId="0" applyNumberFormat="1"/>
    <xf numFmtId="0" fontId="1" fillId="0" borderId="1" xfId="0" applyFont="1" applyBorder="1"/>
    <xf numFmtId="0" fontId="0" fillId="0" borderId="0" xfId="0" applyBorder="1" applyAlignment="1">
      <alignment horizontal="center"/>
    </xf>
    <xf numFmtId="0" fontId="8" fillId="0" borderId="0" xfId="0" applyFont="1"/>
    <xf numFmtId="0" fontId="2" fillId="0" borderId="0" xfId="0" applyFont="1" applyBorder="1" applyAlignment="1" applyProtection="1">
      <protection locked="0"/>
    </xf>
    <xf numFmtId="0" fontId="0" fillId="0" borderId="0" xfId="0" applyProtection="1">
      <protection locked="0"/>
    </xf>
    <xf numFmtId="0" fontId="17" fillId="0" borderId="0" xfId="0" applyFont="1" applyProtection="1">
      <protection locked="0"/>
    </xf>
    <xf numFmtId="0" fontId="0" fillId="0" borderId="0" xfId="0" applyAlignment="1" applyProtection="1">
      <alignment horizontal="right"/>
      <protection locked="0"/>
    </xf>
    <xf numFmtId="0" fontId="3" fillId="0" borderId="0" xfId="0" applyFont="1" applyBorder="1" applyAlignment="1" applyProtection="1">
      <protection locked="0"/>
    </xf>
    <xf numFmtId="0" fontId="0" fillId="0" borderId="0" xfId="0" applyFill="1" applyProtection="1">
      <protection locked="0"/>
    </xf>
    <xf numFmtId="0" fontId="17" fillId="0" borderId="0" xfId="0" applyFont="1" applyFill="1" applyProtection="1">
      <protection locked="0"/>
    </xf>
    <xf numFmtId="0" fontId="0" fillId="0" borderId="0" xfId="0" applyNumberFormat="1" applyProtection="1">
      <protection locked="0"/>
    </xf>
    <xf numFmtId="0" fontId="6" fillId="0" borderId="0" xfId="0" applyFont="1" applyFill="1" applyProtection="1">
      <protection locked="0"/>
    </xf>
    <xf numFmtId="0" fontId="4" fillId="0" borderId="0" xfId="0" applyFont="1" applyFill="1" applyBorder="1" applyProtection="1">
      <protection locked="0"/>
    </xf>
    <xf numFmtId="0" fontId="1" fillId="0" borderId="0" xfId="0" applyFont="1" applyFill="1" applyAlignment="1" applyProtection="1">
      <alignment horizontal="right"/>
      <protection locked="0"/>
    </xf>
    <xf numFmtId="0" fontId="4" fillId="0" borderId="0" xfId="0" applyFont="1" applyFill="1" applyProtection="1">
      <protection locked="0"/>
    </xf>
    <xf numFmtId="2" fontId="10" fillId="2" borderId="2" xfId="0" applyNumberFormat="1" applyFont="1" applyFill="1" applyBorder="1" applyProtection="1">
      <protection locked="0"/>
    </xf>
    <xf numFmtId="2" fontId="4" fillId="2" borderId="2" xfId="0" applyNumberFormat="1" applyFont="1" applyFill="1" applyBorder="1" applyProtection="1">
      <protection locked="0"/>
    </xf>
    <xf numFmtId="2" fontId="1" fillId="2" borderId="2" xfId="0" applyNumberFormat="1" applyFont="1" applyFill="1" applyBorder="1" applyAlignment="1" applyProtection="1">
      <alignment horizontal="right"/>
      <protection locked="0"/>
    </xf>
    <xf numFmtId="2" fontId="0" fillId="2" borderId="2" xfId="0" applyNumberFormat="1" applyFill="1" applyBorder="1" applyProtection="1">
      <protection locked="0"/>
    </xf>
    <xf numFmtId="0" fontId="1" fillId="2" borderId="2" xfId="0" applyFont="1" applyFill="1" applyBorder="1" applyAlignment="1" applyProtection="1">
      <alignment horizontal="center"/>
      <protection locked="0"/>
    </xf>
    <xf numFmtId="0" fontId="0" fillId="2" borderId="0" xfId="0" applyFill="1" applyProtection="1">
      <protection locked="0"/>
    </xf>
    <xf numFmtId="0" fontId="8" fillId="3" borderId="3" xfId="0" applyFont="1" applyFill="1" applyBorder="1" applyProtection="1">
      <protection locked="0"/>
    </xf>
    <xf numFmtId="0" fontId="0" fillId="3" borderId="4" xfId="0" applyFill="1" applyBorder="1" applyProtection="1">
      <protection locked="0"/>
    </xf>
    <xf numFmtId="0" fontId="1" fillId="3" borderId="4" xfId="0" applyFont="1" applyFill="1" applyBorder="1" applyAlignment="1" applyProtection="1">
      <alignment horizontal="right"/>
      <protection locked="0"/>
    </xf>
    <xf numFmtId="0" fontId="0" fillId="3" borderId="5" xfId="0" applyFill="1" applyBorder="1" applyProtection="1">
      <protection locked="0"/>
    </xf>
    <xf numFmtId="0" fontId="1" fillId="4" borderId="6" xfId="0" applyFont="1" applyFill="1" applyBorder="1" applyAlignment="1" applyProtection="1">
      <alignment horizontal="center"/>
      <protection locked="0"/>
    </xf>
    <xf numFmtId="0" fontId="9" fillId="0" borderId="0" xfId="0" applyFont="1" applyFill="1" applyProtection="1">
      <protection locked="0"/>
    </xf>
    <xf numFmtId="0" fontId="15" fillId="3" borderId="7" xfId="0" applyFont="1" applyFill="1" applyBorder="1" applyProtection="1">
      <protection locked="0"/>
    </xf>
    <xf numFmtId="0" fontId="4" fillId="3" borderId="0" xfId="0" applyFont="1" applyFill="1" applyBorder="1" applyProtection="1">
      <protection locked="0"/>
    </xf>
    <xf numFmtId="0" fontId="1" fillId="3" borderId="0" xfId="0" applyFont="1" applyFill="1" applyBorder="1" applyAlignment="1" applyProtection="1">
      <alignment horizontal="right"/>
      <protection locked="0"/>
    </xf>
    <xf numFmtId="0" fontId="4" fillId="3" borderId="8" xfId="0" applyFont="1" applyFill="1" applyBorder="1" applyProtection="1">
      <protection locked="0"/>
    </xf>
    <xf numFmtId="0" fontId="1" fillId="4" borderId="9" xfId="0" applyFont="1" applyFill="1" applyBorder="1" applyAlignment="1" applyProtection="1">
      <alignment horizontal="center"/>
      <protection locked="0"/>
    </xf>
    <xf numFmtId="0" fontId="7" fillId="3" borderId="7" xfId="0" applyFont="1" applyFill="1" applyBorder="1" applyProtection="1">
      <protection locked="0"/>
    </xf>
    <xf numFmtId="2" fontId="0" fillId="0" borderId="0" xfId="0" applyNumberFormat="1" applyFill="1" applyProtection="1">
      <protection locked="0"/>
    </xf>
    <xf numFmtId="0" fontId="4" fillId="3" borderId="7" xfId="0" applyFont="1" applyFill="1" applyBorder="1" applyProtection="1">
      <protection locked="0"/>
    </xf>
    <xf numFmtId="9" fontId="1" fillId="4" borderId="9" xfId="0" applyNumberFormat="1" applyFont="1" applyFill="1" applyBorder="1" applyAlignment="1" applyProtection="1">
      <alignment horizontal="center"/>
      <protection locked="0"/>
    </xf>
    <xf numFmtId="0" fontId="4" fillId="3" borderId="10" xfId="0" applyFont="1" applyFill="1" applyBorder="1" applyProtection="1">
      <protection locked="0"/>
    </xf>
    <xf numFmtId="0" fontId="4" fillId="3" borderId="2" xfId="0" applyFont="1" applyFill="1" applyBorder="1" applyProtection="1">
      <protection locked="0"/>
    </xf>
    <xf numFmtId="0" fontId="1" fillId="3" borderId="2" xfId="0" applyFont="1" applyFill="1" applyBorder="1" applyAlignment="1" applyProtection="1">
      <alignment horizontal="right"/>
      <protection locked="0"/>
    </xf>
    <xf numFmtId="0" fontId="4" fillId="3" borderId="6" xfId="0" applyFont="1" applyFill="1" applyBorder="1" applyProtection="1">
      <protection locked="0"/>
    </xf>
    <xf numFmtId="0" fontId="6" fillId="3" borderId="11" xfId="0" applyFont="1" applyFill="1" applyBorder="1" applyProtection="1">
      <protection locked="0"/>
    </xf>
    <xf numFmtId="0" fontId="4" fillId="3" borderId="12" xfId="0" applyFont="1" applyFill="1" applyBorder="1" applyProtection="1">
      <protection locked="0"/>
    </xf>
    <xf numFmtId="0" fontId="1" fillId="3" borderId="12" xfId="0" applyFont="1" applyFill="1" applyBorder="1" applyAlignment="1" applyProtection="1">
      <alignment horizontal="right"/>
      <protection locked="0"/>
    </xf>
    <xf numFmtId="0" fontId="4" fillId="3" borderId="9" xfId="0" applyFont="1" applyFill="1" applyBorder="1" applyProtection="1">
      <protection locked="0"/>
    </xf>
    <xf numFmtId="2" fontId="10" fillId="3" borderId="0" xfId="0" applyNumberFormat="1" applyFont="1" applyFill="1" applyBorder="1" applyProtection="1">
      <protection locked="0"/>
    </xf>
    <xf numFmtId="2" fontId="4" fillId="3" borderId="0" xfId="0" applyNumberFormat="1" applyFont="1" applyFill="1" applyBorder="1" applyProtection="1">
      <protection locked="0"/>
    </xf>
    <xf numFmtId="2" fontId="1" fillId="3" borderId="0" xfId="0" applyNumberFormat="1" applyFont="1" applyFill="1" applyBorder="1" applyAlignment="1" applyProtection="1">
      <alignment horizontal="right"/>
      <protection locked="0"/>
    </xf>
    <xf numFmtId="2" fontId="0" fillId="3" borderId="5" xfId="0" applyNumberFormat="1" applyFill="1" applyBorder="1" applyProtection="1">
      <protection locked="0"/>
    </xf>
    <xf numFmtId="0" fontId="19" fillId="3" borderId="7" xfId="0" applyFont="1" applyFill="1" applyBorder="1" applyProtection="1">
      <protection locked="0"/>
    </xf>
    <xf numFmtId="0" fontId="1" fillId="4" borderId="1" xfId="0" applyFont="1" applyFill="1" applyBorder="1" applyAlignment="1" applyProtection="1">
      <alignment horizontal="center"/>
      <protection locked="0"/>
    </xf>
    <xf numFmtId="0" fontId="19" fillId="3" borderId="10" xfId="0" applyFont="1" applyFill="1" applyBorder="1" applyProtection="1">
      <protection locked="0"/>
    </xf>
    <xf numFmtId="0" fontId="1" fillId="0" borderId="0" xfId="0" applyFont="1" applyFill="1" applyBorder="1" applyAlignment="1" applyProtection="1">
      <alignment horizontal="right"/>
      <protection locked="0"/>
    </xf>
    <xf numFmtId="164" fontId="1" fillId="0" borderId="0" xfId="0" applyNumberFormat="1" applyFont="1" applyFill="1" applyBorder="1" applyAlignment="1" applyProtection="1">
      <alignment horizontal="center"/>
      <protection locked="0"/>
    </xf>
    <xf numFmtId="0" fontId="4" fillId="3" borderId="3" xfId="0" applyFont="1" applyFill="1" applyBorder="1" applyProtection="1">
      <protection locked="0"/>
    </xf>
    <xf numFmtId="0" fontId="4" fillId="3" borderId="4" xfId="0" applyFont="1" applyFill="1" applyBorder="1" applyProtection="1">
      <protection locked="0"/>
    </xf>
    <xf numFmtId="0" fontId="1" fillId="3" borderId="0" xfId="0" applyFont="1" applyFill="1" applyBorder="1" applyProtection="1">
      <protection locked="0"/>
    </xf>
    <xf numFmtId="0" fontId="9" fillId="3" borderId="10" xfId="0" applyFont="1" applyFill="1" applyBorder="1" applyProtection="1">
      <protection locked="0"/>
    </xf>
    <xf numFmtId="0" fontId="9" fillId="0" borderId="7" xfId="0" applyFont="1" applyFill="1" applyBorder="1" applyProtection="1">
      <protection locked="0"/>
    </xf>
    <xf numFmtId="2" fontId="0" fillId="0" borderId="0" xfId="0" applyNumberFormat="1" applyFill="1" applyBorder="1" applyAlignment="1" applyProtection="1">
      <alignment horizontal="center"/>
      <protection locked="0"/>
    </xf>
    <xf numFmtId="0" fontId="5" fillId="3" borderId="7" xfId="0" applyFont="1" applyFill="1" applyBorder="1" applyProtection="1">
      <protection locked="0"/>
    </xf>
    <xf numFmtId="2" fontId="1" fillId="0" borderId="0" xfId="0" applyNumberFormat="1" applyFont="1" applyFill="1" applyBorder="1" applyAlignment="1" applyProtection="1">
      <alignment horizontal="center"/>
      <protection locked="0"/>
    </xf>
    <xf numFmtId="0" fontId="1" fillId="0" borderId="0" xfId="0" applyFont="1" applyFill="1" applyBorder="1" applyProtection="1">
      <protection locked="0"/>
    </xf>
    <xf numFmtId="9" fontId="1" fillId="4" borderId="1" xfId="0" applyNumberFormat="1" applyFont="1" applyFill="1" applyBorder="1" applyAlignment="1" applyProtection="1">
      <alignment horizontal="center"/>
      <protection locked="0"/>
    </xf>
    <xf numFmtId="165" fontId="1" fillId="0" borderId="0" xfId="0" applyNumberFormat="1" applyFont="1" applyFill="1" applyBorder="1" applyAlignment="1" applyProtection="1">
      <alignment horizontal="center"/>
      <protection locked="0"/>
    </xf>
    <xf numFmtId="167" fontId="1" fillId="4" borderId="1" xfId="0" applyNumberFormat="1" applyFont="1" applyFill="1" applyBorder="1" applyAlignment="1" applyProtection="1">
      <alignment horizontal="center"/>
      <protection locked="0"/>
    </xf>
    <xf numFmtId="0" fontId="0" fillId="0" borderId="0" xfId="0" applyBorder="1" applyProtection="1">
      <protection locked="0"/>
    </xf>
    <xf numFmtId="2" fontId="10" fillId="2" borderId="0" xfId="0" applyNumberFormat="1" applyFont="1" applyFill="1" applyBorder="1" applyProtection="1">
      <protection locked="0"/>
    </xf>
    <xf numFmtId="2" fontId="4" fillId="2" borderId="0" xfId="0" applyNumberFormat="1" applyFont="1" applyFill="1" applyBorder="1" applyProtection="1">
      <protection locked="0"/>
    </xf>
    <xf numFmtId="2" fontId="1" fillId="2" borderId="0" xfId="0" applyNumberFormat="1" applyFont="1" applyFill="1" applyBorder="1" applyAlignment="1" applyProtection="1">
      <alignment horizontal="right"/>
      <protection locked="0"/>
    </xf>
    <xf numFmtId="2" fontId="0" fillId="2" borderId="0" xfId="0" applyNumberFormat="1" applyFill="1" applyBorder="1" applyProtection="1">
      <protection locked="0"/>
    </xf>
    <xf numFmtId="0" fontId="11" fillId="3" borderId="3" xfId="0" applyFont="1" applyFill="1" applyBorder="1" applyProtection="1">
      <protection locked="0"/>
    </xf>
    <xf numFmtId="0" fontId="4" fillId="3" borderId="5" xfId="0" applyFont="1" applyFill="1" applyBorder="1" applyProtection="1">
      <protection locked="0"/>
    </xf>
    <xf numFmtId="0" fontId="11" fillId="3" borderId="10" xfId="0" applyFont="1" applyFill="1" applyBorder="1" applyProtection="1">
      <protection locked="0"/>
    </xf>
    <xf numFmtId="0" fontId="0" fillId="0" borderId="0" xfId="0" applyNumberFormat="1" applyAlignment="1" applyProtection="1">
      <alignment horizontal="right"/>
      <protection locked="0"/>
    </xf>
    <xf numFmtId="0" fontId="10" fillId="2" borderId="2" xfId="0" applyFont="1" applyFill="1" applyBorder="1" applyProtection="1">
      <protection locked="0"/>
    </xf>
    <xf numFmtId="0" fontId="14" fillId="2" borderId="2" xfId="0" applyFont="1" applyFill="1" applyBorder="1" applyProtection="1">
      <protection locked="0"/>
    </xf>
    <xf numFmtId="0" fontId="0" fillId="0" borderId="2" xfId="0" applyBorder="1" applyProtection="1">
      <protection locked="0"/>
    </xf>
    <xf numFmtId="2" fontId="4" fillId="3" borderId="8" xfId="0" applyNumberFormat="1" applyFont="1" applyFill="1" applyBorder="1" applyProtection="1">
      <protection locked="0"/>
    </xf>
    <xf numFmtId="2" fontId="1" fillId="3" borderId="7" xfId="0" applyNumberFormat="1" applyFont="1" applyFill="1" applyBorder="1" applyProtection="1">
      <protection locked="0"/>
    </xf>
    <xf numFmtId="2" fontId="0" fillId="3" borderId="8" xfId="0" applyNumberFormat="1" applyFill="1" applyBorder="1" applyProtection="1">
      <protection locked="0"/>
    </xf>
    <xf numFmtId="2" fontId="4" fillId="3" borderId="7" xfId="0" applyNumberFormat="1" applyFont="1" applyFill="1" applyBorder="1" applyProtection="1">
      <protection locked="0"/>
    </xf>
    <xf numFmtId="2" fontId="4" fillId="3" borderId="2" xfId="0" applyNumberFormat="1" applyFont="1" applyFill="1" applyBorder="1" applyProtection="1">
      <protection locked="0"/>
    </xf>
    <xf numFmtId="2" fontId="1" fillId="3" borderId="2" xfId="0" applyNumberFormat="1" applyFont="1" applyFill="1" applyBorder="1" applyAlignment="1" applyProtection="1">
      <alignment horizontal="right"/>
      <protection locked="0"/>
    </xf>
    <xf numFmtId="2" fontId="0" fillId="3" borderId="2" xfId="0" applyNumberFormat="1" applyFill="1" applyBorder="1" applyProtection="1">
      <protection locked="0"/>
    </xf>
    <xf numFmtId="2" fontId="0" fillId="3" borderId="0" xfId="0" applyNumberFormat="1" applyFill="1" applyBorder="1" applyProtection="1">
      <protection locked="0"/>
    </xf>
    <xf numFmtId="0" fontId="0" fillId="3" borderId="2" xfId="0" applyFill="1" applyBorder="1" applyProtection="1">
      <protection locked="0"/>
    </xf>
    <xf numFmtId="0" fontId="0" fillId="3" borderId="6" xfId="0" applyFill="1" applyBorder="1" applyProtection="1">
      <protection locked="0"/>
    </xf>
    <xf numFmtId="0" fontId="0" fillId="2" borderId="2" xfId="0" applyFill="1" applyBorder="1" applyProtection="1">
      <protection locked="0"/>
    </xf>
    <xf numFmtId="0" fontId="1" fillId="2" borderId="2" xfId="0" applyFont="1" applyFill="1" applyBorder="1" applyAlignment="1" applyProtection="1">
      <alignment horizontal="right"/>
      <protection locked="0"/>
    </xf>
    <xf numFmtId="0" fontId="0" fillId="3" borderId="7" xfId="0" applyFill="1" applyBorder="1" applyProtection="1">
      <protection locked="0"/>
    </xf>
    <xf numFmtId="0" fontId="0" fillId="3" borderId="0" xfId="0" applyFill="1" applyBorder="1" applyProtection="1">
      <protection locked="0"/>
    </xf>
    <xf numFmtId="0" fontId="1" fillId="3" borderId="8" xfId="0" applyFont="1" applyFill="1" applyBorder="1" applyProtection="1">
      <protection locked="0"/>
    </xf>
    <xf numFmtId="0" fontId="10" fillId="3" borderId="2" xfId="0" applyFont="1" applyFill="1" applyBorder="1" applyProtection="1">
      <protection locked="0"/>
    </xf>
    <xf numFmtId="0" fontId="1" fillId="3" borderId="2" xfId="0" applyFont="1" applyFill="1" applyBorder="1" applyProtection="1">
      <protection locked="0"/>
    </xf>
    <xf numFmtId="0" fontId="10" fillId="0" borderId="0" xfId="0" applyFont="1" applyFill="1" applyBorder="1" applyProtection="1">
      <protection locked="0"/>
    </xf>
    <xf numFmtId="0" fontId="0" fillId="0" borderId="0" xfId="0" applyFill="1" applyBorder="1" applyProtection="1">
      <protection locked="0"/>
    </xf>
    <xf numFmtId="175" fontId="1" fillId="0" borderId="4" xfId="0" applyNumberFormat="1" applyFont="1" applyFill="1" applyBorder="1" applyAlignment="1" applyProtection="1">
      <alignment horizontal="center" shrinkToFit="1"/>
      <protection locked="0"/>
    </xf>
    <xf numFmtId="0" fontId="10" fillId="0" borderId="2" xfId="0" applyFont="1" applyFill="1" applyBorder="1" applyProtection="1">
      <protection locked="0"/>
    </xf>
    <xf numFmtId="175" fontId="1" fillId="0" borderId="2" xfId="0" applyNumberFormat="1" applyFont="1" applyFill="1" applyBorder="1" applyAlignment="1" applyProtection="1">
      <alignment horizontal="center" shrinkToFit="1"/>
      <protection locked="0"/>
    </xf>
    <xf numFmtId="0" fontId="10" fillId="3" borderId="3" xfId="0" applyFont="1" applyFill="1" applyBorder="1" applyProtection="1">
      <protection locked="0"/>
    </xf>
    <xf numFmtId="0" fontId="1" fillId="3" borderId="5" xfId="0" applyFont="1" applyFill="1" applyBorder="1" applyProtection="1">
      <protection locked="0"/>
    </xf>
    <xf numFmtId="164" fontId="1" fillId="0" borderId="0" xfId="0" applyNumberFormat="1" applyFont="1" applyFill="1" applyBorder="1" applyProtection="1">
      <protection locked="0"/>
    </xf>
    <xf numFmtId="0" fontId="0" fillId="3" borderId="10" xfId="0" applyFill="1" applyBorder="1" applyProtection="1">
      <protection locked="0"/>
    </xf>
    <xf numFmtId="0" fontId="1" fillId="3" borderId="6" xfId="0" applyFont="1" applyFill="1" applyBorder="1" applyProtection="1">
      <protection locked="0"/>
    </xf>
    <xf numFmtId="0" fontId="1" fillId="0" borderId="0" xfId="0" applyFont="1" applyAlignment="1" applyProtection="1">
      <alignment horizontal="right"/>
      <protection locked="0"/>
    </xf>
    <xf numFmtId="0" fontId="1" fillId="0" borderId="0" xfId="0" applyFont="1" applyProtection="1">
      <protection locked="0"/>
    </xf>
    <xf numFmtId="0" fontId="10" fillId="3" borderId="7" xfId="0" applyFont="1" applyFill="1" applyBorder="1" applyProtection="1">
      <protection locked="0"/>
    </xf>
    <xf numFmtId="0" fontId="10" fillId="0" borderId="0" xfId="0" applyFont="1" applyProtection="1">
      <protection locked="0"/>
    </xf>
    <xf numFmtId="0" fontId="0" fillId="3" borderId="3" xfId="0" applyFill="1" applyBorder="1" applyProtection="1">
      <protection locked="0"/>
    </xf>
    <xf numFmtId="0" fontId="1" fillId="3" borderId="4" xfId="0" applyFont="1" applyFill="1" applyBorder="1" applyProtection="1">
      <protection locked="0"/>
    </xf>
    <xf numFmtId="0" fontId="0" fillId="3" borderId="0" xfId="0" applyFill="1" applyBorder="1" applyAlignment="1" applyProtection="1">
      <alignment horizontal="right"/>
      <protection locked="0"/>
    </xf>
    <xf numFmtId="0" fontId="0" fillId="4" borderId="1" xfId="0" applyFill="1" applyBorder="1" applyAlignment="1" applyProtection="1">
      <alignment horizontal="center"/>
      <protection locked="0"/>
    </xf>
    <xf numFmtId="0" fontId="0" fillId="3" borderId="2" xfId="0" applyFill="1" applyBorder="1" applyAlignment="1" applyProtection="1">
      <alignment horizontal="right"/>
      <protection locked="0"/>
    </xf>
    <xf numFmtId="0" fontId="8" fillId="0" borderId="0" xfId="0" applyFont="1" applyBorder="1" applyProtection="1">
      <protection locked="0"/>
    </xf>
    <xf numFmtId="0" fontId="0" fillId="0" borderId="0" xfId="0" applyBorder="1" applyAlignment="1" applyProtection="1">
      <alignment horizontal="right"/>
      <protection locked="0"/>
    </xf>
    <xf numFmtId="0" fontId="18" fillId="0" borderId="0" xfId="0" applyFont="1" applyBorder="1" applyProtection="1">
      <protection locked="0"/>
    </xf>
    <xf numFmtId="0" fontId="12" fillId="0" borderId="0" xfId="0" applyFont="1" applyBorder="1" applyAlignment="1" applyProtection="1">
      <alignment horizontal="right"/>
      <protection locked="0"/>
    </xf>
    <xf numFmtId="0" fontId="0" fillId="0" borderId="0" xfId="0" applyBorder="1"/>
    <xf numFmtId="0" fontId="8" fillId="0" borderId="0" xfId="0" applyFont="1" applyBorder="1" applyAlignment="1"/>
    <xf numFmtId="0" fontId="0" fillId="0" borderId="0" xfId="0" applyAlignment="1" applyProtection="1">
      <alignment horizontal="center"/>
      <protection locked="0"/>
    </xf>
    <xf numFmtId="0" fontId="0" fillId="0" borderId="0" xfId="0" applyFill="1" applyAlignment="1" applyProtection="1">
      <alignment horizontal="center"/>
      <protection locked="0"/>
    </xf>
    <xf numFmtId="2" fontId="1" fillId="4" borderId="1" xfId="0" applyNumberFormat="1" applyFont="1" applyFill="1" applyBorder="1" applyAlignment="1" applyProtection="1">
      <alignment horizontal="center"/>
      <protection locked="0"/>
    </xf>
    <xf numFmtId="0" fontId="1" fillId="0" borderId="0" xfId="0" applyFont="1" applyAlignment="1" applyProtection="1">
      <alignment horizontal="center"/>
      <protection locked="0"/>
    </xf>
    <xf numFmtId="0" fontId="0" fillId="0" borderId="0" xfId="0" applyNumberFormat="1" applyBorder="1" applyAlignment="1">
      <alignment horizontal="center"/>
    </xf>
    <xf numFmtId="0" fontId="0" fillId="0" borderId="0" xfId="0" applyNumberFormat="1" applyAlignment="1">
      <alignment horizontal="center"/>
    </xf>
    <xf numFmtId="0" fontId="8" fillId="0" borderId="13" xfId="0" applyFont="1" applyBorder="1" applyAlignment="1">
      <alignment horizontal="center"/>
    </xf>
    <xf numFmtId="0" fontId="8" fillId="0" borderId="14" xfId="0" applyFont="1" applyBorder="1"/>
    <xf numFmtId="0" fontId="8" fillId="0" borderId="14" xfId="0" applyFont="1" applyBorder="1" applyAlignment="1">
      <alignment horizontal="center"/>
    </xf>
    <xf numFmtId="0" fontId="8" fillId="0" borderId="15" xfId="0" applyFont="1" applyBorder="1" applyAlignment="1">
      <alignment horizontal="left"/>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169" fontId="1" fillId="0" borderId="19" xfId="0" applyNumberFormat="1" applyFont="1" applyFill="1" applyBorder="1" applyAlignment="1">
      <alignment horizontal="center"/>
    </xf>
    <xf numFmtId="186" fontId="1" fillId="0" borderId="1" xfId="0" applyNumberFormat="1" applyFont="1" applyFill="1" applyBorder="1" applyAlignment="1">
      <alignment horizontal="center"/>
    </xf>
    <xf numFmtId="168" fontId="1" fillId="0" borderId="19" xfId="0" applyNumberFormat="1" applyFont="1" applyFill="1" applyBorder="1" applyAlignment="1">
      <alignment horizontal="center"/>
    </xf>
    <xf numFmtId="177" fontId="1" fillId="0" borderId="1" xfId="0" applyNumberFormat="1" applyFont="1" applyFill="1" applyBorder="1" applyAlignment="1">
      <alignment horizontal="center"/>
    </xf>
    <xf numFmtId="0" fontId="1" fillId="0" borderId="19" xfId="0" applyFont="1" applyFill="1" applyBorder="1" applyAlignment="1">
      <alignment horizontal="center"/>
    </xf>
    <xf numFmtId="178" fontId="1" fillId="0" borderId="1" xfId="0" applyNumberFormat="1" applyFont="1" applyFill="1" applyBorder="1" applyAlignment="1">
      <alignment horizontal="center"/>
    </xf>
    <xf numFmtId="179" fontId="1" fillId="0" borderId="1" xfId="0" applyNumberFormat="1" applyFont="1" applyFill="1" applyBorder="1" applyAlignment="1">
      <alignment horizontal="center"/>
    </xf>
    <xf numFmtId="176" fontId="1" fillId="0" borderId="1" xfId="0" applyNumberFormat="1" applyFont="1" applyFill="1" applyBorder="1" applyAlignment="1">
      <alignment horizontal="center"/>
    </xf>
    <xf numFmtId="180" fontId="1" fillId="0" borderId="1" xfId="0" applyNumberFormat="1" applyFont="1" applyFill="1" applyBorder="1" applyAlignment="1">
      <alignment horizontal="center"/>
    </xf>
    <xf numFmtId="182" fontId="1" fillId="0" borderId="1" xfId="0" applyNumberFormat="1" applyFont="1" applyFill="1" applyBorder="1" applyAlignment="1">
      <alignment horizontal="center"/>
    </xf>
    <xf numFmtId="183" fontId="1" fillId="0" borderId="1" xfId="0" applyNumberFormat="1" applyFont="1" applyFill="1" applyBorder="1" applyAlignment="1">
      <alignment horizontal="center"/>
    </xf>
    <xf numFmtId="181" fontId="1" fillId="0" borderId="1" xfId="0" applyNumberFormat="1" applyFont="1" applyFill="1" applyBorder="1" applyAlignment="1">
      <alignment horizontal="center"/>
    </xf>
    <xf numFmtId="184" fontId="1" fillId="0" borderId="1" xfId="0" applyNumberFormat="1" applyFont="1" applyFill="1" applyBorder="1" applyAlignment="1">
      <alignment horizontal="center"/>
    </xf>
    <xf numFmtId="170" fontId="1" fillId="0" borderId="19" xfId="0" applyNumberFormat="1" applyFont="1" applyFill="1" applyBorder="1" applyAlignment="1">
      <alignment horizontal="center"/>
    </xf>
    <xf numFmtId="182" fontId="1" fillId="0" borderId="18" xfId="0" applyNumberFormat="1" applyFont="1" applyFill="1" applyBorder="1" applyAlignment="1">
      <alignment horizontal="center"/>
    </xf>
    <xf numFmtId="0" fontId="1" fillId="0" borderId="20" xfId="0" applyFont="1" applyFill="1" applyBorder="1" applyAlignment="1">
      <alignment horizontal="center"/>
    </xf>
    <xf numFmtId="185" fontId="1" fillId="0" borderId="1" xfId="0" applyNumberFormat="1" applyFont="1" applyFill="1" applyBorder="1" applyAlignment="1">
      <alignment horizontal="center"/>
    </xf>
    <xf numFmtId="174" fontId="1" fillId="4" borderId="1" xfId="0" applyNumberFormat="1" applyFont="1" applyFill="1" applyBorder="1" applyAlignment="1" applyProtection="1">
      <alignment horizontal="center" shrinkToFit="1"/>
      <protection locked="0"/>
    </xf>
    <xf numFmtId="2" fontId="1" fillId="0" borderId="1" xfId="0" applyNumberFormat="1" applyFont="1" applyBorder="1" applyAlignment="1" applyProtection="1">
      <alignment horizontal="center"/>
    </xf>
    <xf numFmtId="2" fontId="1" fillId="0" borderId="1" xfId="0" applyNumberFormat="1" applyFont="1" applyFill="1" applyBorder="1" applyAlignment="1" applyProtection="1">
      <alignment horizontal="center"/>
    </xf>
    <xf numFmtId="1" fontId="1" fillId="0" borderId="9" xfId="0" applyNumberFormat="1" applyFont="1" applyFill="1" applyBorder="1" applyAlignment="1" applyProtection="1">
      <alignment horizontal="center"/>
    </xf>
    <xf numFmtId="9" fontId="1" fillId="0" borderId="1" xfId="1" applyFont="1" applyFill="1" applyBorder="1" applyAlignment="1" applyProtection="1">
      <alignment horizontal="center"/>
    </xf>
    <xf numFmtId="167" fontId="1" fillId="0" borderId="21" xfId="0" applyNumberFormat="1" applyFont="1" applyBorder="1" applyAlignment="1" applyProtection="1">
      <alignment horizontal="center"/>
    </xf>
    <xf numFmtId="2" fontId="1" fillId="2" borderId="1" xfId="0" applyNumberFormat="1" applyFont="1" applyFill="1" applyBorder="1" applyAlignment="1" applyProtection="1">
      <alignment horizontal="center"/>
    </xf>
    <xf numFmtId="0" fontId="17" fillId="0" borderId="0" xfId="0" applyFont="1" applyProtection="1"/>
    <xf numFmtId="175" fontId="1" fillId="0" borderId="1" xfId="0" applyNumberFormat="1" applyFont="1" applyFill="1" applyBorder="1" applyAlignment="1" applyProtection="1">
      <alignment horizontal="center" shrinkToFit="1"/>
    </xf>
    <xf numFmtId="0" fontId="1" fillId="0" borderId="1" xfId="0" applyFont="1" applyBorder="1" applyAlignment="1" applyProtection="1">
      <alignment horizontal="center"/>
    </xf>
    <xf numFmtId="0" fontId="1" fillId="0" borderId="21" xfId="0" applyFont="1" applyFill="1" applyBorder="1" applyAlignment="1" applyProtection="1">
      <alignment horizontal="center"/>
    </xf>
    <xf numFmtId="1" fontId="1" fillId="0" borderId="1" xfId="0" applyNumberFormat="1" applyFont="1" applyFill="1" applyBorder="1" applyAlignment="1" applyProtection="1">
      <alignment horizontal="center"/>
    </xf>
    <xf numFmtId="171" fontId="1" fillId="0" borderId="1" xfId="0" applyNumberFormat="1" applyFont="1" applyFill="1" applyBorder="1" applyAlignment="1" applyProtection="1">
      <alignment horizontal="center" shrinkToFit="1"/>
    </xf>
    <xf numFmtId="2" fontId="0" fillId="0" borderId="1" xfId="0" applyNumberFormat="1" applyFill="1" applyBorder="1" applyAlignment="1" applyProtection="1">
      <alignment horizontal="center"/>
    </xf>
    <xf numFmtId="0" fontId="1" fillId="0" borderId="0" xfId="0" applyFont="1" applyAlignment="1" applyProtection="1">
      <alignment horizontal="center"/>
    </xf>
    <xf numFmtId="167" fontId="1" fillId="0" borderId="1" xfId="0" applyNumberFormat="1" applyFont="1" applyBorder="1" applyAlignment="1" applyProtection="1">
      <alignment horizontal="center"/>
    </xf>
    <xf numFmtId="0" fontId="0" fillId="0" borderId="1" xfId="0" applyFill="1" applyBorder="1" applyAlignment="1" applyProtection="1">
      <alignment horizontal="center"/>
    </xf>
    <xf numFmtId="0" fontId="1" fillId="0" borderId="9" xfId="0" applyFont="1" applyFill="1" applyBorder="1" applyAlignment="1" applyProtection="1">
      <alignment horizontal="center"/>
    </xf>
    <xf numFmtId="0" fontId="1" fillId="0" borderId="6" xfId="0" applyFont="1" applyFill="1" applyBorder="1" applyAlignment="1" applyProtection="1">
      <alignment horizontal="center"/>
    </xf>
    <xf numFmtId="0" fontId="8" fillId="0" borderId="1" xfId="0" applyFont="1" applyFill="1" applyBorder="1" applyAlignment="1" applyProtection="1">
      <alignment horizontal="center"/>
    </xf>
    <xf numFmtId="1" fontId="1" fillId="2" borderId="1" xfId="0" applyNumberFormat="1" applyFont="1" applyFill="1" applyBorder="1" applyAlignment="1" applyProtection="1">
      <alignment horizontal="center"/>
    </xf>
    <xf numFmtId="2" fontId="1" fillId="0" borderId="9" xfId="0" applyNumberFormat="1" applyFont="1" applyBorder="1" applyAlignment="1" applyProtection="1">
      <alignment horizontal="center"/>
    </xf>
    <xf numFmtId="0" fontId="12" fillId="0" borderId="0" xfId="0" applyFont="1" applyProtection="1">
      <protection locked="0"/>
    </xf>
  </cellXfs>
  <cellStyles count="2">
    <cellStyle name="Normal" xfId="0" builtinId="0"/>
    <cellStyle name="Percent" xfId="1" builtinId="5"/>
  </cellStyles>
  <dxfs count="2">
    <dxf>
      <font>
        <b/>
        <i val="0"/>
        <strike/>
        <condense val="0"/>
        <extend val="0"/>
        <color indexed="10"/>
      </font>
      <fill>
        <patternFill>
          <bgColor indexed="63"/>
        </patternFill>
      </fill>
    </dxf>
    <dxf>
      <font>
        <condense val="0"/>
        <extend val="0"/>
        <color indexed="9"/>
      </font>
      <fill>
        <patternFill>
          <bgColor indexed="9"/>
        </patternFill>
      </fill>
      <border>
        <left/>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usernames" Target="revisions/userNam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875" b="1" i="0" u="none" strike="noStrike" baseline="0">
                <a:solidFill>
                  <a:srgbClr val="000000"/>
                </a:solidFill>
                <a:latin typeface="Arial"/>
                <a:ea typeface="Arial"/>
                <a:cs typeface="Arial"/>
              </a:defRPr>
            </a:pPr>
            <a:r>
              <a:rPr lang="en-AU"/>
              <a:t>Operational Modes vs VIN</a:t>
            </a:r>
          </a:p>
        </c:rich>
      </c:tx>
      <c:layout>
        <c:manualLayout>
          <c:xMode val="edge"/>
          <c:yMode val="edge"/>
          <c:x val="0.20308483290488433"/>
          <c:y val="3.3613445378151259E-2"/>
        </c:manualLayout>
      </c:layout>
      <c:spPr>
        <a:noFill/>
        <a:ln w="25400">
          <a:noFill/>
        </a:ln>
      </c:spPr>
    </c:title>
    <c:plotArea>
      <c:layout>
        <c:manualLayout>
          <c:layoutTarget val="inner"/>
          <c:xMode val="edge"/>
          <c:yMode val="edge"/>
          <c:x val="0.14910025706940874"/>
          <c:y val="0.14845978986068228"/>
          <c:w val="0.6169665809768633"/>
          <c:h val="0.78431587096209454"/>
        </c:manualLayout>
      </c:layout>
      <c:barChart>
        <c:barDir val="col"/>
        <c:grouping val="stacked"/>
        <c:ser>
          <c:idx val="0"/>
          <c:order val="0"/>
          <c:tx>
            <c:v>Buck-boost</c:v>
          </c:tx>
          <c:spPr>
            <a:solidFill>
              <a:srgbClr val="9999FF"/>
            </a:solidFill>
            <a:ln w="12700">
              <a:solidFill>
                <a:srgbClr val="000000"/>
              </a:solidFill>
              <a:prstDash val="solid"/>
            </a:ln>
          </c:spPr>
          <c:val>
            <c:numRef>
              <c:f>Graph!$H$8</c:f>
              <c:numCache>
                <c:formatCode>General</c:formatCode>
                <c:ptCount val="1"/>
                <c:pt idx="0">
                  <c:v>15.639999999999999</c:v>
                </c:pt>
              </c:numCache>
            </c:numRef>
          </c:val>
        </c:ser>
        <c:ser>
          <c:idx val="1"/>
          <c:order val="1"/>
          <c:tx>
            <c:v>Transition</c:v>
          </c:tx>
          <c:spPr>
            <a:solidFill>
              <a:srgbClr val="993366"/>
            </a:solidFill>
            <a:ln w="12700">
              <a:solidFill>
                <a:srgbClr val="000000"/>
              </a:solidFill>
              <a:prstDash val="solid"/>
            </a:ln>
          </c:spPr>
          <c:val>
            <c:numRef>
              <c:f>Graph!$F$10</c:f>
              <c:numCache>
                <c:formatCode>General</c:formatCode>
                <c:ptCount val="1"/>
                <c:pt idx="0">
                  <c:v>2.4933333333333341</c:v>
                </c:pt>
              </c:numCache>
            </c:numRef>
          </c:val>
        </c:ser>
        <c:ser>
          <c:idx val="2"/>
          <c:order val="2"/>
          <c:tx>
            <c:v>Buck</c:v>
          </c:tx>
          <c:spPr>
            <a:solidFill>
              <a:srgbClr val="FFFF00"/>
            </a:solidFill>
            <a:ln w="12700">
              <a:solidFill>
                <a:srgbClr val="000000"/>
              </a:solidFill>
              <a:prstDash val="solid"/>
            </a:ln>
          </c:spPr>
          <c:val>
            <c:numRef>
              <c:f>Graph!$H$13</c:f>
              <c:numCache>
                <c:formatCode>General</c:formatCode>
                <c:ptCount val="1"/>
                <c:pt idx="0">
                  <c:v>5.8666666666666671</c:v>
                </c:pt>
              </c:numCache>
            </c:numRef>
          </c:val>
        </c:ser>
        <c:overlap val="100"/>
        <c:axId val="101170176"/>
        <c:axId val="101180160"/>
      </c:barChart>
      <c:catAx>
        <c:axId val="101170176"/>
        <c:scaling>
          <c:orientation val="minMax"/>
        </c:scaling>
        <c:delete val="1"/>
        <c:axPos val="b"/>
        <c:tickLblPos val="none"/>
        <c:crossAx val="101180160"/>
        <c:crosses val="autoZero"/>
        <c:auto val="1"/>
        <c:lblAlgn val="ctr"/>
        <c:lblOffset val="100"/>
      </c:catAx>
      <c:valAx>
        <c:axId val="101180160"/>
        <c:scaling>
          <c:orientation val="minMax"/>
          <c:min val="0"/>
        </c:scaling>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AU"/>
                  <a:t>VIN (Volts)</a:t>
                </a:r>
              </a:p>
            </c:rich>
          </c:tx>
          <c:layout>
            <c:manualLayout>
              <c:xMode val="edge"/>
              <c:yMode val="edge"/>
              <c:x val="3.8560411311053984E-2"/>
              <c:y val="0.45378268892858981"/>
            </c:manualLayout>
          </c:layout>
          <c:spPr>
            <a:noFill/>
            <a:ln w="25400">
              <a:noFill/>
            </a:ln>
          </c:spPr>
        </c:title>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1170176"/>
        <c:crosses val="autoZero"/>
        <c:crossBetween val="between"/>
      </c:valAx>
      <c:spPr>
        <a:solidFill>
          <a:srgbClr val="DDDDDD"/>
        </a:solidFill>
        <a:ln w="12700">
          <a:solidFill>
            <a:srgbClr val="808080"/>
          </a:solidFill>
          <a:prstDash val="solid"/>
        </a:ln>
      </c:spPr>
    </c:plotArea>
    <c:legend>
      <c:legendPos val="r"/>
      <c:layout>
        <c:manualLayout>
          <c:xMode val="edge"/>
          <c:yMode val="edge"/>
          <c:x val="0.77634961439588801"/>
          <c:y val="0.37254990185050424"/>
          <c:w val="0.18766066838046278"/>
          <c:h val="0.16246557415617172"/>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735365851663675"/>
          <c:y val="0.24104387879096353"/>
          <c:w val="0.70114345337980355"/>
          <c:h val="0.5276906535694077"/>
        </c:manualLayout>
      </c:layout>
      <c:scatterChart>
        <c:scatterStyle val="smoothMarker"/>
        <c:ser>
          <c:idx val="0"/>
          <c:order val="0"/>
          <c:tx>
            <c:v>Gain</c:v>
          </c:tx>
          <c:spPr>
            <a:ln w="25400">
              <a:solidFill>
                <a:srgbClr val="000080"/>
              </a:solidFill>
              <a:prstDash val="solid"/>
            </a:ln>
          </c:spPr>
          <c:marker>
            <c:symbol val="none"/>
          </c:marker>
          <c:xVal>
            <c:numRef>
              <c:f>'Bode Plots'!$B$2:$B$23</c:f>
              <c:numCache>
                <c:formatCode>0.00E+00</c:formatCode>
                <c:ptCount val="22"/>
                <c:pt idx="0">
                  <c:v>0.1</c:v>
                </c:pt>
                <c:pt idx="1">
                  <c:v>0.2</c:v>
                </c:pt>
                <c:pt idx="2">
                  <c:v>0.5</c:v>
                </c:pt>
                <c:pt idx="3">
                  <c:v>1</c:v>
                </c:pt>
                <c:pt idx="4">
                  <c:v>2</c:v>
                </c:pt>
                <c:pt idx="5">
                  <c:v>5</c:v>
                </c:pt>
                <c:pt idx="6">
                  <c:v>10</c:v>
                </c:pt>
                <c:pt idx="7">
                  <c:v>20</c:v>
                </c:pt>
                <c:pt idx="8">
                  <c:v>50</c:v>
                </c:pt>
                <c:pt idx="9">
                  <c:v>100</c:v>
                </c:pt>
                <c:pt idx="10">
                  <c:v>200</c:v>
                </c:pt>
                <c:pt idx="11">
                  <c:v>500</c:v>
                </c:pt>
                <c:pt idx="12">
                  <c:v>1000</c:v>
                </c:pt>
                <c:pt idx="13">
                  <c:v>2000</c:v>
                </c:pt>
                <c:pt idx="14">
                  <c:v>5000</c:v>
                </c:pt>
                <c:pt idx="15">
                  <c:v>10000</c:v>
                </c:pt>
                <c:pt idx="16">
                  <c:v>20000</c:v>
                </c:pt>
                <c:pt idx="17">
                  <c:v>50000</c:v>
                </c:pt>
                <c:pt idx="18">
                  <c:v>100000</c:v>
                </c:pt>
                <c:pt idx="19">
                  <c:v>200000</c:v>
                </c:pt>
                <c:pt idx="20">
                  <c:v>500000</c:v>
                </c:pt>
                <c:pt idx="21">
                  <c:v>1000000</c:v>
                </c:pt>
              </c:numCache>
            </c:numRef>
          </c:xVal>
          <c:yVal>
            <c:numRef>
              <c:f>'Bode Plots'!$H$2:$H$23</c:f>
              <c:numCache>
                <c:formatCode>0.00</c:formatCode>
                <c:ptCount val="22"/>
                <c:pt idx="0">
                  <c:v>99.943348539180846</c:v>
                </c:pt>
                <c:pt idx="1">
                  <c:v>93.922748626046186</c:v>
                </c:pt>
                <c:pt idx="2">
                  <c:v>85.963948453620262</c:v>
                </c:pt>
                <c:pt idx="3">
                  <c:v>79.943348543965001</c:v>
                </c:pt>
                <c:pt idx="4">
                  <c:v>73.922748645182807</c:v>
                </c:pt>
                <c:pt idx="5">
                  <c:v>65.963948573224158</c:v>
                </c:pt>
                <c:pt idx="6">
                  <c:v>59.943349022380623</c:v>
                </c:pt>
                <c:pt idx="7">
                  <c:v>53.922750558845102</c:v>
                </c:pt>
                <c:pt idx="8">
                  <c:v>45.963960533603398</c:v>
                </c:pt>
                <c:pt idx="9">
                  <c:v>39.943396863753748</c:v>
                </c:pt>
                <c:pt idx="10">
                  <c:v>33.922941922037182</c:v>
                </c:pt>
                <c:pt idx="11">
                  <c:v>25.965156452923996</c:v>
                </c:pt>
                <c:pt idx="12">
                  <c:v>19.948179104284446</c:v>
                </c:pt>
                <c:pt idx="13">
                  <c:v>13.942047947073796</c:v>
                </c:pt>
                <c:pt idx="14">
                  <c:v>6.0835796380867606</c:v>
                </c:pt>
                <c:pt idx="15">
                  <c:v>0.40848748986637062</c:v>
                </c:pt>
                <c:pt idx="16">
                  <c:v>-4.3937404438749965</c:v>
                </c:pt>
                <c:pt idx="17">
                  <c:v>-7.1416088674402616</c:v>
                </c:pt>
                <c:pt idx="18">
                  <c:v>-5.304479390447586</c:v>
                </c:pt>
                <c:pt idx="19">
                  <c:v>-0.91217769132007476</c:v>
                </c:pt>
                <c:pt idx="20">
                  <c:v>6.4148372651771375</c:v>
                </c:pt>
                <c:pt idx="21">
                  <c:v>12.032121435988621</c:v>
                </c:pt>
              </c:numCache>
            </c:numRef>
          </c:yVal>
          <c:smooth val="1"/>
        </c:ser>
        <c:axId val="111106688"/>
        <c:axId val="111121152"/>
      </c:scatterChart>
      <c:scatterChart>
        <c:scatterStyle val="lineMarker"/>
        <c:ser>
          <c:idx val="1"/>
          <c:order val="1"/>
          <c:tx>
            <c:v>Phase</c:v>
          </c:tx>
          <c:spPr>
            <a:ln w="25400">
              <a:solidFill>
                <a:srgbClr val="FF00FF"/>
              </a:solidFill>
              <a:prstDash val="solid"/>
            </a:ln>
          </c:spPr>
          <c:marker>
            <c:symbol val="none"/>
          </c:marker>
          <c:xVal>
            <c:numRef>
              <c:f>'Bode Plots'!$B$2:$B$23</c:f>
              <c:numCache>
                <c:formatCode>0.00E+00</c:formatCode>
                <c:ptCount val="22"/>
                <c:pt idx="0">
                  <c:v>0.1</c:v>
                </c:pt>
                <c:pt idx="1">
                  <c:v>0.2</c:v>
                </c:pt>
                <c:pt idx="2">
                  <c:v>0.5</c:v>
                </c:pt>
                <c:pt idx="3">
                  <c:v>1</c:v>
                </c:pt>
                <c:pt idx="4">
                  <c:v>2</c:v>
                </c:pt>
                <c:pt idx="5">
                  <c:v>5</c:v>
                </c:pt>
                <c:pt idx="6">
                  <c:v>10</c:v>
                </c:pt>
                <c:pt idx="7">
                  <c:v>20</c:v>
                </c:pt>
                <c:pt idx="8">
                  <c:v>50</c:v>
                </c:pt>
                <c:pt idx="9">
                  <c:v>100</c:v>
                </c:pt>
                <c:pt idx="10">
                  <c:v>200</c:v>
                </c:pt>
                <c:pt idx="11">
                  <c:v>500</c:v>
                </c:pt>
                <c:pt idx="12">
                  <c:v>1000</c:v>
                </c:pt>
                <c:pt idx="13">
                  <c:v>2000</c:v>
                </c:pt>
                <c:pt idx="14">
                  <c:v>5000</c:v>
                </c:pt>
                <c:pt idx="15">
                  <c:v>10000</c:v>
                </c:pt>
                <c:pt idx="16">
                  <c:v>20000</c:v>
                </c:pt>
                <c:pt idx="17">
                  <c:v>50000</c:v>
                </c:pt>
                <c:pt idx="18">
                  <c:v>100000</c:v>
                </c:pt>
                <c:pt idx="19">
                  <c:v>200000</c:v>
                </c:pt>
                <c:pt idx="20">
                  <c:v>500000</c:v>
                </c:pt>
                <c:pt idx="21">
                  <c:v>1000000</c:v>
                </c:pt>
              </c:numCache>
            </c:numRef>
          </c:xVal>
          <c:yVal>
            <c:numRef>
              <c:f>'Bode Plots'!$I$2:$I$23</c:f>
              <c:numCache>
                <c:formatCode>0</c:formatCode>
                <c:ptCount val="22"/>
                <c:pt idx="0">
                  <c:v>89.999904046541914</c:v>
                </c:pt>
                <c:pt idx="1">
                  <c:v>89.999862628898526</c:v>
                </c:pt>
                <c:pt idx="2">
                  <c:v>89.999656572244177</c:v>
                </c:pt>
                <c:pt idx="3">
                  <c:v>89.999313144473291</c:v>
                </c:pt>
                <c:pt idx="4">
                  <c:v>89.99862628882596</c:v>
                </c:pt>
                <c:pt idx="5">
                  <c:v>89.996565719953807</c:v>
                </c:pt>
                <c:pt idx="6">
                  <c:v>89.993131424828718</c:v>
                </c:pt>
                <c:pt idx="7">
                  <c:v>89.986262729032489</c:v>
                </c:pt>
                <c:pt idx="8">
                  <c:v>89.965654712349462</c:v>
                </c:pt>
                <c:pt idx="9">
                  <c:v>89.931294371714174</c:v>
                </c:pt>
                <c:pt idx="10">
                  <c:v>89.86246894365749</c:v>
                </c:pt>
                <c:pt idx="11">
                  <c:v>89.654143083783197</c:v>
                </c:pt>
                <c:pt idx="12">
                  <c:v>89.295451045804967</c:v>
                </c:pt>
                <c:pt idx="13">
                  <c:v>88.520634112164359</c:v>
                </c:pt>
                <c:pt idx="14">
                  <c:v>85.933655748914276</c:v>
                </c:pt>
                <c:pt idx="15">
                  <c:v>81.640243568332053</c:v>
                </c:pt>
                <c:pt idx="16">
                  <c:v>74.769712998685051</c:v>
                </c:pt>
                <c:pt idx="17">
                  <c:v>68.155008587293082</c:v>
                </c:pt>
                <c:pt idx="18">
                  <c:v>71.550097652106956</c:v>
                </c:pt>
                <c:pt idx="19">
                  <c:v>76.757905523815879</c:v>
                </c:pt>
                <c:pt idx="20">
                  <c:v>77.258310568566728</c:v>
                </c:pt>
                <c:pt idx="21">
                  <c:v>70.676144976209343</c:v>
                </c:pt>
              </c:numCache>
            </c:numRef>
          </c:yVal>
        </c:ser>
        <c:axId val="111123072"/>
        <c:axId val="111124864"/>
      </c:scatterChart>
      <c:valAx>
        <c:axId val="111106688"/>
        <c:scaling>
          <c:logBase val="10"/>
          <c:orientation val="minMax"/>
          <c:max val="1000000"/>
          <c:min val="1"/>
        </c:scaling>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Frequency (Hz)</a:t>
                </a:r>
              </a:p>
            </c:rich>
          </c:tx>
          <c:layout>
            <c:manualLayout>
              <c:xMode val="edge"/>
              <c:yMode val="edge"/>
              <c:x val="0.42546125381868266"/>
              <c:y val="0.85668279068422259"/>
            </c:manualLayout>
          </c:layout>
          <c:spPr>
            <a:noFill/>
            <a:ln w="25400">
              <a:noFill/>
            </a:ln>
          </c:spPr>
        </c:title>
        <c:numFmt formatCode="0.E+0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121152"/>
        <c:crossesAt val="-60"/>
        <c:crossBetween val="midCat"/>
      </c:valAx>
      <c:valAx>
        <c:axId val="111121152"/>
        <c:scaling>
          <c:orientation val="minMax"/>
          <c:max val="100"/>
          <c:min val="-20"/>
        </c:scaling>
        <c:axPos val="l"/>
        <c:majorGridlines>
          <c:spPr>
            <a:ln w="3175">
              <a:solidFill>
                <a:srgbClr val="000000"/>
              </a:solidFill>
              <a:prstDash val="solid"/>
            </a:ln>
          </c:spPr>
        </c:majorGridlines>
        <c:title>
          <c:tx>
            <c:rich>
              <a:bodyPr/>
              <a:lstStyle/>
              <a:p>
                <a:pPr>
                  <a:defRPr sz="800" b="1" i="0" u="none" strike="noStrike" baseline="0">
                    <a:solidFill>
                      <a:srgbClr val="000080"/>
                    </a:solidFill>
                    <a:latin typeface="Arial"/>
                    <a:ea typeface="Arial"/>
                    <a:cs typeface="Arial"/>
                  </a:defRPr>
                </a:pPr>
                <a:r>
                  <a:rPr lang="en-US"/>
                  <a:t>Gain (dB)</a:t>
                </a:r>
              </a:p>
            </c:rich>
          </c:tx>
          <c:layout>
            <c:manualLayout>
              <c:xMode val="edge"/>
              <c:yMode val="edge"/>
              <c:x val="4.6901166042769241E-2"/>
              <c:y val="0.42019797112137841"/>
            </c:manualLayout>
          </c:layout>
          <c:spPr>
            <a:noFill/>
            <a:ln w="25400">
              <a:noFill/>
            </a:ln>
          </c:spPr>
        </c:title>
        <c:numFmt formatCode="0" sourceLinked="0"/>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11106688"/>
        <c:crosses val="autoZero"/>
        <c:crossBetween val="midCat"/>
      </c:valAx>
      <c:valAx>
        <c:axId val="111123072"/>
        <c:scaling>
          <c:logBase val="10"/>
          <c:orientation val="minMax"/>
        </c:scaling>
        <c:delete val="1"/>
        <c:axPos val="b"/>
        <c:numFmt formatCode="0.00E+00" sourceLinked="1"/>
        <c:tickLblPos val="none"/>
        <c:crossAx val="111124864"/>
        <c:crosses val="autoZero"/>
        <c:crossBetween val="midCat"/>
      </c:valAx>
      <c:valAx>
        <c:axId val="111124864"/>
        <c:scaling>
          <c:orientation val="minMax"/>
          <c:max val="180"/>
          <c:min val="0"/>
        </c:scaling>
        <c:axPos val="r"/>
        <c:majorGridlines/>
        <c:numFmt formatCode="0" sourceLinked="1"/>
        <c:majorTickMark val="cross"/>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11123072"/>
        <c:crosses val="max"/>
        <c:crossBetween val="midCat"/>
        <c:majorUnit val="30"/>
      </c:valAx>
      <c:spPr>
        <a:noFill/>
        <a:ln w="25400">
          <a:noFill/>
        </a:ln>
      </c:spPr>
    </c:plotArea>
    <c:plotVisOnly val="1"/>
    <c:dispBlanksAs val="gap"/>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800" b="1" i="0" u="none" strike="noStrike" baseline="0">
                <a:solidFill>
                  <a:srgbClr val="000000"/>
                </a:solidFill>
                <a:latin typeface="Arial"/>
                <a:ea typeface="Arial"/>
                <a:cs typeface="Arial"/>
              </a:defRPr>
            </a:pPr>
            <a:r>
              <a:rPr lang="en-AU"/>
              <a:t>Modulator Gain/Phase
COMP to VOUT </a:t>
            </a:r>
          </a:p>
        </c:rich>
      </c:tx>
      <c:layout>
        <c:manualLayout>
          <c:xMode val="edge"/>
          <c:yMode val="edge"/>
          <c:x val="0.3867409832197945"/>
          <c:y val="3.5830676874733236E-2"/>
        </c:manualLayout>
      </c:layout>
      <c:spPr>
        <a:noFill/>
        <a:ln w="25400">
          <a:noFill/>
        </a:ln>
      </c:spPr>
    </c:title>
    <c:plotArea>
      <c:layout>
        <c:manualLayout>
          <c:layoutTarget val="inner"/>
          <c:xMode val="edge"/>
          <c:yMode val="edge"/>
          <c:x val="0.13443854749105721"/>
          <c:y val="0.23452917936418061"/>
          <c:w val="0.72375820772582855"/>
          <c:h val="0.53420535299618954"/>
        </c:manualLayout>
      </c:layout>
      <c:scatterChart>
        <c:scatterStyle val="smoothMarker"/>
        <c:ser>
          <c:idx val="0"/>
          <c:order val="0"/>
          <c:tx>
            <c:v>Gain</c:v>
          </c:tx>
          <c:spPr>
            <a:ln w="25400">
              <a:solidFill>
                <a:srgbClr val="000080"/>
              </a:solidFill>
              <a:prstDash val="solid"/>
            </a:ln>
          </c:spPr>
          <c:marker>
            <c:symbol val="none"/>
          </c:marker>
          <c:xVal>
            <c:numRef>
              <c:f>'Bode Plots'!$B$2:$B$23</c:f>
              <c:numCache>
                <c:formatCode>0.00E+00</c:formatCode>
                <c:ptCount val="22"/>
                <c:pt idx="0">
                  <c:v>0.1</c:v>
                </c:pt>
                <c:pt idx="1">
                  <c:v>0.2</c:v>
                </c:pt>
                <c:pt idx="2">
                  <c:v>0.5</c:v>
                </c:pt>
                <c:pt idx="3">
                  <c:v>1</c:v>
                </c:pt>
                <c:pt idx="4">
                  <c:v>2</c:v>
                </c:pt>
                <c:pt idx="5">
                  <c:v>5</c:v>
                </c:pt>
                <c:pt idx="6">
                  <c:v>10</c:v>
                </c:pt>
                <c:pt idx="7">
                  <c:v>20</c:v>
                </c:pt>
                <c:pt idx="8">
                  <c:v>50</c:v>
                </c:pt>
                <c:pt idx="9">
                  <c:v>100</c:v>
                </c:pt>
                <c:pt idx="10">
                  <c:v>200</c:v>
                </c:pt>
                <c:pt idx="11">
                  <c:v>500</c:v>
                </c:pt>
                <c:pt idx="12">
                  <c:v>1000</c:v>
                </c:pt>
                <c:pt idx="13">
                  <c:v>2000</c:v>
                </c:pt>
                <c:pt idx="14">
                  <c:v>5000</c:v>
                </c:pt>
                <c:pt idx="15">
                  <c:v>10000</c:v>
                </c:pt>
                <c:pt idx="16">
                  <c:v>20000</c:v>
                </c:pt>
                <c:pt idx="17">
                  <c:v>50000</c:v>
                </c:pt>
                <c:pt idx="18">
                  <c:v>100000</c:v>
                </c:pt>
                <c:pt idx="19">
                  <c:v>200000</c:v>
                </c:pt>
                <c:pt idx="20">
                  <c:v>500000</c:v>
                </c:pt>
                <c:pt idx="21">
                  <c:v>1000000</c:v>
                </c:pt>
              </c:numCache>
            </c:numRef>
          </c:xVal>
          <c:yVal>
            <c:numRef>
              <c:f>'Bode Plots'!$D$2:$D$23</c:f>
              <c:numCache>
                <c:formatCode>0.0000</c:formatCode>
                <c:ptCount val="22"/>
                <c:pt idx="0">
                  <c:v>13.493929919499092</c:v>
                </c:pt>
                <c:pt idx="1">
                  <c:v>13.493923353606279</c:v>
                </c:pt>
                <c:pt idx="2">
                  <c:v>13.493877392634548</c:v>
                </c:pt>
                <c:pt idx="3">
                  <c:v>13.493713250277603</c:v>
                </c:pt>
                <c:pt idx="4">
                  <c:v>13.493056742883423</c:v>
                </c:pt>
                <c:pt idx="5">
                  <c:v>13.488463967920586</c:v>
                </c:pt>
                <c:pt idx="6">
                  <c:v>13.472100737285968</c:v>
                </c:pt>
                <c:pt idx="7">
                  <c:v>13.40725748925567</c:v>
                </c:pt>
                <c:pt idx="8">
                  <c:v>12.978596289950422</c:v>
                </c:pt>
                <c:pt idx="9">
                  <c:v>11.721609898061196</c:v>
                </c:pt>
                <c:pt idx="10">
                  <c:v>8.7000271278828052</c:v>
                </c:pt>
                <c:pt idx="11">
                  <c:v>2.160049245715236</c:v>
                </c:pt>
                <c:pt idx="12">
                  <c:v>-3.6105525523151045</c:v>
                </c:pt>
                <c:pt idx="13">
                  <c:v>-9.5528409694909051</c:v>
                </c:pt>
                <c:pt idx="14">
                  <c:v>-17.393254602353572</c:v>
                </c:pt>
                <c:pt idx="15">
                  <c:v>-23.065728379398507</c:v>
                </c:pt>
                <c:pt idx="16">
                  <c:v>-27.867172575763139</c:v>
                </c:pt>
                <c:pt idx="17">
                  <c:v>-30.61389767036075</c:v>
                </c:pt>
                <c:pt idx="18">
                  <c:v>-28.773307063610417</c:v>
                </c:pt>
                <c:pt idx="19">
                  <c:v>-24.367284901654749</c:v>
                </c:pt>
                <c:pt idx="20">
                  <c:v>-16.945463882892902</c:v>
                </c:pt>
                <c:pt idx="21">
                  <c:v>-11.005547957933445</c:v>
                </c:pt>
              </c:numCache>
            </c:numRef>
          </c:yVal>
          <c:smooth val="1"/>
        </c:ser>
        <c:axId val="111813760"/>
        <c:axId val="111815680"/>
      </c:scatterChart>
      <c:scatterChart>
        <c:scatterStyle val="lineMarker"/>
        <c:ser>
          <c:idx val="1"/>
          <c:order val="1"/>
          <c:tx>
            <c:v>Phase</c:v>
          </c:tx>
          <c:spPr>
            <a:ln w="25400">
              <a:solidFill>
                <a:srgbClr val="FF00FF"/>
              </a:solidFill>
              <a:prstDash val="solid"/>
            </a:ln>
          </c:spPr>
          <c:marker>
            <c:symbol val="none"/>
          </c:marker>
          <c:xVal>
            <c:numRef>
              <c:f>'Bode Plots'!$B$2:$B$23</c:f>
              <c:numCache>
                <c:formatCode>0.00E+00</c:formatCode>
                <c:ptCount val="22"/>
                <c:pt idx="0">
                  <c:v>0.1</c:v>
                </c:pt>
                <c:pt idx="1">
                  <c:v>0.2</c:v>
                </c:pt>
                <c:pt idx="2">
                  <c:v>0.5</c:v>
                </c:pt>
                <c:pt idx="3">
                  <c:v>1</c:v>
                </c:pt>
                <c:pt idx="4">
                  <c:v>2</c:v>
                </c:pt>
                <c:pt idx="5">
                  <c:v>5</c:v>
                </c:pt>
                <c:pt idx="6">
                  <c:v>10</c:v>
                </c:pt>
                <c:pt idx="7">
                  <c:v>20</c:v>
                </c:pt>
                <c:pt idx="8">
                  <c:v>50</c:v>
                </c:pt>
                <c:pt idx="9">
                  <c:v>100</c:v>
                </c:pt>
                <c:pt idx="10">
                  <c:v>200</c:v>
                </c:pt>
                <c:pt idx="11">
                  <c:v>500</c:v>
                </c:pt>
                <c:pt idx="12">
                  <c:v>1000</c:v>
                </c:pt>
                <c:pt idx="13">
                  <c:v>2000</c:v>
                </c:pt>
                <c:pt idx="14">
                  <c:v>5000</c:v>
                </c:pt>
                <c:pt idx="15">
                  <c:v>10000</c:v>
                </c:pt>
                <c:pt idx="16">
                  <c:v>20000</c:v>
                </c:pt>
                <c:pt idx="17">
                  <c:v>50000</c:v>
                </c:pt>
                <c:pt idx="18">
                  <c:v>100000</c:v>
                </c:pt>
                <c:pt idx="19">
                  <c:v>200000</c:v>
                </c:pt>
                <c:pt idx="20">
                  <c:v>500000</c:v>
                </c:pt>
                <c:pt idx="21">
                  <c:v>1000000</c:v>
                </c:pt>
              </c:numCache>
            </c:numRef>
          </c:xVal>
          <c:yVal>
            <c:numRef>
              <c:f>'Bode Plots'!$E$2:$E$23</c:f>
              <c:numCache>
                <c:formatCode>0.00E+00</c:formatCode>
                <c:ptCount val="22"/>
                <c:pt idx="0">
                  <c:v>-4.0768546831479818E-2</c:v>
                </c:pt>
                <c:pt idx="1">
                  <c:v>-8.1537052666199053E-2</c:v>
                </c:pt>
                <c:pt idx="2">
                  <c:v>-0.20384191422739376</c:v>
                </c:pt>
                <c:pt idx="3">
                  <c:v>-0.40767870404565393</c:v>
                </c:pt>
                <c:pt idx="4">
                  <c:v>-0.81531641746605588</c:v>
                </c:pt>
                <c:pt idx="5">
                  <c:v>-2.0375742278153619</c:v>
                </c:pt>
                <c:pt idx="6">
                  <c:v>-4.0700431494486962</c:v>
                </c:pt>
                <c:pt idx="7">
                  <c:v>-8.0997000774958359</c:v>
                </c:pt>
                <c:pt idx="8">
                  <c:v>-19.589447460253378</c:v>
                </c:pt>
                <c:pt idx="9">
                  <c:v>-35.465158780742058</c:v>
                </c:pt>
                <c:pt idx="10">
                  <c:v>-55.030327911784418</c:v>
                </c:pt>
                <c:pt idx="11">
                  <c:v>-74.736358345242763</c:v>
                </c:pt>
                <c:pt idx="12">
                  <c:v>-82.922269096124253</c:v>
                </c:pt>
                <c:pt idx="13">
                  <c:v>-87.849191007311632</c:v>
                </c:pt>
                <c:pt idx="14">
                  <c:v>-93.031576504007262</c:v>
                </c:pt>
                <c:pt idx="15">
                  <c:v>-98.147919924044899</c:v>
                </c:pt>
                <c:pt idx="16">
                  <c:v>-105.29451067667016</c:v>
                </c:pt>
                <c:pt idx="17">
                  <c:v>-111.62892498309603</c:v>
                </c:pt>
                <c:pt idx="18">
                  <c:v>-107.39647792950794</c:v>
                </c:pt>
                <c:pt idx="19">
                  <c:v>-100.37828112775944</c:v>
                </c:pt>
                <c:pt idx="20">
                  <c:v>-94.397056018244555</c:v>
                </c:pt>
                <c:pt idx="21">
                  <c:v>-92.217478864809266</c:v>
                </c:pt>
              </c:numCache>
            </c:numRef>
          </c:yVal>
        </c:ser>
        <c:axId val="111830144"/>
        <c:axId val="111831680"/>
      </c:scatterChart>
      <c:valAx>
        <c:axId val="111813760"/>
        <c:scaling>
          <c:logBase val="10"/>
          <c:orientation val="minMax"/>
          <c:max val="1000000"/>
          <c:min val="1"/>
        </c:scaling>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AU"/>
                  <a:t>Frequency (Hz)</a:t>
                </a:r>
              </a:p>
            </c:rich>
          </c:tx>
          <c:layout>
            <c:manualLayout>
              <c:xMode val="edge"/>
              <c:yMode val="edge"/>
              <c:x val="0.41620710332556748"/>
              <c:y val="0.85668310492330324"/>
            </c:manualLayout>
          </c:layout>
          <c:spPr>
            <a:noFill/>
            <a:ln w="25400">
              <a:noFill/>
            </a:ln>
          </c:spPr>
        </c:title>
        <c:numFmt formatCode="0.E+0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815680"/>
        <c:crossesAt val="-60"/>
        <c:crossBetween val="midCat"/>
      </c:valAx>
      <c:valAx>
        <c:axId val="111815680"/>
        <c:scaling>
          <c:orientation val="minMax"/>
          <c:max val="60"/>
          <c:min val="-60"/>
        </c:scaling>
        <c:axPos val="l"/>
        <c:majorGridlines>
          <c:spPr>
            <a:ln w="3175">
              <a:solidFill>
                <a:srgbClr val="000000"/>
              </a:solidFill>
              <a:prstDash val="solid"/>
            </a:ln>
          </c:spPr>
        </c:majorGridlines>
        <c:title>
          <c:tx>
            <c:rich>
              <a:bodyPr/>
              <a:lstStyle/>
              <a:p>
                <a:pPr>
                  <a:defRPr sz="800" b="1" i="0" u="none" strike="noStrike" baseline="0">
                    <a:solidFill>
                      <a:srgbClr val="000080"/>
                    </a:solidFill>
                    <a:latin typeface="Arial"/>
                    <a:ea typeface="Arial"/>
                    <a:cs typeface="Arial"/>
                  </a:defRPr>
                </a:pPr>
                <a:r>
                  <a:rPr lang="en-AU"/>
                  <a:t>Gain (dB)</a:t>
                </a:r>
              </a:p>
            </c:rich>
          </c:tx>
          <c:layout>
            <c:manualLayout>
              <c:xMode val="edge"/>
              <c:yMode val="edge"/>
              <c:x val="4.7882273142823506E-2"/>
              <c:y val="0.41694066788364298"/>
            </c:manualLayout>
          </c:layout>
          <c:spPr>
            <a:noFill/>
            <a:ln w="25400">
              <a:noFill/>
            </a:ln>
          </c:spPr>
        </c:title>
        <c:numFmt formatCode="0" sourceLinked="0"/>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11813760"/>
        <c:crosses val="autoZero"/>
        <c:crossBetween val="midCat"/>
      </c:valAx>
      <c:valAx>
        <c:axId val="111830144"/>
        <c:scaling>
          <c:logBase val="10"/>
          <c:orientation val="minMax"/>
        </c:scaling>
        <c:delete val="1"/>
        <c:axPos val="b"/>
        <c:numFmt formatCode="0.00E+00" sourceLinked="1"/>
        <c:tickLblPos val="none"/>
        <c:crossAx val="111831680"/>
        <c:crosses val="autoZero"/>
        <c:crossBetween val="midCat"/>
      </c:valAx>
      <c:valAx>
        <c:axId val="111831680"/>
        <c:scaling>
          <c:orientation val="minMax"/>
          <c:max val="0"/>
          <c:min val="-180"/>
        </c:scaling>
        <c:axPos val="r"/>
        <c:title>
          <c:tx>
            <c:rich>
              <a:bodyPr/>
              <a:lstStyle/>
              <a:p>
                <a:pPr>
                  <a:defRPr sz="800" b="1" i="0" u="none" strike="noStrike" baseline="0">
                    <a:solidFill>
                      <a:srgbClr val="FF00FF"/>
                    </a:solidFill>
                    <a:latin typeface="Arial"/>
                    <a:ea typeface="Arial"/>
                    <a:cs typeface="Arial"/>
                  </a:defRPr>
                </a:pPr>
                <a:r>
                  <a:rPr lang="en-AU"/>
                  <a:t>Phase (deg)</a:t>
                </a:r>
              </a:p>
            </c:rich>
          </c:tx>
          <c:layout>
            <c:manualLayout>
              <c:xMode val="edge"/>
              <c:yMode val="edge"/>
              <c:x val="0.91712878586805857"/>
              <c:y val="0.38762462650646201"/>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830144"/>
        <c:crosses val="max"/>
        <c:crossBetween val="midCat"/>
        <c:majorUnit val="30"/>
      </c:valAx>
      <c:spPr>
        <a:solidFill>
          <a:srgbClr val="FFFFFF"/>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800" b="1" i="0" u="none" strike="noStrike" baseline="0">
                <a:solidFill>
                  <a:srgbClr val="000000"/>
                </a:solidFill>
                <a:latin typeface="Arial"/>
                <a:ea typeface="Arial"/>
                <a:cs typeface="Arial"/>
              </a:defRPr>
            </a:pPr>
            <a:r>
              <a:rPr lang="en-AU"/>
              <a:t>Error Amplifier Gain/Phase
VOUT to COMP </a:t>
            </a:r>
          </a:p>
        </c:rich>
      </c:tx>
      <c:layout>
        <c:manualLayout>
          <c:xMode val="edge"/>
          <c:yMode val="edge"/>
          <c:x val="0.36279984664838222"/>
          <c:y val="3.5830676874733236E-2"/>
        </c:manualLayout>
      </c:layout>
      <c:spPr>
        <a:noFill/>
        <a:ln w="25400">
          <a:noFill/>
        </a:ln>
      </c:spPr>
    </c:title>
    <c:plotArea>
      <c:layout>
        <c:manualLayout>
          <c:layoutTarget val="inner"/>
          <c:xMode val="edge"/>
          <c:yMode val="edge"/>
          <c:x val="0.13812179536752447"/>
          <c:y val="0.22475713022400642"/>
          <c:w val="0.72744145560229601"/>
          <c:h val="0.5439774021363637"/>
        </c:manualLayout>
      </c:layout>
      <c:scatterChart>
        <c:scatterStyle val="smoothMarker"/>
        <c:ser>
          <c:idx val="0"/>
          <c:order val="0"/>
          <c:tx>
            <c:v>Gain</c:v>
          </c:tx>
          <c:spPr>
            <a:ln w="25400">
              <a:solidFill>
                <a:srgbClr val="000080"/>
              </a:solidFill>
              <a:prstDash val="solid"/>
            </a:ln>
          </c:spPr>
          <c:marker>
            <c:symbol val="none"/>
          </c:marker>
          <c:xVal>
            <c:numRef>
              <c:f>'Bode Plots'!$B$2:$B$23</c:f>
              <c:numCache>
                <c:formatCode>0.00E+00</c:formatCode>
                <c:ptCount val="22"/>
                <c:pt idx="0">
                  <c:v>0.1</c:v>
                </c:pt>
                <c:pt idx="1">
                  <c:v>0.2</c:v>
                </c:pt>
                <c:pt idx="2">
                  <c:v>0.5</c:v>
                </c:pt>
                <c:pt idx="3">
                  <c:v>1</c:v>
                </c:pt>
                <c:pt idx="4">
                  <c:v>2</c:v>
                </c:pt>
                <c:pt idx="5">
                  <c:v>5</c:v>
                </c:pt>
                <c:pt idx="6">
                  <c:v>10</c:v>
                </c:pt>
                <c:pt idx="7">
                  <c:v>20</c:v>
                </c:pt>
                <c:pt idx="8">
                  <c:v>50</c:v>
                </c:pt>
                <c:pt idx="9">
                  <c:v>100</c:v>
                </c:pt>
                <c:pt idx="10">
                  <c:v>200</c:v>
                </c:pt>
                <c:pt idx="11">
                  <c:v>500</c:v>
                </c:pt>
                <c:pt idx="12">
                  <c:v>1000</c:v>
                </c:pt>
                <c:pt idx="13">
                  <c:v>2000</c:v>
                </c:pt>
                <c:pt idx="14">
                  <c:v>5000</c:v>
                </c:pt>
                <c:pt idx="15">
                  <c:v>10000</c:v>
                </c:pt>
                <c:pt idx="16">
                  <c:v>20000</c:v>
                </c:pt>
                <c:pt idx="17">
                  <c:v>50000</c:v>
                </c:pt>
                <c:pt idx="18">
                  <c:v>100000</c:v>
                </c:pt>
                <c:pt idx="19">
                  <c:v>200000</c:v>
                </c:pt>
                <c:pt idx="20">
                  <c:v>500000</c:v>
                </c:pt>
                <c:pt idx="21">
                  <c:v>1000000</c:v>
                </c:pt>
              </c:numCache>
            </c:numRef>
          </c:xVal>
          <c:yVal>
            <c:numRef>
              <c:f>'Bode Plots'!$F$2:$F$23</c:f>
              <c:numCache>
                <c:formatCode>0.00</c:formatCode>
                <c:ptCount val="22"/>
                <c:pt idx="0">
                  <c:v>86.449418619681751</c:v>
                </c:pt>
                <c:pt idx="1">
                  <c:v>80.428825272439909</c:v>
                </c:pt>
                <c:pt idx="2">
                  <c:v>72.470071060985717</c:v>
                </c:pt>
                <c:pt idx="3">
                  <c:v>66.449635293687393</c:v>
                </c:pt>
                <c:pt idx="4">
                  <c:v>60.429691902299389</c:v>
                </c:pt>
                <c:pt idx="5">
                  <c:v>52.475484605303578</c:v>
                </c:pt>
                <c:pt idx="6">
                  <c:v>46.471248285094653</c:v>
                </c:pt>
                <c:pt idx="7">
                  <c:v>40.515493069589432</c:v>
                </c:pt>
                <c:pt idx="8">
                  <c:v>32.985364243652974</c:v>
                </c:pt>
                <c:pt idx="9">
                  <c:v>28.221786965692555</c:v>
                </c:pt>
                <c:pt idx="10">
                  <c:v>25.222914794154374</c:v>
                </c:pt>
                <c:pt idx="11">
                  <c:v>23.80510720720876</c:v>
                </c:pt>
                <c:pt idx="12">
                  <c:v>23.558731656599551</c:v>
                </c:pt>
                <c:pt idx="13">
                  <c:v>23.494888916564701</c:v>
                </c:pt>
                <c:pt idx="14">
                  <c:v>23.476834240440333</c:v>
                </c:pt>
                <c:pt idx="15">
                  <c:v>23.474215869264878</c:v>
                </c:pt>
                <c:pt idx="16">
                  <c:v>23.473432131888142</c:v>
                </c:pt>
                <c:pt idx="17">
                  <c:v>23.472288802920488</c:v>
                </c:pt>
                <c:pt idx="18">
                  <c:v>23.468827673162831</c:v>
                </c:pt>
                <c:pt idx="19">
                  <c:v>23.455107210334674</c:v>
                </c:pt>
                <c:pt idx="20">
                  <c:v>23.36030114807004</c:v>
                </c:pt>
                <c:pt idx="21">
                  <c:v>23.037669393922066</c:v>
                </c:pt>
              </c:numCache>
            </c:numRef>
          </c:yVal>
          <c:smooth val="1"/>
        </c:ser>
        <c:axId val="111743360"/>
        <c:axId val="111745280"/>
      </c:scatterChart>
      <c:scatterChart>
        <c:scatterStyle val="lineMarker"/>
        <c:ser>
          <c:idx val="1"/>
          <c:order val="1"/>
          <c:tx>
            <c:v>Phase</c:v>
          </c:tx>
          <c:spPr>
            <a:ln w="25400">
              <a:solidFill>
                <a:srgbClr val="FF00FF"/>
              </a:solidFill>
              <a:prstDash val="solid"/>
            </a:ln>
          </c:spPr>
          <c:marker>
            <c:symbol val="none"/>
          </c:marker>
          <c:xVal>
            <c:numRef>
              <c:f>'Bode Plots'!$B$2:$B$23</c:f>
              <c:numCache>
                <c:formatCode>0.00E+00</c:formatCode>
                <c:ptCount val="22"/>
                <c:pt idx="0">
                  <c:v>0.1</c:v>
                </c:pt>
                <c:pt idx="1">
                  <c:v>0.2</c:v>
                </c:pt>
                <c:pt idx="2">
                  <c:v>0.5</c:v>
                </c:pt>
                <c:pt idx="3">
                  <c:v>1</c:v>
                </c:pt>
                <c:pt idx="4">
                  <c:v>2</c:v>
                </c:pt>
                <c:pt idx="5">
                  <c:v>5</c:v>
                </c:pt>
                <c:pt idx="6">
                  <c:v>10</c:v>
                </c:pt>
                <c:pt idx="7">
                  <c:v>20</c:v>
                </c:pt>
                <c:pt idx="8">
                  <c:v>50</c:v>
                </c:pt>
                <c:pt idx="9">
                  <c:v>100</c:v>
                </c:pt>
                <c:pt idx="10">
                  <c:v>200</c:v>
                </c:pt>
                <c:pt idx="11">
                  <c:v>500</c:v>
                </c:pt>
                <c:pt idx="12">
                  <c:v>1000</c:v>
                </c:pt>
                <c:pt idx="13">
                  <c:v>2000</c:v>
                </c:pt>
                <c:pt idx="14">
                  <c:v>5000</c:v>
                </c:pt>
                <c:pt idx="15">
                  <c:v>10000</c:v>
                </c:pt>
                <c:pt idx="16">
                  <c:v>20000</c:v>
                </c:pt>
                <c:pt idx="17">
                  <c:v>50000</c:v>
                </c:pt>
                <c:pt idx="18">
                  <c:v>100000</c:v>
                </c:pt>
                <c:pt idx="19">
                  <c:v>200000</c:v>
                </c:pt>
                <c:pt idx="20">
                  <c:v>500000</c:v>
                </c:pt>
                <c:pt idx="21">
                  <c:v>1000000</c:v>
                </c:pt>
              </c:numCache>
            </c:numRef>
          </c:xVal>
          <c:yVal>
            <c:numRef>
              <c:f>'Bode Plots'!$G$2:$G$23</c:f>
              <c:numCache>
                <c:formatCode>0</c:formatCode>
                <c:ptCount val="22"/>
                <c:pt idx="0">
                  <c:v>90.040672593373401</c:v>
                </c:pt>
                <c:pt idx="1">
                  <c:v>90.081399681564719</c:v>
                </c:pt>
                <c:pt idx="2">
                  <c:v>90.203498486471574</c:v>
                </c:pt>
                <c:pt idx="3">
                  <c:v>90.406991848518942</c:v>
                </c:pt>
                <c:pt idx="4">
                  <c:v>90.813942706292011</c:v>
                </c:pt>
                <c:pt idx="5">
                  <c:v>92.034139947769162</c:v>
                </c:pt>
                <c:pt idx="6">
                  <c:v>94.063174574277411</c:v>
                </c:pt>
                <c:pt idx="7">
                  <c:v>98.085962806528329</c:v>
                </c:pt>
                <c:pt idx="8">
                  <c:v>109.55510217260284</c:v>
                </c:pt>
                <c:pt idx="9">
                  <c:v>125.39645315245623</c:v>
                </c:pt>
                <c:pt idx="10">
                  <c:v>144.8927968554419</c:v>
                </c:pt>
                <c:pt idx="11">
                  <c:v>164.39050142902596</c:v>
                </c:pt>
                <c:pt idx="12">
                  <c:v>172.21772014192922</c:v>
                </c:pt>
                <c:pt idx="13">
                  <c:v>176.36982511947599</c:v>
                </c:pt>
                <c:pt idx="14">
                  <c:v>178.96523225292154</c:v>
                </c:pt>
                <c:pt idx="15">
                  <c:v>179.78816349237695</c:v>
                </c:pt>
                <c:pt idx="16">
                  <c:v>180.06422367535521</c:v>
                </c:pt>
                <c:pt idx="17">
                  <c:v>179.78393357038911</c:v>
                </c:pt>
                <c:pt idx="18">
                  <c:v>178.94657558161489</c:v>
                </c:pt>
                <c:pt idx="19">
                  <c:v>177.13618665157531</c:v>
                </c:pt>
                <c:pt idx="20">
                  <c:v>171.65536658681128</c:v>
                </c:pt>
                <c:pt idx="21">
                  <c:v>162.89362384101861</c:v>
                </c:pt>
              </c:numCache>
            </c:numRef>
          </c:yVal>
        </c:ser>
        <c:axId val="111755648"/>
        <c:axId val="111757184"/>
      </c:scatterChart>
      <c:valAx>
        <c:axId val="111743360"/>
        <c:scaling>
          <c:logBase val="10"/>
          <c:orientation val="minMax"/>
          <c:max val="1000000"/>
          <c:min val="1"/>
        </c:scaling>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AU"/>
                  <a:t>Frequency (Hz)</a:t>
                </a:r>
              </a:p>
            </c:rich>
          </c:tx>
          <c:layout>
            <c:manualLayout>
              <c:xMode val="edge"/>
              <c:yMode val="edge"/>
              <c:x val="0.42173189025529112"/>
              <c:y val="0.85668310492330324"/>
            </c:manualLayout>
          </c:layout>
          <c:spPr>
            <a:noFill/>
            <a:ln w="25400">
              <a:noFill/>
            </a:ln>
          </c:spPr>
        </c:title>
        <c:numFmt formatCode="0.E+0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745280"/>
        <c:crossesAt val="-60"/>
        <c:crossBetween val="midCat"/>
      </c:valAx>
      <c:valAx>
        <c:axId val="111745280"/>
        <c:scaling>
          <c:orientation val="minMax"/>
          <c:max val="100"/>
          <c:min val="-20"/>
        </c:scaling>
        <c:axPos val="l"/>
        <c:majorGridlines>
          <c:spPr>
            <a:ln w="3175">
              <a:solidFill>
                <a:srgbClr val="000000"/>
              </a:solidFill>
              <a:prstDash val="solid"/>
            </a:ln>
          </c:spPr>
        </c:majorGridlines>
        <c:title>
          <c:tx>
            <c:rich>
              <a:bodyPr/>
              <a:lstStyle/>
              <a:p>
                <a:pPr>
                  <a:defRPr sz="800" b="1" i="0" u="none" strike="noStrike" baseline="0">
                    <a:solidFill>
                      <a:srgbClr val="000080"/>
                    </a:solidFill>
                    <a:latin typeface="Arial"/>
                    <a:ea typeface="Arial"/>
                    <a:cs typeface="Arial"/>
                  </a:defRPr>
                </a:pPr>
                <a:r>
                  <a:rPr lang="en-AU"/>
                  <a:t>Gain (dB)</a:t>
                </a:r>
              </a:p>
            </c:rich>
          </c:tx>
          <c:layout>
            <c:manualLayout>
              <c:xMode val="edge"/>
              <c:yMode val="edge"/>
              <c:x val="4.7882273142823506E-2"/>
              <c:y val="0.41042603238609032"/>
            </c:manualLayout>
          </c:layout>
          <c:spPr>
            <a:noFill/>
            <a:ln w="25400">
              <a:noFill/>
            </a:ln>
          </c:spPr>
        </c:title>
        <c:numFmt formatCode="0" sourceLinked="0"/>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11743360"/>
        <c:crosses val="autoZero"/>
        <c:crossBetween val="midCat"/>
      </c:valAx>
      <c:valAx>
        <c:axId val="111755648"/>
        <c:scaling>
          <c:logBase val="10"/>
          <c:orientation val="minMax"/>
        </c:scaling>
        <c:delete val="1"/>
        <c:axPos val="b"/>
        <c:numFmt formatCode="0.00E+00" sourceLinked="1"/>
        <c:tickLblPos val="none"/>
        <c:crossAx val="111757184"/>
        <c:crosses val="autoZero"/>
        <c:crossBetween val="midCat"/>
      </c:valAx>
      <c:valAx>
        <c:axId val="111757184"/>
        <c:scaling>
          <c:orientation val="minMax"/>
          <c:max val="180"/>
          <c:min val="0"/>
        </c:scaling>
        <c:axPos val="r"/>
        <c:title>
          <c:tx>
            <c:rich>
              <a:bodyPr/>
              <a:lstStyle/>
              <a:p>
                <a:pPr>
                  <a:defRPr sz="800" b="1" i="0" u="none" strike="noStrike" baseline="0">
                    <a:solidFill>
                      <a:srgbClr val="FF00FF"/>
                    </a:solidFill>
                    <a:latin typeface="Arial"/>
                    <a:ea typeface="Arial"/>
                    <a:cs typeface="Arial"/>
                  </a:defRPr>
                </a:pPr>
                <a:r>
                  <a:rPr lang="en-AU"/>
                  <a:t>Phase (deg)</a:t>
                </a:r>
              </a:p>
            </c:rich>
          </c:tx>
          <c:layout>
            <c:manualLayout>
              <c:xMode val="edge"/>
              <c:yMode val="edge"/>
              <c:x val="0.91712878586805857"/>
              <c:y val="0.38110999100890958"/>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755648"/>
        <c:crosses val="max"/>
        <c:crossBetween val="midCat"/>
        <c:majorUnit val="30"/>
      </c:valAx>
      <c:spPr>
        <a:solidFill>
          <a:srgbClr val="FFFFFF"/>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735365851663675"/>
          <c:y val="0.24104387879096348"/>
          <c:w val="0.72026918490431457"/>
          <c:h val="0.52769065356940714"/>
        </c:manualLayout>
      </c:layout>
      <c:scatterChart>
        <c:scatterStyle val="smoothMarker"/>
        <c:ser>
          <c:idx val="0"/>
          <c:order val="0"/>
          <c:tx>
            <c:v>Gain</c:v>
          </c:tx>
          <c:spPr>
            <a:ln w="25400">
              <a:solidFill>
                <a:srgbClr val="000080"/>
              </a:solidFill>
              <a:prstDash val="solid"/>
            </a:ln>
          </c:spPr>
          <c:marker>
            <c:symbol val="none"/>
          </c:marker>
          <c:xVal>
            <c:numRef>
              <c:f>'Bode Plots'!$B$2:$B$23</c:f>
              <c:numCache>
                <c:formatCode>0.00E+00</c:formatCode>
                <c:ptCount val="22"/>
                <c:pt idx="0">
                  <c:v>0.1</c:v>
                </c:pt>
                <c:pt idx="1">
                  <c:v>0.2</c:v>
                </c:pt>
                <c:pt idx="2">
                  <c:v>0.5</c:v>
                </c:pt>
                <c:pt idx="3">
                  <c:v>1</c:v>
                </c:pt>
                <c:pt idx="4">
                  <c:v>2</c:v>
                </c:pt>
                <c:pt idx="5">
                  <c:v>5</c:v>
                </c:pt>
                <c:pt idx="6">
                  <c:v>10</c:v>
                </c:pt>
                <c:pt idx="7">
                  <c:v>20</c:v>
                </c:pt>
                <c:pt idx="8">
                  <c:v>50</c:v>
                </c:pt>
                <c:pt idx="9">
                  <c:v>100</c:v>
                </c:pt>
                <c:pt idx="10">
                  <c:v>200</c:v>
                </c:pt>
                <c:pt idx="11">
                  <c:v>500</c:v>
                </c:pt>
                <c:pt idx="12">
                  <c:v>1000</c:v>
                </c:pt>
                <c:pt idx="13">
                  <c:v>2000</c:v>
                </c:pt>
                <c:pt idx="14">
                  <c:v>5000</c:v>
                </c:pt>
                <c:pt idx="15">
                  <c:v>10000</c:v>
                </c:pt>
                <c:pt idx="16">
                  <c:v>20000</c:v>
                </c:pt>
                <c:pt idx="17">
                  <c:v>50000</c:v>
                </c:pt>
                <c:pt idx="18">
                  <c:v>100000</c:v>
                </c:pt>
                <c:pt idx="19">
                  <c:v>200000</c:v>
                </c:pt>
                <c:pt idx="20">
                  <c:v>500000</c:v>
                </c:pt>
                <c:pt idx="21">
                  <c:v>1000000</c:v>
                </c:pt>
              </c:numCache>
            </c:numRef>
          </c:xVal>
          <c:yVal>
            <c:numRef>
              <c:f>'Bode Plots'!$H$2:$H$23</c:f>
              <c:numCache>
                <c:formatCode>0.00</c:formatCode>
                <c:ptCount val="22"/>
                <c:pt idx="0">
                  <c:v>99.943348539180846</c:v>
                </c:pt>
                <c:pt idx="1">
                  <c:v>93.922748626046186</c:v>
                </c:pt>
                <c:pt idx="2">
                  <c:v>85.963948453620262</c:v>
                </c:pt>
                <c:pt idx="3">
                  <c:v>79.943348543965001</c:v>
                </c:pt>
                <c:pt idx="4">
                  <c:v>73.922748645182807</c:v>
                </c:pt>
                <c:pt idx="5">
                  <c:v>65.963948573224158</c:v>
                </c:pt>
                <c:pt idx="6">
                  <c:v>59.943349022380623</c:v>
                </c:pt>
                <c:pt idx="7">
                  <c:v>53.922750558845102</c:v>
                </c:pt>
                <c:pt idx="8">
                  <c:v>45.963960533603398</c:v>
                </c:pt>
                <c:pt idx="9">
                  <c:v>39.943396863753748</c:v>
                </c:pt>
                <c:pt idx="10">
                  <c:v>33.922941922037182</c:v>
                </c:pt>
                <c:pt idx="11">
                  <c:v>25.965156452923996</c:v>
                </c:pt>
                <c:pt idx="12">
                  <c:v>19.948179104284446</c:v>
                </c:pt>
                <c:pt idx="13">
                  <c:v>13.942047947073796</c:v>
                </c:pt>
                <c:pt idx="14">
                  <c:v>6.0835796380867606</c:v>
                </c:pt>
                <c:pt idx="15">
                  <c:v>0.40848748986637062</c:v>
                </c:pt>
                <c:pt idx="16">
                  <c:v>-4.3937404438749965</c:v>
                </c:pt>
                <c:pt idx="17">
                  <c:v>-7.1416088674402616</c:v>
                </c:pt>
                <c:pt idx="18">
                  <c:v>-5.304479390447586</c:v>
                </c:pt>
                <c:pt idx="19">
                  <c:v>-0.91217769132007476</c:v>
                </c:pt>
                <c:pt idx="20">
                  <c:v>6.4148372651771375</c:v>
                </c:pt>
                <c:pt idx="21">
                  <c:v>12.032121435988621</c:v>
                </c:pt>
              </c:numCache>
            </c:numRef>
          </c:yVal>
          <c:smooth val="1"/>
        </c:ser>
        <c:axId val="111775104"/>
        <c:axId val="111801856"/>
      </c:scatterChart>
      <c:scatterChart>
        <c:scatterStyle val="lineMarker"/>
        <c:ser>
          <c:idx val="1"/>
          <c:order val="1"/>
          <c:tx>
            <c:v>Phase</c:v>
          </c:tx>
          <c:spPr>
            <a:ln w="25400">
              <a:solidFill>
                <a:srgbClr val="FF00FF"/>
              </a:solidFill>
              <a:prstDash val="solid"/>
            </a:ln>
          </c:spPr>
          <c:marker>
            <c:symbol val="none"/>
          </c:marker>
          <c:xVal>
            <c:numRef>
              <c:f>'Bode Plots'!$B$2:$B$23</c:f>
              <c:numCache>
                <c:formatCode>0.00E+00</c:formatCode>
                <c:ptCount val="22"/>
                <c:pt idx="0">
                  <c:v>0.1</c:v>
                </c:pt>
                <c:pt idx="1">
                  <c:v>0.2</c:v>
                </c:pt>
                <c:pt idx="2">
                  <c:v>0.5</c:v>
                </c:pt>
                <c:pt idx="3">
                  <c:v>1</c:v>
                </c:pt>
                <c:pt idx="4">
                  <c:v>2</c:v>
                </c:pt>
                <c:pt idx="5">
                  <c:v>5</c:v>
                </c:pt>
                <c:pt idx="6">
                  <c:v>10</c:v>
                </c:pt>
                <c:pt idx="7">
                  <c:v>20</c:v>
                </c:pt>
                <c:pt idx="8">
                  <c:v>50</c:v>
                </c:pt>
                <c:pt idx="9">
                  <c:v>100</c:v>
                </c:pt>
                <c:pt idx="10">
                  <c:v>200</c:v>
                </c:pt>
                <c:pt idx="11">
                  <c:v>500</c:v>
                </c:pt>
                <c:pt idx="12">
                  <c:v>1000</c:v>
                </c:pt>
                <c:pt idx="13">
                  <c:v>2000</c:v>
                </c:pt>
                <c:pt idx="14">
                  <c:v>5000</c:v>
                </c:pt>
                <c:pt idx="15">
                  <c:v>10000</c:v>
                </c:pt>
                <c:pt idx="16">
                  <c:v>20000</c:v>
                </c:pt>
                <c:pt idx="17">
                  <c:v>50000</c:v>
                </c:pt>
                <c:pt idx="18">
                  <c:v>100000</c:v>
                </c:pt>
                <c:pt idx="19">
                  <c:v>200000</c:v>
                </c:pt>
                <c:pt idx="20">
                  <c:v>500000</c:v>
                </c:pt>
                <c:pt idx="21">
                  <c:v>1000000</c:v>
                </c:pt>
              </c:numCache>
            </c:numRef>
          </c:xVal>
          <c:yVal>
            <c:numRef>
              <c:f>'Bode Plots'!$I$2:$I$23</c:f>
              <c:numCache>
                <c:formatCode>0</c:formatCode>
                <c:ptCount val="22"/>
                <c:pt idx="0">
                  <c:v>89.999904046541914</c:v>
                </c:pt>
                <c:pt idx="1">
                  <c:v>89.999862628898526</c:v>
                </c:pt>
                <c:pt idx="2">
                  <c:v>89.999656572244177</c:v>
                </c:pt>
                <c:pt idx="3">
                  <c:v>89.999313144473291</c:v>
                </c:pt>
                <c:pt idx="4">
                  <c:v>89.99862628882596</c:v>
                </c:pt>
                <c:pt idx="5">
                  <c:v>89.996565719953807</c:v>
                </c:pt>
                <c:pt idx="6">
                  <c:v>89.993131424828718</c:v>
                </c:pt>
                <c:pt idx="7">
                  <c:v>89.986262729032489</c:v>
                </c:pt>
                <c:pt idx="8">
                  <c:v>89.965654712349462</c:v>
                </c:pt>
                <c:pt idx="9">
                  <c:v>89.931294371714174</c:v>
                </c:pt>
                <c:pt idx="10">
                  <c:v>89.86246894365749</c:v>
                </c:pt>
                <c:pt idx="11">
                  <c:v>89.654143083783197</c:v>
                </c:pt>
                <c:pt idx="12">
                  <c:v>89.295451045804967</c:v>
                </c:pt>
                <c:pt idx="13">
                  <c:v>88.520634112164359</c:v>
                </c:pt>
                <c:pt idx="14">
                  <c:v>85.933655748914276</c:v>
                </c:pt>
                <c:pt idx="15">
                  <c:v>81.640243568332053</c:v>
                </c:pt>
                <c:pt idx="16">
                  <c:v>74.769712998685051</c:v>
                </c:pt>
                <c:pt idx="17">
                  <c:v>68.155008587293082</c:v>
                </c:pt>
                <c:pt idx="18">
                  <c:v>71.550097652106956</c:v>
                </c:pt>
                <c:pt idx="19">
                  <c:v>76.757905523815879</c:v>
                </c:pt>
                <c:pt idx="20">
                  <c:v>77.258310568566728</c:v>
                </c:pt>
                <c:pt idx="21">
                  <c:v>70.676144976209343</c:v>
                </c:pt>
              </c:numCache>
            </c:numRef>
          </c:yVal>
        </c:ser>
        <c:axId val="111803776"/>
        <c:axId val="111871104"/>
      </c:scatterChart>
      <c:valAx>
        <c:axId val="111775104"/>
        <c:scaling>
          <c:logBase val="10"/>
          <c:orientation val="minMax"/>
          <c:max val="1000000"/>
          <c:min val="1"/>
        </c:scaling>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AU"/>
                  <a:t>Frequency (Hz)</a:t>
                </a:r>
              </a:p>
            </c:rich>
          </c:tx>
          <c:layout>
            <c:manualLayout>
              <c:xMode val="edge"/>
              <c:yMode val="edge"/>
              <c:x val="0.42546137167636666"/>
              <c:y val="0.85668280133538577"/>
            </c:manualLayout>
          </c:layout>
          <c:spPr>
            <a:noFill/>
            <a:ln w="25400">
              <a:noFill/>
            </a:ln>
          </c:spPr>
        </c:title>
        <c:numFmt formatCode="0.E+0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801856"/>
        <c:crossesAt val="-60"/>
        <c:crossBetween val="midCat"/>
      </c:valAx>
      <c:valAx>
        <c:axId val="111801856"/>
        <c:scaling>
          <c:orientation val="minMax"/>
          <c:max val="100"/>
          <c:min val="-20"/>
        </c:scaling>
        <c:axPos val="l"/>
        <c:majorGridlines>
          <c:spPr>
            <a:ln w="3175">
              <a:solidFill>
                <a:srgbClr val="000000"/>
              </a:solidFill>
              <a:prstDash val="solid"/>
            </a:ln>
          </c:spPr>
        </c:majorGridlines>
        <c:title>
          <c:tx>
            <c:rich>
              <a:bodyPr/>
              <a:lstStyle/>
              <a:p>
                <a:pPr>
                  <a:defRPr sz="800" b="1" i="0" u="none" strike="noStrike" baseline="0">
                    <a:solidFill>
                      <a:srgbClr val="000080"/>
                    </a:solidFill>
                    <a:latin typeface="Arial"/>
                    <a:ea typeface="Arial"/>
                    <a:cs typeface="Arial"/>
                  </a:defRPr>
                </a:pPr>
                <a:r>
                  <a:rPr lang="en-AU"/>
                  <a:t>Gain (dB)</a:t>
                </a:r>
              </a:p>
            </c:rich>
          </c:tx>
          <c:layout>
            <c:manualLayout>
              <c:xMode val="edge"/>
              <c:yMode val="edge"/>
              <c:x val="4.6901061280383426E-2"/>
              <c:y val="0.42019792851672561"/>
            </c:manualLayout>
          </c:layout>
          <c:spPr>
            <a:noFill/>
            <a:ln w="25400">
              <a:noFill/>
            </a:ln>
          </c:spPr>
        </c:title>
        <c:numFmt formatCode="0" sourceLinked="0"/>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11775104"/>
        <c:crosses val="autoZero"/>
        <c:crossBetween val="midCat"/>
      </c:valAx>
      <c:valAx>
        <c:axId val="111803776"/>
        <c:scaling>
          <c:logBase val="10"/>
          <c:orientation val="minMax"/>
        </c:scaling>
        <c:delete val="1"/>
        <c:axPos val="b"/>
        <c:numFmt formatCode="0.00E+00" sourceLinked="1"/>
        <c:tickLblPos val="none"/>
        <c:crossAx val="111871104"/>
        <c:crosses val="autoZero"/>
        <c:crossBetween val="midCat"/>
      </c:valAx>
      <c:valAx>
        <c:axId val="111871104"/>
        <c:scaling>
          <c:orientation val="minMax"/>
          <c:max val="180"/>
          <c:min val="0"/>
        </c:scaling>
        <c:axPos val="r"/>
        <c:majorGridlines/>
        <c:numFmt formatCode="0" sourceLinked="1"/>
        <c:majorTickMark val="cross"/>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11803776"/>
        <c:crosses val="max"/>
        <c:crossBetween val="midCat"/>
        <c:majorUnit val="30"/>
      </c:valAx>
      <c:spPr>
        <a:noFill/>
        <a:ln w="25400">
          <a:noFill/>
        </a:ln>
      </c:spPr>
    </c:plotArea>
    <c:plotVisOnly val="1"/>
    <c:dispBlanksAs val="gap"/>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9.3708288503347378E-2"/>
          <c:y val="4.2462933052458803E-2"/>
          <c:w val="0.57162055987041904"/>
          <c:h val="0.82802719452294482"/>
        </c:manualLayout>
      </c:layout>
      <c:barChart>
        <c:barDir val="col"/>
        <c:grouping val="stacked"/>
        <c:ser>
          <c:idx val="1"/>
          <c:order val="0"/>
          <c:tx>
            <c:v>Transition Region</c:v>
          </c:tx>
          <c:spPr>
            <a:solidFill>
              <a:srgbClr val="993366"/>
            </a:solidFill>
            <a:ln w="25400">
              <a:noFill/>
            </a:ln>
          </c:spPr>
          <c:val>
            <c:numRef>
              <c:f>Worksheet!$E$18:$E$89</c:f>
              <c:numCache>
                <c:formatCode>0.00</c:formatCode>
                <c:ptCount val="72"/>
                <c:pt idx="0">
                  <c:v>17.142857142857142</c:v>
                </c:pt>
                <c:pt idx="1">
                  <c:v>17.142857142857142</c:v>
                </c:pt>
                <c:pt idx="2">
                  <c:v>17.142857142857142</c:v>
                </c:pt>
                <c:pt idx="3">
                  <c:v>17.142857142857142</c:v>
                </c:pt>
                <c:pt idx="4">
                  <c:v>17.142857142857142</c:v>
                </c:pt>
                <c:pt idx="5">
                  <c:v>17.142857142857142</c:v>
                </c:pt>
                <c:pt idx="6">
                  <c:v>17.142857142857142</c:v>
                </c:pt>
                <c:pt idx="7">
                  <c:v>17.142857142857142</c:v>
                </c:pt>
                <c:pt idx="8">
                  <c:v>17.142857142857142</c:v>
                </c:pt>
                <c:pt idx="9">
                  <c:v>17.142857142857142</c:v>
                </c:pt>
                <c:pt idx="10">
                  <c:v>17.142857142857142</c:v>
                </c:pt>
                <c:pt idx="11">
                  <c:v>17.142857142857142</c:v>
                </c:pt>
                <c:pt idx="12">
                  <c:v>17.142857142857142</c:v>
                </c:pt>
                <c:pt idx="13">
                  <c:v>17.142857142857142</c:v>
                </c:pt>
                <c:pt idx="14">
                  <c:v>17.142857142857142</c:v>
                </c:pt>
                <c:pt idx="15">
                  <c:v>17.142857142857142</c:v>
                </c:pt>
                <c:pt idx="16">
                  <c:v>17.142857142857142</c:v>
                </c:pt>
                <c:pt idx="17">
                  <c:v>17.142857142857142</c:v>
                </c:pt>
                <c:pt idx="18">
                  <c:v>17.142857142857142</c:v>
                </c:pt>
                <c:pt idx="19">
                  <c:v>17.142857142857142</c:v>
                </c:pt>
                <c:pt idx="20">
                  <c:v>17.142857142857142</c:v>
                </c:pt>
                <c:pt idx="21">
                  <c:v>17.142857142857142</c:v>
                </c:pt>
                <c:pt idx="22">
                  <c:v>17.142857142857142</c:v>
                </c:pt>
                <c:pt idx="23">
                  <c:v>17.142857142857142</c:v>
                </c:pt>
                <c:pt idx="24">
                  <c:v>17.142857142857142</c:v>
                </c:pt>
                <c:pt idx="25">
                  <c:v>17.142857142857142</c:v>
                </c:pt>
                <c:pt idx="26">
                  <c:v>17.142857142857142</c:v>
                </c:pt>
                <c:pt idx="27">
                  <c:v>17.142857142857142</c:v>
                </c:pt>
                <c:pt idx="28">
                  <c:v>17.142857142857142</c:v>
                </c:pt>
                <c:pt idx="29">
                  <c:v>17.142857142857142</c:v>
                </c:pt>
                <c:pt idx="30">
                  <c:v>17.142857142857142</c:v>
                </c:pt>
                <c:pt idx="31">
                  <c:v>17.142857142857142</c:v>
                </c:pt>
                <c:pt idx="32">
                  <c:v>17.142857142857142</c:v>
                </c:pt>
                <c:pt idx="33">
                  <c:v>17.142857142857142</c:v>
                </c:pt>
                <c:pt idx="34">
                  <c:v>17.142857142857142</c:v>
                </c:pt>
                <c:pt idx="35">
                  <c:v>17.142857142857142</c:v>
                </c:pt>
                <c:pt idx="36">
                  <c:v>17.142857142857142</c:v>
                </c:pt>
                <c:pt idx="37">
                  <c:v>17.142857142857142</c:v>
                </c:pt>
                <c:pt idx="38">
                  <c:v>17.142857142857142</c:v>
                </c:pt>
                <c:pt idx="39">
                  <c:v>17.142857142857142</c:v>
                </c:pt>
                <c:pt idx="40">
                  <c:v>17.142857142857142</c:v>
                </c:pt>
                <c:pt idx="41">
                  <c:v>17.142857142857142</c:v>
                </c:pt>
                <c:pt idx="42">
                  <c:v>17.142857142857142</c:v>
                </c:pt>
                <c:pt idx="43">
                  <c:v>17.142857142857142</c:v>
                </c:pt>
                <c:pt idx="44">
                  <c:v>17.142857142857142</c:v>
                </c:pt>
                <c:pt idx="45">
                  <c:v>17.142857142857142</c:v>
                </c:pt>
                <c:pt idx="46">
                  <c:v>17.142857142857142</c:v>
                </c:pt>
                <c:pt idx="47">
                  <c:v>17.142857142857142</c:v>
                </c:pt>
                <c:pt idx="48">
                  <c:v>17.142857142857142</c:v>
                </c:pt>
                <c:pt idx="49">
                  <c:v>17.142857142857142</c:v>
                </c:pt>
                <c:pt idx="50">
                  <c:v>17.142857142857142</c:v>
                </c:pt>
                <c:pt idx="51">
                  <c:v>17.142857142857142</c:v>
                </c:pt>
                <c:pt idx="52">
                  <c:v>17.142857142857142</c:v>
                </c:pt>
                <c:pt idx="53">
                  <c:v>17.142857142857142</c:v>
                </c:pt>
                <c:pt idx="54">
                  <c:v>17.142857142857142</c:v>
                </c:pt>
                <c:pt idx="55">
                  <c:v>17.142857142857142</c:v>
                </c:pt>
                <c:pt idx="56">
                  <c:v>17.142857142857142</c:v>
                </c:pt>
                <c:pt idx="57">
                  <c:v>17.142857142857142</c:v>
                </c:pt>
                <c:pt idx="58">
                  <c:v>17.142857142857142</c:v>
                </c:pt>
                <c:pt idx="59">
                  <c:v>17.142857142857142</c:v>
                </c:pt>
                <c:pt idx="60">
                  <c:v>17.142857142857142</c:v>
                </c:pt>
                <c:pt idx="61">
                  <c:v>17.142857142857142</c:v>
                </c:pt>
                <c:pt idx="62">
                  <c:v>17.142857142857142</c:v>
                </c:pt>
                <c:pt idx="63">
                  <c:v>17.142857142857142</c:v>
                </c:pt>
                <c:pt idx="64">
                  <c:v>17.142857142857142</c:v>
                </c:pt>
                <c:pt idx="65">
                  <c:v>17.142857142857142</c:v>
                </c:pt>
                <c:pt idx="66">
                  <c:v>17.142857142857142</c:v>
                </c:pt>
                <c:pt idx="67">
                  <c:v>17.142857142857142</c:v>
                </c:pt>
                <c:pt idx="68">
                  <c:v>17.142857142857142</c:v>
                </c:pt>
                <c:pt idx="69">
                  <c:v>17.142857142857142</c:v>
                </c:pt>
                <c:pt idx="70">
                  <c:v>17.142857142857142</c:v>
                </c:pt>
                <c:pt idx="71">
                  <c:v>17.142857142857142</c:v>
                </c:pt>
              </c:numCache>
            </c:numRef>
          </c:val>
        </c:ser>
        <c:ser>
          <c:idx val="2"/>
          <c:order val="1"/>
          <c:tx>
            <c:v>Buck-Boost Region</c:v>
          </c:tx>
          <c:spPr>
            <a:solidFill>
              <a:srgbClr val="FFCC99"/>
            </a:solidFill>
            <a:ln w="25400">
              <a:noFill/>
            </a:ln>
          </c:spPr>
          <c:val>
            <c:numRef>
              <c:f>Worksheet!$C$18:$C$89</c:f>
              <c:numCache>
                <c:formatCode>General</c:formatCode>
                <c:ptCount val="72"/>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13</c:v>
                </c:pt>
                <c:pt idx="23">
                  <c:v>13</c:v>
                </c:pt>
                <c:pt idx="24">
                  <c:v>13</c:v>
                </c:pt>
                <c:pt idx="25">
                  <c:v>13</c:v>
                </c:pt>
                <c:pt idx="26">
                  <c:v>13</c:v>
                </c:pt>
                <c:pt idx="27">
                  <c:v>13</c:v>
                </c:pt>
                <c:pt idx="28">
                  <c:v>13</c:v>
                </c:pt>
                <c:pt idx="29">
                  <c:v>13</c:v>
                </c:pt>
                <c:pt idx="30">
                  <c:v>13</c:v>
                </c:pt>
                <c:pt idx="31">
                  <c:v>13</c:v>
                </c:pt>
                <c:pt idx="32">
                  <c:v>13</c:v>
                </c:pt>
                <c:pt idx="33">
                  <c:v>13</c:v>
                </c:pt>
                <c:pt idx="34">
                  <c:v>13</c:v>
                </c:pt>
                <c:pt idx="35">
                  <c:v>13</c:v>
                </c:pt>
                <c:pt idx="36">
                  <c:v>13</c:v>
                </c:pt>
                <c:pt idx="37">
                  <c:v>13</c:v>
                </c:pt>
                <c:pt idx="38">
                  <c:v>13</c:v>
                </c:pt>
                <c:pt idx="39">
                  <c:v>13</c:v>
                </c:pt>
                <c:pt idx="40">
                  <c:v>13</c:v>
                </c:pt>
                <c:pt idx="41">
                  <c:v>13</c:v>
                </c:pt>
                <c:pt idx="42">
                  <c:v>13</c:v>
                </c:pt>
                <c:pt idx="43">
                  <c:v>13</c:v>
                </c:pt>
                <c:pt idx="44">
                  <c:v>13</c:v>
                </c:pt>
                <c:pt idx="45">
                  <c:v>13</c:v>
                </c:pt>
                <c:pt idx="46">
                  <c:v>13</c:v>
                </c:pt>
                <c:pt idx="47">
                  <c:v>13</c:v>
                </c:pt>
                <c:pt idx="48">
                  <c:v>13</c:v>
                </c:pt>
                <c:pt idx="49">
                  <c:v>13</c:v>
                </c:pt>
                <c:pt idx="50">
                  <c:v>13</c:v>
                </c:pt>
                <c:pt idx="51">
                  <c:v>13</c:v>
                </c:pt>
                <c:pt idx="52">
                  <c:v>13</c:v>
                </c:pt>
                <c:pt idx="53">
                  <c:v>13</c:v>
                </c:pt>
                <c:pt idx="54">
                  <c:v>13</c:v>
                </c:pt>
                <c:pt idx="55">
                  <c:v>13</c:v>
                </c:pt>
                <c:pt idx="56">
                  <c:v>13</c:v>
                </c:pt>
                <c:pt idx="57">
                  <c:v>13</c:v>
                </c:pt>
                <c:pt idx="58">
                  <c:v>13</c:v>
                </c:pt>
                <c:pt idx="59">
                  <c:v>13</c:v>
                </c:pt>
                <c:pt idx="60">
                  <c:v>13</c:v>
                </c:pt>
                <c:pt idx="61">
                  <c:v>13</c:v>
                </c:pt>
                <c:pt idx="62">
                  <c:v>13</c:v>
                </c:pt>
                <c:pt idx="63">
                  <c:v>13</c:v>
                </c:pt>
                <c:pt idx="64">
                  <c:v>13</c:v>
                </c:pt>
                <c:pt idx="65">
                  <c:v>13</c:v>
                </c:pt>
                <c:pt idx="66">
                  <c:v>13</c:v>
                </c:pt>
                <c:pt idx="67">
                  <c:v>13</c:v>
                </c:pt>
                <c:pt idx="68">
                  <c:v>13</c:v>
                </c:pt>
                <c:pt idx="69">
                  <c:v>13</c:v>
                </c:pt>
                <c:pt idx="70">
                  <c:v>13</c:v>
                </c:pt>
                <c:pt idx="71">
                  <c:v>13</c:v>
                </c:pt>
              </c:numCache>
            </c:numRef>
          </c:val>
        </c:ser>
        <c:ser>
          <c:idx val="0"/>
          <c:order val="2"/>
          <c:tx>
            <c:v>Vin</c:v>
          </c:tx>
          <c:spPr>
            <a:solidFill>
              <a:srgbClr val="9999FF"/>
            </a:solidFill>
            <a:ln w="12700">
              <a:solidFill>
                <a:srgbClr val="000000"/>
              </a:solidFill>
              <a:prstDash val="solid"/>
            </a:ln>
          </c:spPr>
          <c:invertIfNegative val="1"/>
          <c:val>
            <c:numRef>
              <c:f>Worksheet!$D$18:$D$89</c:f>
              <c:numCache>
                <c:formatCode>General</c:formatCode>
                <c:ptCount val="72"/>
                <c:pt idx="0">
                  <c:v>75</c:v>
                </c:pt>
                <c:pt idx="1">
                  <c:v>74</c:v>
                </c:pt>
                <c:pt idx="2">
                  <c:v>73</c:v>
                </c:pt>
                <c:pt idx="3">
                  <c:v>72</c:v>
                </c:pt>
                <c:pt idx="4">
                  <c:v>71</c:v>
                </c:pt>
                <c:pt idx="5">
                  <c:v>70</c:v>
                </c:pt>
                <c:pt idx="6">
                  <c:v>69</c:v>
                </c:pt>
                <c:pt idx="7">
                  <c:v>68</c:v>
                </c:pt>
                <c:pt idx="8">
                  <c:v>67</c:v>
                </c:pt>
                <c:pt idx="9">
                  <c:v>66</c:v>
                </c:pt>
                <c:pt idx="10">
                  <c:v>65</c:v>
                </c:pt>
                <c:pt idx="11">
                  <c:v>64</c:v>
                </c:pt>
                <c:pt idx="12">
                  <c:v>63</c:v>
                </c:pt>
                <c:pt idx="13">
                  <c:v>62</c:v>
                </c:pt>
                <c:pt idx="14">
                  <c:v>61</c:v>
                </c:pt>
                <c:pt idx="15">
                  <c:v>60</c:v>
                </c:pt>
                <c:pt idx="16">
                  <c:v>59</c:v>
                </c:pt>
                <c:pt idx="17">
                  <c:v>58</c:v>
                </c:pt>
                <c:pt idx="18">
                  <c:v>57</c:v>
                </c:pt>
                <c:pt idx="19">
                  <c:v>56</c:v>
                </c:pt>
                <c:pt idx="20">
                  <c:v>55</c:v>
                </c:pt>
                <c:pt idx="21">
                  <c:v>54</c:v>
                </c:pt>
                <c:pt idx="22">
                  <c:v>53</c:v>
                </c:pt>
                <c:pt idx="23">
                  <c:v>52</c:v>
                </c:pt>
                <c:pt idx="24">
                  <c:v>51</c:v>
                </c:pt>
                <c:pt idx="25">
                  <c:v>50</c:v>
                </c:pt>
                <c:pt idx="26">
                  <c:v>49</c:v>
                </c:pt>
                <c:pt idx="27">
                  <c:v>48</c:v>
                </c:pt>
                <c:pt idx="28">
                  <c:v>47</c:v>
                </c:pt>
                <c:pt idx="29">
                  <c:v>46</c:v>
                </c:pt>
                <c:pt idx="30">
                  <c:v>45</c:v>
                </c:pt>
                <c:pt idx="31">
                  <c:v>44</c:v>
                </c:pt>
                <c:pt idx="32">
                  <c:v>43</c:v>
                </c:pt>
                <c:pt idx="33">
                  <c:v>42</c:v>
                </c:pt>
                <c:pt idx="34">
                  <c:v>41</c:v>
                </c:pt>
                <c:pt idx="35">
                  <c:v>40</c:v>
                </c:pt>
                <c:pt idx="36">
                  <c:v>39</c:v>
                </c:pt>
                <c:pt idx="37">
                  <c:v>38</c:v>
                </c:pt>
                <c:pt idx="38">
                  <c:v>37</c:v>
                </c:pt>
                <c:pt idx="39">
                  <c:v>36</c:v>
                </c:pt>
                <c:pt idx="40">
                  <c:v>35</c:v>
                </c:pt>
                <c:pt idx="41">
                  <c:v>34</c:v>
                </c:pt>
                <c:pt idx="42">
                  <c:v>33</c:v>
                </c:pt>
                <c:pt idx="43">
                  <c:v>32</c:v>
                </c:pt>
                <c:pt idx="44">
                  <c:v>31</c:v>
                </c:pt>
                <c:pt idx="45">
                  <c:v>30</c:v>
                </c:pt>
                <c:pt idx="46">
                  <c:v>29</c:v>
                </c:pt>
                <c:pt idx="47">
                  <c:v>28</c:v>
                </c:pt>
                <c:pt idx="48">
                  <c:v>27</c:v>
                </c:pt>
                <c:pt idx="49">
                  <c:v>26</c:v>
                </c:pt>
                <c:pt idx="50">
                  <c:v>25</c:v>
                </c:pt>
                <c:pt idx="51">
                  <c:v>24</c:v>
                </c:pt>
                <c:pt idx="52">
                  <c:v>23</c:v>
                </c:pt>
                <c:pt idx="53">
                  <c:v>22</c:v>
                </c:pt>
                <c:pt idx="54">
                  <c:v>21</c:v>
                </c:pt>
                <c:pt idx="55">
                  <c:v>20</c:v>
                </c:pt>
                <c:pt idx="56">
                  <c:v>19</c:v>
                </c:pt>
                <c:pt idx="57">
                  <c:v>18</c:v>
                </c:pt>
                <c:pt idx="58">
                  <c:v>17</c:v>
                </c:pt>
                <c:pt idx="59">
                  <c:v>16</c:v>
                </c:pt>
                <c:pt idx="60">
                  <c:v>15</c:v>
                </c:pt>
                <c:pt idx="61">
                  <c:v>14</c:v>
                </c:pt>
                <c:pt idx="62">
                  <c:v>13</c:v>
                </c:pt>
                <c:pt idx="63">
                  <c:v>12</c:v>
                </c:pt>
                <c:pt idx="64">
                  <c:v>11</c:v>
                </c:pt>
                <c:pt idx="65">
                  <c:v>10</c:v>
                </c:pt>
                <c:pt idx="66">
                  <c:v>9</c:v>
                </c:pt>
                <c:pt idx="67">
                  <c:v>8</c:v>
                </c:pt>
                <c:pt idx="68">
                  <c:v>7</c:v>
                </c:pt>
                <c:pt idx="69">
                  <c:v>6</c:v>
                </c:pt>
                <c:pt idx="70">
                  <c:v>5</c:v>
                </c:pt>
                <c:pt idx="71">
                  <c:v>4</c:v>
                </c:pt>
              </c:numCache>
            </c:numRef>
          </c:val>
        </c:ser>
        <c:gapWidth val="0"/>
        <c:overlap val="100"/>
        <c:axId val="111948160"/>
        <c:axId val="111949696"/>
      </c:barChart>
      <c:catAx>
        <c:axId val="111948160"/>
        <c:scaling>
          <c:orientation val="minMax"/>
        </c:scaling>
        <c:axPos val="b"/>
        <c:numFmt formatCode="General" sourceLinked="1"/>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11949696"/>
        <c:crosses val="autoZero"/>
        <c:auto val="1"/>
        <c:lblAlgn val="ctr"/>
        <c:lblOffset val="100"/>
        <c:tickLblSkip val="5"/>
        <c:tickMarkSkip val="1"/>
      </c:catAx>
      <c:valAx>
        <c:axId val="111949696"/>
        <c:scaling>
          <c:orientation val="minMax"/>
        </c:scaling>
        <c:axPos val="l"/>
        <c:majorGridlines>
          <c:spPr>
            <a:ln w="3175">
              <a:solidFill>
                <a:srgbClr val="000000"/>
              </a:solidFill>
              <a:prstDash val="solid"/>
            </a:ln>
          </c:spPr>
        </c:majorGridlines>
        <c:numFmt formatCode="0.00" sourceLinked="1"/>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11948160"/>
        <c:crosses val="autoZero"/>
        <c:crossBetween val="between"/>
      </c:valAx>
      <c:spPr>
        <a:solidFill>
          <a:srgbClr val="DDDDDD"/>
        </a:solidFill>
        <a:ln w="12700">
          <a:solidFill>
            <a:srgbClr val="808080"/>
          </a:solidFill>
          <a:prstDash val="solid"/>
        </a:ln>
      </c:spPr>
    </c:plotArea>
    <c:legend>
      <c:legendPos val="r"/>
      <c:layout>
        <c:manualLayout>
          <c:xMode val="edge"/>
          <c:yMode val="edge"/>
          <c:x val="0.77376269733351677"/>
          <c:y val="0.40127477695861291"/>
          <c:w val="0.21552906288320392"/>
          <c:h val="0.15498960719082097"/>
        </c:manualLayout>
      </c:layout>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5495883401548194"/>
          <c:y val="6.1176470588235304E-2"/>
          <c:w val="0.58884356925883052"/>
          <c:h val="0.83294117647058907"/>
        </c:manualLayout>
      </c:layout>
      <c:barChart>
        <c:barDir val="col"/>
        <c:grouping val="stacked"/>
        <c:ser>
          <c:idx val="0"/>
          <c:order val="0"/>
          <c:tx>
            <c:v>BUCK</c:v>
          </c:tx>
          <c:spPr>
            <a:solidFill>
              <a:srgbClr val="FF0000"/>
            </a:solidFill>
            <a:ln w="12700">
              <a:solidFill>
                <a:srgbClr val="000000"/>
              </a:solidFill>
              <a:prstDash val="solid"/>
            </a:ln>
          </c:spPr>
          <c:val>
            <c:numRef>
              <c:f>Worksheet!$C$18</c:f>
              <c:numCache>
                <c:formatCode>General</c:formatCode>
                <c:ptCount val="1"/>
                <c:pt idx="0">
                  <c:v>13</c:v>
                </c:pt>
              </c:numCache>
            </c:numRef>
          </c:val>
        </c:ser>
        <c:ser>
          <c:idx val="1"/>
          <c:order val="1"/>
          <c:tx>
            <c:v>TRANSITION</c:v>
          </c:tx>
          <c:spPr>
            <a:solidFill>
              <a:srgbClr val="FFFF00"/>
            </a:solidFill>
            <a:ln w="12700">
              <a:solidFill>
                <a:srgbClr val="000000"/>
              </a:solidFill>
              <a:prstDash val="solid"/>
            </a:ln>
          </c:spPr>
          <c:val>
            <c:numRef>
              <c:f>Worksheet!$E$18</c:f>
              <c:numCache>
                <c:formatCode>0.00</c:formatCode>
                <c:ptCount val="1"/>
                <c:pt idx="0">
                  <c:v>17.142857142857142</c:v>
                </c:pt>
              </c:numCache>
            </c:numRef>
          </c:val>
        </c:ser>
        <c:ser>
          <c:idx val="2"/>
          <c:order val="2"/>
          <c:tx>
            <c:v>BUCK-BOOST</c:v>
          </c:tx>
          <c:spPr>
            <a:solidFill>
              <a:srgbClr val="0000FF"/>
            </a:solidFill>
            <a:ln w="12700">
              <a:solidFill>
                <a:srgbClr val="000000"/>
              </a:solidFill>
              <a:prstDash val="solid"/>
            </a:ln>
          </c:spPr>
          <c:val>
            <c:numRef>
              <c:f>Worksheet!$D$18</c:f>
              <c:numCache>
                <c:formatCode>General</c:formatCode>
                <c:ptCount val="1"/>
                <c:pt idx="0">
                  <c:v>75</c:v>
                </c:pt>
              </c:numCache>
            </c:numRef>
          </c:val>
        </c:ser>
        <c:overlap val="100"/>
        <c:axId val="113195648"/>
        <c:axId val="113205632"/>
      </c:barChart>
      <c:catAx>
        <c:axId val="113195648"/>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3205632"/>
        <c:crosses val="autoZero"/>
        <c:auto val="1"/>
        <c:lblAlgn val="ctr"/>
        <c:lblOffset val="100"/>
        <c:tickLblSkip val="1"/>
        <c:tickMarkSkip val="1"/>
      </c:catAx>
      <c:valAx>
        <c:axId val="113205632"/>
        <c:scaling>
          <c:orientation val="minMax"/>
        </c:scaling>
        <c:axPos val="l"/>
        <c:majorGridlines>
          <c:spPr>
            <a:ln w="3175">
              <a:solidFill>
                <a:srgbClr val="000000"/>
              </a:solidFill>
              <a:prstDash val="solid"/>
            </a:ln>
          </c:spPr>
        </c:majorGridlines>
        <c:title>
          <c:tx>
            <c:rich>
              <a:bodyPr rot="0" vert="horz"/>
              <a:lstStyle/>
              <a:p>
                <a:pPr algn="ctr">
                  <a:defRPr sz="1000" b="1" i="0" u="none" strike="noStrike" baseline="0">
                    <a:solidFill>
                      <a:srgbClr val="000000"/>
                    </a:solidFill>
                    <a:latin typeface="Arial"/>
                    <a:ea typeface="Arial"/>
                    <a:cs typeface="Arial"/>
                  </a:defRPr>
                </a:pPr>
                <a:r>
                  <a:rPr lang="en-AU"/>
                  <a:t>VIN</a:t>
                </a:r>
              </a:p>
            </c:rich>
          </c:tx>
          <c:layout>
            <c:manualLayout>
              <c:xMode val="edge"/>
              <c:yMode val="edge"/>
              <c:x val="3.3057851239669422E-2"/>
              <c:y val="0.45176470588235312"/>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3195648"/>
        <c:crosses val="autoZero"/>
        <c:crossBetween val="between"/>
      </c:valAx>
      <c:spPr>
        <a:solidFill>
          <a:srgbClr val="DDDDDD"/>
        </a:solidFill>
        <a:ln w="12700">
          <a:solidFill>
            <a:srgbClr val="808080"/>
          </a:solidFill>
          <a:prstDash val="solid"/>
        </a:ln>
      </c:spPr>
    </c:plotArea>
    <c:legend>
      <c:legendPos val="r"/>
      <c:layout>
        <c:manualLayout>
          <c:xMode val="edge"/>
          <c:yMode val="edge"/>
          <c:x val="0.76652979327997273"/>
          <c:y val="0.40235294117647086"/>
          <c:w val="0.21694236567536515"/>
          <c:h val="0.15058823529411774"/>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975" b="1" i="0" u="none" strike="noStrike" baseline="0">
                <a:solidFill>
                  <a:srgbClr val="000000"/>
                </a:solidFill>
                <a:latin typeface="Arial"/>
                <a:ea typeface="Arial"/>
                <a:cs typeface="Arial"/>
              </a:defRPr>
            </a:pPr>
            <a:r>
              <a:rPr lang="en-AU"/>
              <a:t>Operational Modes Vs VIN</a:t>
            </a:r>
          </a:p>
        </c:rich>
      </c:tx>
      <c:layout>
        <c:manualLayout>
          <c:xMode val="edge"/>
          <c:yMode val="edge"/>
          <c:x val="0.19721577726218098"/>
          <c:y val="3.1707317073170774E-2"/>
        </c:manualLayout>
      </c:layout>
      <c:spPr>
        <a:noFill/>
        <a:ln w="25400">
          <a:noFill/>
        </a:ln>
      </c:spPr>
    </c:title>
    <c:plotArea>
      <c:layout>
        <c:manualLayout>
          <c:layoutTarget val="inner"/>
          <c:xMode val="edge"/>
          <c:yMode val="edge"/>
          <c:x val="0.14385150812064965"/>
          <c:y val="0.15853658536585374"/>
          <c:w val="0.64501160092807475"/>
          <c:h val="0.78048780487804859"/>
        </c:manualLayout>
      </c:layout>
      <c:barChart>
        <c:barDir val="col"/>
        <c:grouping val="stacked"/>
        <c:ser>
          <c:idx val="0"/>
          <c:order val="0"/>
          <c:tx>
            <c:v>Buck-boost</c:v>
          </c:tx>
          <c:spPr>
            <a:solidFill>
              <a:srgbClr val="9999FF"/>
            </a:solidFill>
            <a:ln w="12700">
              <a:solidFill>
                <a:srgbClr val="000000"/>
              </a:solidFill>
              <a:prstDash val="solid"/>
            </a:ln>
          </c:spPr>
          <c:val>
            <c:numRef>
              <c:f>Graph!$H$8</c:f>
              <c:numCache>
                <c:formatCode>General</c:formatCode>
                <c:ptCount val="1"/>
                <c:pt idx="0">
                  <c:v>15.639999999999999</c:v>
                </c:pt>
              </c:numCache>
            </c:numRef>
          </c:val>
        </c:ser>
        <c:ser>
          <c:idx val="1"/>
          <c:order val="1"/>
          <c:tx>
            <c:v>Transition</c:v>
          </c:tx>
          <c:spPr>
            <a:solidFill>
              <a:srgbClr val="993366"/>
            </a:solidFill>
            <a:ln w="12700">
              <a:solidFill>
                <a:srgbClr val="000000"/>
              </a:solidFill>
              <a:prstDash val="solid"/>
            </a:ln>
          </c:spPr>
          <c:val>
            <c:numRef>
              <c:f>Graph!$F$10</c:f>
              <c:numCache>
                <c:formatCode>General</c:formatCode>
                <c:ptCount val="1"/>
                <c:pt idx="0">
                  <c:v>2.4933333333333341</c:v>
                </c:pt>
              </c:numCache>
            </c:numRef>
          </c:val>
        </c:ser>
        <c:ser>
          <c:idx val="2"/>
          <c:order val="2"/>
          <c:tx>
            <c:v>Buck</c:v>
          </c:tx>
          <c:spPr>
            <a:solidFill>
              <a:srgbClr val="FFFF00"/>
            </a:solidFill>
            <a:ln w="12700">
              <a:solidFill>
                <a:srgbClr val="000000"/>
              </a:solidFill>
              <a:prstDash val="solid"/>
            </a:ln>
          </c:spPr>
          <c:val>
            <c:numRef>
              <c:f>Graph!$H$13</c:f>
              <c:numCache>
                <c:formatCode>General</c:formatCode>
                <c:ptCount val="1"/>
                <c:pt idx="0">
                  <c:v>5.8666666666666671</c:v>
                </c:pt>
              </c:numCache>
            </c:numRef>
          </c:val>
        </c:ser>
        <c:overlap val="100"/>
        <c:axId val="113239936"/>
        <c:axId val="113241472"/>
      </c:barChart>
      <c:catAx>
        <c:axId val="113239936"/>
        <c:scaling>
          <c:orientation val="minMax"/>
        </c:scaling>
        <c:delete val="1"/>
        <c:axPos val="b"/>
        <c:tickLblPos val="none"/>
        <c:crossAx val="113241472"/>
        <c:crosses val="autoZero"/>
        <c:auto val="1"/>
        <c:lblAlgn val="ctr"/>
        <c:lblOffset val="100"/>
      </c:catAx>
      <c:valAx>
        <c:axId val="113241472"/>
        <c:scaling>
          <c:orientation val="minMax"/>
          <c:min val="0"/>
        </c:scaling>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AU"/>
                  <a:t>VIN (Volts)</a:t>
                </a:r>
              </a:p>
            </c:rich>
          </c:tx>
          <c:layout>
            <c:manualLayout>
              <c:xMode val="edge"/>
              <c:yMode val="edge"/>
              <c:x val="3.4802784222737818E-2"/>
              <c:y val="0.47317073170731722"/>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3239936"/>
        <c:crosses val="autoZero"/>
        <c:crossBetween val="between"/>
      </c:valAx>
      <c:spPr>
        <a:solidFill>
          <a:srgbClr val="DDDDDD"/>
        </a:solidFill>
        <a:ln w="12700">
          <a:solidFill>
            <a:srgbClr val="808080"/>
          </a:solidFill>
          <a:prstDash val="solid"/>
        </a:ln>
      </c:spPr>
    </c:plotArea>
    <c:legend>
      <c:legendPos val="r"/>
      <c:layout>
        <c:manualLayout>
          <c:xMode val="edge"/>
          <c:yMode val="edge"/>
          <c:x val="0.79118329466357373"/>
          <c:y val="0.38780487804878083"/>
          <c:w val="0.1693735498839907"/>
          <c:h val="0.14146341463414641"/>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790575</xdr:colOff>
      <xdr:row>6</xdr:row>
      <xdr:rowOff>9525</xdr:rowOff>
    </xdr:from>
    <xdr:to>
      <xdr:col>1</xdr:col>
      <xdr:colOff>1104900</xdr:colOff>
      <xdr:row>7</xdr:row>
      <xdr:rowOff>28575</xdr:rowOff>
    </xdr:to>
    <xdr:sp macro="" textlink="">
      <xdr:nvSpPr>
        <xdr:cNvPr id="1257" name="Rectangle 37"/>
        <xdr:cNvSpPr>
          <a:spLocks noChangeArrowheads="1"/>
        </xdr:cNvSpPr>
      </xdr:nvSpPr>
      <xdr:spPr bwMode="auto">
        <a:xfrm>
          <a:off x="3105150" y="1047750"/>
          <a:ext cx="314325" cy="180975"/>
        </a:xfrm>
        <a:prstGeom prst="rect">
          <a:avLst/>
        </a:prstGeom>
        <a:solidFill>
          <a:srgbClr val="CCFFFF"/>
        </a:solidFill>
        <a:ln w="9525" algn="ctr">
          <a:solidFill>
            <a:srgbClr val="000000"/>
          </a:solidFill>
          <a:miter lim="800000"/>
          <a:headEnd/>
          <a:tailEnd/>
        </a:ln>
      </xdr:spPr>
    </xdr:sp>
    <xdr:clientData/>
  </xdr:twoCellAnchor>
  <xdr:twoCellAnchor>
    <xdr:from>
      <xdr:col>1</xdr:col>
      <xdr:colOff>1247775</xdr:colOff>
      <xdr:row>42</xdr:row>
      <xdr:rowOff>0</xdr:rowOff>
    </xdr:from>
    <xdr:to>
      <xdr:col>1</xdr:col>
      <xdr:colOff>1619250</xdr:colOff>
      <xdr:row>42</xdr:row>
      <xdr:rowOff>0</xdr:rowOff>
    </xdr:to>
    <xdr:sp macro="" textlink="">
      <xdr:nvSpPr>
        <xdr:cNvPr id="1258" name="Rectangle 40"/>
        <xdr:cNvSpPr>
          <a:spLocks noChangeArrowheads="1"/>
        </xdr:cNvSpPr>
      </xdr:nvSpPr>
      <xdr:spPr bwMode="auto">
        <a:xfrm>
          <a:off x="3562350" y="6867525"/>
          <a:ext cx="371475" cy="0"/>
        </a:xfrm>
        <a:prstGeom prst="rect">
          <a:avLst/>
        </a:prstGeom>
        <a:solidFill>
          <a:srgbClr val="FFCC99"/>
        </a:solidFill>
        <a:ln w="9525" algn="ctr">
          <a:solidFill>
            <a:srgbClr val="000000"/>
          </a:solidFill>
          <a:miter lim="800000"/>
          <a:headEnd/>
          <a:tailEnd/>
        </a:ln>
      </xdr:spPr>
    </xdr:sp>
    <xdr:clientData/>
  </xdr:twoCellAnchor>
  <xdr:twoCellAnchor>
    <xdr:from>
      <xdr:col>6</xdr:col>
      <xdr:colOff>0</xdr:colOff>
      <xdr:row>2</xdr:row>
      <xdr:rowOff>0</xdr:rowOff>
    </xdr:from>
    <xdr:to>
      <xdr:col>9</xdr:col>
      <xdr:colOff>66675</xdr:colOff>
      <xdr:row>23</xdr:row>
      <xdr:rowOff>0</xdr:rowOff>
    </xdr:to>
    <xdr:graphicFrame macro="">
      <xdr:nvGraphicFramePr>
        <xdr:cNvPr id="1259"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xdr:row>
      <xdr:rowOff>66675</xdr:rowOff>
    </xdr:from>
    <xdr:to>
      <xdr:col>5</xdr:col>
      <xdr:colOff>47625</xdr:colOff>
      <xdr:row>4</xdr:row>
      <xdr:rowOff>0</xdr:rowOff>
    </xdr:to>
    <xdr:sp macro="" textlink="">
      <xdr:nvSpPr>
        <xdr:cNvPr id="1110" name="Text Box 86"/>
        <xdr:cNvSpPr txBox="1">
          <a:spLocks noChangeArrowheads="1"/>
        </xdr:cNvSpPr>
      </xdr:nvSpPr>
      <xdr:spPr bwMode="auto">
        <a:xfrm>
          <a:off x="28575" y="295275"/>
          <a:ext cx="5705475" cy="419100"/>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1100" b="0" i="0" u="none" strike="noStrike" baseline="0">
              <a:solidFill>
                <a:srgbClr val="FF0000"/>
              </a:solidFill>
              <a:latin typeface="Arial"/>
              <a:cs typeface="Arial"/>
            </a:rPr>
            <a:t>Note:  The components calculated in this worksheet are reasonable starting values for a design using the LM5118.  They are not optimized for any particular performance attribute.</a:t>
          </a:r>
        </a:p>
      </xdr:txBody>
    </xdr:sp>
    <xdr:clientData/>
  </xdr:twoCellAnchor>
  <xdr:twoCellAnchor>
    <xdr:from>
      <xdr:col>6</xdr:col>
      <xdr:colOff>657225</xdr:colOff>
      <xdr:row>66</xdr:row>
      <xdr:rowOff>47625</xdr:rowOff>
    </xdr:from>
    <xdr:to>
      <xdr:col>11</xdr:col>
      <xdr:colOff>638175</xdr:colOff>
      <xdr:row>87</xdr:row>
      <xdr:rowOff>104775</xdr:rowOff>
    </xdr:to>
    <xdr:graphicFrame macro="">
      <xdr:nvGraphicFramePr>
        <xdr:cNvPr id="126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209550</xdr:colOff>
      <xdr:row>73</xdr:row>
      <xdr:rowOff>57150</xdr:rowOff>
    </xdr:from>
    <xdr:to>
      <xdr:col>11</xdr:col>
      <xdr:colOff>571499</xdr:colOff>
      <xdr:row>81</xdr:row>
      <xdr:rowOff>47625</xdr:rowOff>
    </xdr:to>
    <xdr:sp macro="" textlink="">
      <xdr:nvSpPr>
        <xdr:cNvPr id="7" name="TextBox 6"/>
        <xdr:cNvSpPr txBox="1"/>
      </xdr:nvSpPr>
      <xdr:spPr>
        <a:xfrm>
          <a:off x="10820400" y="11944350"/>
          <a:ext cx="361949"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270" wrap="square" rtlCol="0" anchor="t"/>
        <a:lstStyle/>
        <a:p>
          <a:r>
            <a:rPr lang="en-US" sz="1100" b="1">
              <a:solidFill>
                <a:srgbClr val="FF00FF"/>
              </a:solidFill>
            </a:rPr>
            <a:t>Phase Margin (Deg)</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0.27458</cdr:x>
      <cdr:y>0.08928</cdr:y>
    </cdr:from>
    <cdr:to>
      <cdr:x>0.69672</cdr:x>
      <cdr:y>0.22111</cdr:y>
    </cdr:to>
    <cdr:sp macro="" textlink="">
      <cdr:nvSpPr>
        <cdr:cNvPr id="18433" name="Text Box 1"/>
        <cdr:cNvSpPr txBox="1">
          <a:spLocks xmlns:a="http://schemas.openxmlformats.org/drawingml/2006/main" noChangeArrowheads="1"/>
        </cdr:cNvSpPr>
      </cdr:nvSpPr>
      <cdr:spPr bwMode="auto">
        <a:xfrm xmlns:a="http://schemas.openxmlformats.org/drawingml/2006/main">
          <a:off x="1276302" y="308692"/>
          <a:ext cx="1962197" cy="455812"/>
        </a:xfrm>
        <a:prstGeom xmlns:a="http://schemas.openxmlformats.org/drawingml/2006/main" prst="rect">
          <a:avLst/>
        </a:prstGeom>
        <a:noFill xmlns:a="http://schemas.openxmlformats.org/drawingml/2006/main"/>
        <a:ln xmlns:a="http://schemas.openxmlformats.org/drawingml/2006/main" w="9525" algn="ctr">
          <a:noFill/>
          <a:miter lim="800000"/>
          <a:headEnd/>
          <a:tailEnd/>
        </a:ln>
        <a:effec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100" b="0" i="0" u="none" strike="noStrike" baseline="0">
              <a:solidFill>
                <a:srgbClr val="000000"/>
              </a:solidFill>
              <a:latin typeface="Arial"/>
              <a:cs typeface="Arial"/>
            </a:rPr>
            <a:t>Overall Gain and Phase</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25</xdr:row>
      <xdr:rowOff>0</xdr:rowOff>
    </xdr:from>
    <xdr:to>
      <xdr:col>8</xdr:col>
      <xdr:colOff>314325</xdr:colOff>
      <xdr:row>42</xdr:row>
      <xdr:rowOff>0</xdr:rowOff>
    </xdr:to>
    <xdr:graphicFrame macro="">
      <xdr:nvGraphicFramePr>
        <xdr:cNvPr id="213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43</xdr:row>
      <xdr:rowOff>0</xdr:rowOff>
    </xdr:from>
    <xdr:to>
      <xdr:col>8</xdr:col>
      <xdr:colOff>314325</xdr:colOff>
      <xdr:row>60</xdr:row>
      <xdr:rowOff>0</xdr:rowOff>
    </xdr:to>
    <xdr:graphicFrame macro="">
      <xdr:nvGraphicFramePr>
        <xdr:cNvPr id="213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25</xdr:row>
      <xdr:rowOff>66675</xdr:rowOff>
    </xdr:from>
    <xdr:to>
      <xdr:col>14</xdr:col>
      <xdr:colOff>257175</xdr:colOff>
      <xdr:row>46</xdr:row>
      <xdr:rowOff>28575</xdr:rowOff>
    </xdr:to>
    <xdr:graphicFrame macro="">
      <xdr:nvGraphicFramePr>
        <xdr:cNvPr id="214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0.27458</cdr:x>
      <cdr:y>0.08928</cdr:y>
    </cdr:from>
    <cdr:to>
      <cdr:x>0.59661</cdr:x>
      <cdr:y>0.22111</cdr:y>
    </cdr:to>
    <cdr:sp macro="" textlink="">
      <cdr:nvSpPr>
        <cdr:cNvPr id="18433" name="Text Box 1"/>
        <cdr:cNvSpPr txBox="1">
          <a:spLocks xmlns:a="http://schemas.openxmlformats.org/drawingml/2006/main" noChangeArrowheads="1"/>
        </cdr:cNvSpPr>
      </cdr:nvSpPr>
      <cdr:spPr bwMode="auto">
        <a:xfrm xmlns:a="http://schemas.openxmlformats.org/drawingml/2006/main">
          <a:off x="1567190" y="265103"/>
          <a:ext cx="1834229" cy="386739"/>
        </a:xfrm>
        <a:prstGeom xmlns:a="http://schemas.openxmlformats.org/drawingml/2006/main" prst="rect">
          <a:avLst/>
        </a:prstGeom>
        <a:noFill xmlns:a="http://schemas.openxmlformats.org/drawingml/2006/main"/>
        <a:ln xmlns:a="http://schemas.openxmlformats.org/drawingml/2006/main" w="9525" algn="ctr">
          <a:noFill/>
          <a:miter lim="800000"/>
          <a:headEnd/>
          <a:tailEnd/>
        </a:ln>
        <a:effec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100" b="0" i="0" u="none" strike="noStrike" baseline="0">
              <a:solidFill>
                <a:srgbClr val="000000"/>
              </a:solidFill>
              <a:latin typeface="Arial"/>
              <a:cs typeface="Arial"/>
            </a:rPr>
            <a:t>Overall Gain and Phase</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514350</xdr:colOff>
      <xdr:row>27</xdr:row>
      <xdr:rowOff>38100</xdr:rowOff>
    </xdr:from>
    <xdr:to>
      <xdr:col>17</xdr:col>
      <xdr:colOff>314325</xdr:colOff>
      <xdr:row>54</xdr:row>
      <xdr:rowOff>152400</xdr:rowOff>
    </xdr:to>
    <xdr:graphicFrame macro="">
      <xdr:nvGraphicFramePr>
        <xdr:cNvPr id="313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0</xdr:row>
      <xdr:rowOff>66675</xdr:rowOff>
    </xdr:from>
    <xdr:to>
      <xdr:col>15</xdr:col>
      <xdr:colOff>428625</xdr:colOff>
      <xdr:row>25</xdr:row>
      <xdr:rowOff>66675</xdr:rowOff>
    </xdr:to>
    <xdr:graphicFrame macro="">
      <xdr:nvGraphicFramePr>
        <xdr:cNvPr id="313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0.80142</cdr:x>
      <cdr:y>0.34779</cdr:y>
    </cdr:from>
    <cdr:to>
      <cdr:x>0.9726</cdr:x>
      <cdr:y>0.40824</cdr:y>
    </cdr:to>
    <cdr:sp macro="" textlink="">
      <cdr:nvSpPr>
        <cdr:cNvPr id="5121" name="Text Box 1025"/>
        <cdr:cNvSpPr txBox="1">
          <a:spLocks xmlns:a="http://schemas.openxmlformats.org/drawingml/2006/main" noChangeArrowheads="1"/>
        </cdr:cNvSpPr>
      </cdr:nvSpPr>
      <cdr:spPr bwMode="auto">
        <a:xfrm xmlns:a="http://schemas.openxmlformats.org/drawingml/2006/main">
          <a:off x="5713022" y="1566789"/>
          <a:ext cx="1219610" cy="271734"/>
        </a:xfrm>
        <a:prstGeom xmlns:a="http://schemas.openxmlformats.org/drawingml/2006/main" prst="rect">
          <a:avLst/>
        </a:prstGeom>
        <a:noFill xmlns:a="http://schemas.openxmlformats.org/drawingml/2006/main"/>
        <a:ln xmlns:a="http://schemas.openxmlformats.org/drawingml/2006/main" w="9525" algn="ctr">
          <a:noFill/>
          <a:miter lim="800000"/>
          <a:headEnd/>
          <a:tailEnd/>
        </a:ln>
        <a:effectLst xmlns:a="http://schemas.openxmlformats.org/drawingml/2006/mai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u="none" strike="noStrike" baseline="0">
              <a:solidFill>
                <a:srgbClr val="000000"/>
              </a:solidFill>
              <a:latin typeface="Arial"/>
              <a:cs typeface="Arial"/>
            </a:rPr>
            <a:t>Buck Region</a:t>
          </a:r>
        </a:p>
      </cdr:txBody>
    </cdr:sp>
  </cdr:relSizeAnchor>
  <cdr:relSizeAnchor xmlns:cdr="http://schemas.openxmlformats.org/drawingml/2006/chartDrawing">
    <cdr:from>
      <cdr:x>0.75356</cdr:x>
      <cdr:y>0.36199</cdr:y>
    </cdr:from>
    <cdr:to>
      <cdr:x>0.795</cdr:x>
      <cdr:y>0.38254</cdr:y>
    </cdr:to>
    <cdr:sp macro="" textlink="">
      <cdr:nvSpPr>
        <cdr:cNvPr id="5122" name="Rectangle 1026"/>
        <cdr:cNvSpPr>
          <a:spLocks xmlns:a="http://schemas.openxmlformats.org/drawingml/2006/main" noChangeArrowheads="1"/>
        </cdr:cNvSpPr>
      </cdr:nvSpPr>
      <cdr:spPr bwMode="auto">
        <a:xfrm xmlns:a="http://schemas.openxmlformats.org/drawingml/2006/main">
          <a:off x="5372094" y="1630597"/>
          <a:ext cx="295237" cy="92412"/>
        </a:xfrm>
        <a:prstGeom xmlns:a="http://schemas.openxmlformats.org/drawingml/2006/main" prst="rect">
          <a:avLst/>
        </a:prstGeom>
        <a:solidFill xmlns:a="http://schemas.openxmlformats.org/drawingml/2006/main">
          <a:srgbClr val="DDDDDD"/>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AU"/>
        </a:p>
      </cdr:txBody>
    </cdr:sp>
  </cdr:relSizeAnchor>
  <cdr:relSizeAnchor xmlns:cdr="http://schemas.openxmlformats.org/drawingml/2006/chartDrawing">
    <cdr:from>
      <cdr:x>0.0718</cdr:x>
      <cdr:y>0.88981</cdr:y>
    </cdr:from>
    <cdr:to>
      <cdr:x>0.66551</cdr:x>
      <cdr:y>0.93019</cdr:y>
    </cdr:to>
    <cdr:sp macro="" textlink="">
      <cdr:nvSpPr>
        <cdr:cNvPr id="5123" name="Rectangle 1027"/>
        <cdr:cNvSpPr>
          <a:spLocks xmlns:a="http://schemas.openxmlformats.org/drawingml/2006/main" noChangeArrowheads="1"/>
        </cdr:cNvSpPr>
      </cdr:nvSpPr>
      <cdr:spPr bwMode="auto">
        <a:xfrm xmlns:a="http://schemas.openxmlformats.org/drawingml/2006/main">
          <a:off x="514744" y="4003594"/>
          <a:ext cx="4229971" cy="181523"/>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AU"/>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266700</xdr:colOff>
      <xdr:row>17</xdr:row>
      <xdr:rowOff>28575</xdr:rowOff>
    </xdr:from>
    <xdr:to>
      <xdr:col>9</xdr:col>
      <xdr:colOff>295275</xdr:colOff>
      <xdr:row>41</xdr:row>
      <xdr:rowOff>47625</xdr:rowOff>
    </xdr:to>
    <xdr:graphicFrame macro="">
      <xdr:nvGraphicFramePr>
        <xdr:cNvPr id="1744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national.com/Documents%20and%20Settings/crmcsc.INTERFACE/My%20Documents/PROJECTS/Buck-Boost/LM5116/LM5116_quicksta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national.com/Documents%20and%20Settings/crmcsc.INTERFACE/My%20Documents/PROJECTS/Buck-Boost/LM5116/LM5116_quickstart(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M5116 Calculator"/>
      <sheetName val="Frequency Compensation Graphs"/>
      <sheetName val="Bill of Materials"/>
    </sheetNames>
    <sheetDataSet>
      <sheetData sheetId="0">
        <row r="12">
          <cell r="E12">
            <v>2.2999999999999998</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M5116 Calculator"/>
      <sheetName val="Frequency Compensation Graphs"/>
      <sheetName val="Bill of Materials"/>
    </sheetNames>
    <sheetDataSet>
      <sheetData sheetId="0">
        <row r="34">
          <cell r="E34" t="str">
            <v>Yes</v>
          </cell>
        </row>
      </sheetData>
      <sheetData sheetId="1" refreshError="1"/>
      <sheetData sheetId="2" refreshError="1"/>
    </sheetDataSet>
  </externalBook>
</externalLink>
</file>

<file path=xl/queryTables/queryTable1.xml><?xml version="1.0" encoding="utf-8"?>
<queryTable xmlns="http://schemas.openxmlformats.org/spreadsheetml/2006/main" name="LM5118_EVAL_A9_BOM" connectionId="1" autoFormatId="16" applyNumberFormats="0" applyBorderFormats="0" applyFontFormats="1" applyPatternFormats="1" applyAlignmentFormats="0" applyWidthHeightFormats="0">
  <queryTableRefresh nextId="8">
    <queryTableFields count="6">
      <queryTableField id="1" name="LM5118_EVAL_A3"/>
      <queryTableField id="2" name="F2"/>
      <queryTableField id="3" name="F3"/>
      <queryTableField id="4" name="F4"/>
      <queryTableField id="6" name="F6"/>
      <queryTableField id="7" name="F7"/>
    </queryTableFields>
    <queryTableDeletedFields count="1">
      <deletedField name="F5"/>
    </queryTableDeletedFields>
  </queryTableRefresh>
</queryTable>
</file>

<file path=xl/revisions/_rels/revisionHeaders.xml.rels><?xml version="1.0" encoding="UTF-8" standalone="yes"?>
<Relationships xmlns="http://schemas.openxmlformats.org/package/2006/relationships"><Relationship Id="rId3" Type="http://schemas.openxmlformats.org/officeDocument/2006/relationships/revisionLog" Target="revisionLog11.xml"/><Relationship Id="rId4"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guid="{9DEC2683-AF88-49DF-8D52-4C6BE9D0A05A}" diskRevisions="1" revisionId="31" version="4" protected="1">
  <header guid="{95F9732E-FE23-44B1-9A73-986A07C4E45D}" dateTime="2011-12-08T08:54:37" maxSheetId="6" userName="Cameron" r:id="rId3" minRId="13" maxRId="29">
    <sheetIdMap count="5">
      <sheetId val="1"/>
      <sheetId val="2"/>
      <sheetId val="3"/>
      <sheetId val="4"/>
      <sheetId val="5"/>
    </sheetIdMap>
  </header>
  <header guid="{9DEC2683-AF88-49DF-8D52-4C6BE9D0A05A}" dateTime="2011-12-08T09:01:30" maxSheetId="6" userName="Cameron" r:id="rId4" minRId="30" maxRId="31">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rcc rId="30" sId="1">
    <oc r="E6">
      <v>6</v>
    </oc>
    <nc r="E6">
      <v>13.6</v>
    </nc>
  </rcc>
  <rcc rId="31" sId="1">
    <oc r="E25">
      <v>27</v>
    </oc>
    <nc r="E25">
      <v>22</v>
    </nc>
  </rcc>
</revisions>
</file>

<file path=xl/revisions/revisionLog11.xml><?xml version="1.0" encoding="utf-8"?>
<revisions xmlns="http://schemas.openxmlformats.org/spreadsheetml/2006/main" xmlns:r="http://schemas.openxmlformats.org/officeDocument/2006/relationships">
  <rcc rId="13" sId="1">
    <oc r="E19">
      <v>300</v>
    </oc>
    <nc r="E19">
      <v>490</v>
    </nc>
  </rcc>
  <rcc rId="14" sId="1">
    <oc r="E25">
      <v>47</v>
    </oc>
    <nc r="E25">
      <v>27</v>
    </nc>
  </rcc>
  <rcc rId="15" sId="1">
    <oc r="E61">
      <v>9.4</v>
    </oc>
    <nc r="E61">
      <v>22</v>
    </nc>
  </rcc>
  <rcc rId="16" sId="1">
    <oc r="E52">
      <v>47</v>
    </oc>
    <nc r="E52">
      <v>88</v>
    </nc>
  </rcc>
  <rcc rId="17" sId="1">
    <oc r="E47">
      <v>100</v>
    </oc>
    <nc r="E47">
      <v>50</v>
    </nc>
  </rcc>
  <rcc rId="18" sId="1" numFmtId="4">
    <oc r="E64">
      <v>330</v>
    </oc>
    <nc r="E64">
      <v>470</v>
    </nc>
  </rcc>
  <rcc rId="19" sId="1" numFmtId="4">
    <oc r="E68">
      <v>30</v>
    </oc>
    <nc r="E68">
      <v>7</v>
    </nc>
  </rcc>
  <rcc rId="20" sId="1">
    <nc r="F75">
      <v>7.0746647024567588</v>
    </nc>
  </rcc>
  <rcc rId="21" sId="1">
    <nc r="F76">
      <v>5.1404256029487838</v>
    </nc>
  </rcc>
  <rcc rId="22" sId="1">
    <nc r="F77">
      <v>-20.712543479594828</v>
    </nc>
  </rcc>
  <rcc rId="23" sId="1">
    <nc r="F78">
      <v>140.9357090323744</v>
    </nc>
  </rcc>
  <rcc rId="24" sId="1">
    <nc r="F79">
      <v>26883.725869335682</v>
    </nc>
  </rcc>
  <rcc rId="25" sId="1">
    <nc r="F80">
      <v>58169.631618743282</v>
    </nc>
  </rcc>
  <rcc rId="26" sId="1">
    <nc r="F81">
      <v>1.0670491356550929E-3</v>
    </nc>
  </rcc>
  <rcc rId="27" sId="1">
    <nc r="F82">
      <v>19.423299106506594</v>
    </nc>
  </rcc>
  <rcc rId="28" sId="1">
    <nc r="F74">
      <v>26.883725869335699</v>
    </nc>
  </rcc>
  <rcc rId="29" sId="1">
    <oc r="E6">
      <v>13.6</v>
    </oc>
    <nc r="E6">
      <v>6</v>
    </nc>
  </rcc>
</revisions>
</file>

<file path=xl/revisions/userNames.xml><?xml version="1.0" encoding="utf-8"?>
<users xmlns="http://schemas.openxmlformats.org/spreadsheetml/2006/main" xmlns:r="http://schemas.openxmlformats.org/officeDocument/2006/relationships"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oleObject" Target="../embeddings/oleObject1.bin"/><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pageSetUpPr fitToPage="1"/>
  </sheetPr>
  <dimension ref="A1:M100"/>
  <sheetViews>
    <sheetView showGridLines="0" tabSelected="1" workbookViewId="0">
      <selection activeCell="F27" sqref="F27"/>
    </sheetView>
  </sheetViews>
  <sheetFormatPr defaultRowHeight="12.75"/>
  <cols>
    <col min="1" max="1" width="34.7109375" style="15" customWidth="1"/>
    <col min="2" max="2" width="24.7109375" style="15" customWidth="1"/>
    <col min="3" max="3" width="13.7109375" style="15" customWidth="1"/>
    <col min="4" max="4" width="1.85546875" style="15" customWidth="1"/>
    <col min="5" max="5" width="10.28515625" style="130" customWidth="1"/>
    <col min="6" max="6" width="11.7109375" style="15" customWidth="1"/>
    <col min="7" max="7" width="23.5703125" style="16" customWidth="1"/>
    <col min="8" max="8" width="13.28515625" style="15" customWidth="1"/>
    <col min="9" max="9" width="17.7109375" style="15" customWidth="1"/>
    <col min="10" max="10" width="12.7109375" style="17" customWidth="1"/>
    <col min="11" max="11" width="2.7109375" style="15" customWidth="1"/>
    <col min="12" max="12" width="11.5703125" style="15" bestFit="1" customWidth="1"/>
    <col min="13" max="13" width="9.140625" style="15"/>
    <col min="14" max="14" width="16.85546875" style="15" bestFit="1" customWidth="1"/>
    <col min="15" max="16384" width="9.140625" style="15"/>
  </cols>
  <sheetData>
    <row r="1" spans="1:13" ht="18">
      <c r="A1" s="14" t="s">
        <v>4</v>
      </c>
    </row>
    <row r="2" spans="1:13">
      <c r="A2" s="18"/>
      <c r="F2" s="19"/>
      <c r="G2" s="20"/>
      <c r="H2" s="19"/>
      <c r="J2" s="15"/>
    </row>
    <row r="3" spans="1:13">
      <c r="F3" s="19"/>
      <c r="G3" s="20"/>
      <c r="H3" s="19"/>
      <c r="J3" s="15"/>
      <c r="L3" s="21"/>
      <c r="M3" s="21"/>
    </row>
    <row r="4" spans="1:13">
      <c r="A4" s="22"/>
      <c r="B4" s="23"/>
      <c r="C4" s="24"/>
      <c r="D4" s="25"/>
      <c r="E4" s="131"/>
      <c r="F4" s="19"/>
      <c r="G4" s="20"/>
      <c r="H4" s="19"/>
      <c r="J4" s="15"/>
      <c r="L4" s="21"/>
      <c r="M4" s="21"/>
    </row>
    <row r="5" spans="1:13">
      <c r="A5" s="26" t="s">
        <v>29</v>
      </c>
      <c r="B5" s="27"/>
      <c r="C5" s="28"/>
      <c r="D5" s="29"/>
      <c r="E5" s="30"/>
      <c r="F5" s="19"/>
      <c r="G5" s="20"/>
      <c r="H5" s="19"/>
      <c r="I5" s="31"/>
      <c r="J5" s="15"/>
      <c r="K5" s="21"/>
      <c r="L5" s="21"/>
      <c r="M5" s="21"/>
    </row>
    <row r="6" spans="1:13">
      <c r="A6" s="32"/>
      <c r="B6" s="33"/>
      <c r="C6" s="34" t="s">
        <v>0</v>
      </c>
      <c r="D6" s="35"/>
      <c r="E6" s="36">
        <v>13.6</v>
      </c>
      <c r="F6" s="19"/>
      <c r="G6" s="20"/>
      <c r="H6" s="37"/>
      <c r="J6" s="15"/>
      <c r="K6" s="21"/>
      <c r="L6" s="21"/>
      <c r="M6" s="21"/>
    </row>
    <row r="7" spans="1:13">
      <c r="A7" s="38" t="s">
        <v>163</v>
      </c>
      <c r="B7" s="39"/>
      <c r="C7" s="40" t="s">
        <v>1</v>
      </c>
      <c r="D7" s="41"/>
      <c r="E7" s="42">
        <v>8</v>
      </c>
      <c r="F7" s="19"/>
      <c r="G7" s="20"/>
      <c r="H7" s="19"/>
      <c r="J7" s="21"/>
      <c r="K7" s="21"/>
      <c r="L7" s="21"/>
      <c r="M7" s="21"/>
    </row>
    <row r="8" spans="1:13">
      <c r="A8" s="43"/>
      <c r="B8" s="39"/>
      <c r="C8" s="40" t="s">
        <v>2</v>
      </c>
      <c r="D8" s="41"/>
      <c r="E8" s="42">
        <v>24</v>
      </c>
      <c r="F8" s="19"/>
      <c r="G8" s="20"/>
      <c r="H8" s="19"/>
      <c r="J8" s="21"/>
      <c r="K8" s="21"/>
      <c r="L8" s="21"/>
      <c r="M8" s="21"/>
    </row>
    <row r="9" spans="1:13">
      <c r="A9" s="43"/>
      <c r="B9" s="39"/>
      <c r="C9" s="40" t="s">
        <v>142</v>
      </c>
      <c r="D9" s="41"/>
      <c r="E9" s="42">
        <v>0.65</v>
      </c>
      <c r="F9" s="44"/>
      <c r="G9" s="20"/>
      <c r="H9" s="19"/>
      <c r="J9" s="21"/>
      <c r="K9" s="21"/>
      <c r="L9" s="21"/>
      <c r="M9" s="21"/>
    </row>
    <row r="10" spans="1:13">
      <c r="A10" s="45"/>
      <c r="B10" s="39"/>
      <c r="C10" s="40" t="s">
        <v>143</v>
      </c>
      <c r="D10" s="41"/>
      <c r="E10" s="46">
        <v>0.54</v>
      </c>
      <c r="F10" s="19"/>
      <c r="G10" s="20"/>
      <c r="H10" s="19"/>
      <c r="J10" s="21"/>
      <c r="K10" s="21"/>
      <c r="L10" s="21"/>
      <c r="M10" s="21"/>
    </row>
    <row r="11" spans="1:13">
      <c r="A11" s="45"/>
      <c r="B11" s="39"/>
      <c r="C11" s="40" t="s">
        <v>134</v>
      </c>
      <c r="D11" s="41"/>
      <c r="E11" s="42">
        <v>0</v>
      </c>
      <c r="F11" s="19"/>
      <c r="G11" s="20"/>
      <c r="H11" s="19"/>
      <c r="J11" s="21"/>
      <c r="K11" s="21"/>
      <c r="L11" s="21"/>
      <c r="M11" s="21"/>
    </row>
    <row r="12" spans="1:13">
      <c r="A12" s="45"/>
      <c r="B12" s="39"/>
      <c r="C12" s="40" t="s">
        <v>144</v>
      </c>
      <c r="D12" s="41"/>
      <c r="E12" s="177">
        <f>1.33*Vout</f>
        <v>18.088000000000001</v>
      </c>
      <c r="F12" s="19"/>
      <c r="H12" s="19"/>
      <c r="J12" s="21"/>
      <c r="K12" s="21"/>
      <c r="L12" s="21"/>
      <c r="M12" s="21"/>
    </row>
    <row r="13" spans="1:13">
      <c r="A13" s="47"/>
      <c r="B13" s="48"/>
      <c r="C13" s="49" t="s">
        <v>15</v>
      </c>
      <c r="D13" s="50"/>
      <c r="E13" s="178" t="str">
        <f>IF(Vinmin&lt;1.4*Vout,"YES","NO")</f>
        <v>YES</v>
      </c>
      <c r="F13" s="19"/>
      <c r="G13" s="20"/>
      <c r="H13" s="19"/>
      <c r="J13" s="21"/>
      <c r="K13" s="21"/>
      <c r="L13" s="21"/>
      <c r="M13" s="21"/>
    </row>
    <row r="14" spans="1:13">
      <c r="A14" s="22"/>
      <c r="B14" s="23"/>
      <c r="C14" s="24"/>
      <c r="D14" s="25"/>
      <c r="E14" s="131"/>
      <c r="F14" s="19"/>
      <c r="G14" s="20"/>
      <c r="H14" s="19"/>
      <c r="J14" s="21"/>
      <c r="K14" s="21"/>
      <c r="L14" s="21"/>
      <c r="M14" s="21"/>
    </row>
    <row r="15" spans="1:13">
      <c r="A15" s="51"/>
      <c r="B15" s="52"/>
      <c r="C15" s="53" t="s">
        <v>145</v>
      </c>
      <c r="D15" s="54"/>
      <c r="E15" s="179" t="str">
        <f>IF(E13 = "NO", "LM5116", "LM5118")</f>
        <v>LM5118</v>
      </c>
      <c r="F15" s="19"/>
      <c r="G15" s="20"/>
      <c r="H15" s="19"/>
      <c r="J15" s="21"/>
      <c r="K15" s="21"/>
      <c r="L15" s="21"/>
      <c r="M15" s="21"/>
    </row>
    <row r="16" spans="1:13">
      <c r="A16" s="22"/>
      <c r="B16" s="23"/>
      <c r="C16" s="24"/>
      <c r="D16" s="25"/>
      <c r="E16" s="131"/>
      <c r="F16" s="19"/>
      <c r="G16" s="20"/>
      <c r="H16" s="19"/>
      <c r="J16" s="21"/>
      <c r="K16" s="21"/>
      <c r="L16" s="21"/>
      <c r="M16" s="21"/>
    </row>
    <row r="17" spans="1:13">
      <c r="A17" s="26" t="s">
        <v>3</v>
      </c>
      <c r="B17" s="27"/>
      <c r="C17" s="28"/>
      <c r="D17" s="29"/>
      <c r="E17" s="30"/>
      <c r="F17" s="19"/>
      <c r="G17" s="20"/>
      <c r="H17" s="19"/>
      <c r="J17" s="21"/>
      <c r="K17" s="21"/>
      <c r="L17" s="21"/>
      <c r="M17" s="21"/>
    </row>
    <row r="18" spans="1:13">
      <c r="A18" s="55"/>
      <c r="B18" s="56"/>
      <c r="C18" s="57" t="s">
        <v>125</v>
      </c>
      <c r="D18" s="58"/>
      <c r="E18" s="180">
        <f>IF(Fmax&lt;610,Fmax,500)</f>
        <v>500</v>
      </c>
      <c r="F18" s="19"/>
      <c r="G18" s="20"/>
      <c r="H18" s="19"/>
      <c r="J18" s="21"/>
      <c r="K18" s="21"/>
      <c r="L18" s="21"/>
      <c r="M18" s="21"/>
    </row>
    <row r="19" spans="1:13">
      <c r="A19" s="59" t="str">
        <f>IF(E19&gt;=E18,"Violation of Minimum On-Time or Max Frequency","")</f>
        <v/>
      </c>
      <c r="B19" s="39"/>
      <c r="C19" s="40" t="s">
        <v>126</v>
      </c>
      <c r="D19" s="39"/>
      <c r="E19" s="60">
        <v>490</v>
      </c>
      <c r="F19" s="19"/>
      <c r="G19" s="20"/>
      <c r="H19" s="19"/>
      <c r="J19" s="21"/>
      <c r="K19" s="21"/>
      <c r="L19" s="21"/>
      <c r="M19" s="21"/>
    </row>
    <row r="20" spans="1:13">
      <c r="A20" s="61" t="str">
        <f>IF(E19&gt;=E18,"Reduce Switching Frequency","")</f>
        <v/>
      </c>
      <c r="B20" s="48"/>
      <c r="C20" s="49" t="s">
        <v>133</v>
      </c>
      <c r="D20" s="50"/>
      <c r="E20" s="181">
        <f>6.4*10^3/Fsw-3.02</f>
        <v>10.041224489795919</v>
      </c>
      <c r="F20" s="19"/>
      <c r="G20" s="20"/>
      <c r="H20" s="19"/>
      <c r="J20" s="21"/>
      <c r="K20" s="21"/>
      <c r="L20" s="21"/>
      <c r="M20" s="21"/>
    </row>
    <row r="21" spans="1:13">
      <c r="A21" s="23" t="str">
        <f>IF(Dviolate&lt;DMaximumAll,"Check Switching Frequency or Decrease Vin","")</f>
        <v/>
      </c>
      <c r="B21" s="23"/>
      <c r="C21" s="62"/>
      <c r="D21" s="23"/>
      <c r="E21" s="63"/>
      <c r="F21" s="19"/>
      <c r="G21" s="20"/>
      <c r="H21" s="19"/>
      <c r="J21" s="21"/>
      <c r="K21" s="21"/>
      <c r="L21" s="21"/>
      <c r="M21" s="21"/>
    </row>
    <row r="22" spans="1:13">
      <c r="A22" s="26" t="s">
        <v>6</v>
      </c>
      <c r="B22" s="27"/>
      <c r="C22" s="28"/>
      <c r="D22" s="29"/>
      <c r="E22" s="30"/>
      <c r="F22" s="19"/>
      <c r="G22" s="20"/>
      <c r="H22" s="19"/>
      <c r="J22" s="21"/>
      <c r="K22" s="21"/>
      <c r="L22" s="21"/>
      <c r="M22" s="21"/>
    </row>
    <row r="23" spans="1:13">
      <c r="A23" s="64"/>
      <c r="B23" s="65"/>
      <c r="C23" s="34" t="s">
        <v>130</v>
      </c>
      <c r="D23" s="65"/>
      <c r="E23" s="161">
        <f>IF(Vinmax&gt;E12,((Vout*(Vinmax-Vout))/(Vinmax*Fsw*(Ripple*Iout)))*1000,"NA")</f>
        <v>34.265558075081877</v>
      </c>
      <c r="F23" s="19"/>
      <c r="H23" s="19"/>
      <c r="J23" s="21"/>
      <c r="K23" s="21"/>
      <c r="L23" s="21"/>
      <c r="M23" s="21"/>
    </row>
    <row r="24" spans="1:13">
      <c r="A24" s="45"/>
      <c r="B24" s="66"/>
      <c r="C24" s="40" t="s">
        <v>131</v>
      </c>
      <c r="D24" s="39"/>
      <c r="E24" s="161">
        <f>IF(BuckBoostMode="YES",(((Vinmin)*Vout)/((Vinmin+Vout)*Fsw*Ripple*Iout))*1000,"NA")</f>
        <v>29.286801773574258</v>
      </c>
      <c r="F24" s="19"/>
      <c r="G24" s="20"/>
      <c r="H24" s="19"/>
      <c r="J24" s="21"/>
      <c r="K24" s="21"/>
      <c r="L24" s="21"/>
      <c r="M24" s="21"/>
    </row>
    <row r="25" spans="1:13">
      <c r="A25" s="67"/>
      <c r="B25" s="48"/>
      <c r="C25" s="49" t="s">
        <v>132</v>
      </c>
      <c r="D25" s="48"/>
      <c r="E25" s="60">
        <v>22</v>
      </c>
      <c r="F25" s="19"/>
      <c r="G25" s="20"/>
      <c r="H25" s="19"/>
      <c r="J25" s="21"/>
      <c r="K25" s="21"/>
      <c r="L25" s="21"/>
      <c r="M25" s="21"/>
    </row>
    <row r="26" spans="1:13">
      <c r="A26" s="68"/>
      <c r="B26" s="23"/>
      <c r="C26" s="62"/>
      <c r="D26" s="23"/>
      <c r="F26" s="19"/>
      <c r="G26" s="20"/>
      <c r="H26" s="19"/>
      <c r="K26" s="21"/>
      <c r="L26" s="21"/>
      <c r="M26" s="21"/>
    </row>
    <row r="27" spans="1:13">
      <c r="A27" s="26" t="s">
        <v>30</v>
      </c>
      <c r="B27" s="27"/>
      <c r="C27" s="28"/>
      <c r="D27" s="29"/>
      <c r="E27" s="30"/>
      <c r="F27" s="19"/>
      <c r="H27" s="19"/>
      <c r="J27" s="21"/>
      <c r="K27" s="21"/>
      <c r="L27" s="21"/>
      <c r="M27" s="21"/>
    </row>
    <row r="28" spans="1:13">
      <c r="A28" s="45"/>
      <c r="B28" s="39"/>
      <c r="C28" s="40" t="s">
        <v>104</v>
      </c>
      <c r="D28" s="39"/>
      <c r="E28" s="173">
        <f>IF(Vinmax&gt;=Vout,Vout*(Vout/(Vout+Vout))/(L*Fsw)*1000,"NA")</f>
        <v>0.63079777365491652</v>
      </c>
      <c r="F28" s="69"/>
      <c r="J28" s="21">
        <f>ErrorAmpGain_Cross</f>
        <v>22.299730027710734</v>
      </c>
      <c r="K28" s="21"/>
      <c r="L28" s="21"/>
      <c r="M28" s="21"/>
    </row>
    <row r="29" spans="1:13">
      <c r="A29" s="45"/>
      <c r="B29" s="39"/>
      <c r="C29" s="40" t="s">
        <v>136</v>
      </c>
      <c r="D29" s="39"/>
      <c r="E29" s="173">
        <f>IF(Vinmax&gt;E12,((Vout*(Vinmax-Vout))/(Vinmax*L*Fsw))*1000,"NA")</f>
        <v>0.54669140383426096</v>
      </c>
      <c r="F29" s="69"/>
      <c r="J29" s="21"/>
      <c r="K29" s="21"/>
      <c r="L29" s="21"/>
      <c r="M29" s="21"/>
    </row>
    <row r="30" spans="1:13">
      <c r="A30" s="45"/>
      <c r="B30" s="39"/>
      <c r="C30" s="40" t="s">
        <v>105</v>
      </c>
      <c r="D30" s="39"/>
      <c r="E30" s="161">
        <f>Vout*(1-Vout/(Vinmin+Vout))/(L*Fsw)*1000</f>
        <v>0.46725761011475303</v>
      </c>
      <c r="F30" s="69"/>
      <c r="J30" s="21"/>
      <c r="K30" s="21"/>
      <c r="L30" s="21"/>
      <c r="M30" s="21"/>
    </row>
    <row r="31" spans="1:13">
      <c r="A31" s="70"/>
      <c r="B31" s="39"/>
      <c r="C31" s="40" t="s">
        <v>106</v>
      </c>
      <c r="D31" s="41"/>
      <c r="E31" s="162">
        <f>IF(Vinmax&gt;E12,Iout/1+E29/2,"NA")</f>
        <v>0.9233457019171305</v>
      </c>
      <c r="F31" s="71"/>
      <c r="J31" s="21"/>
      <c r="K31" s="21"/>
      <c r="L31" s="21"/>
      <c r="M31" s="21"/>
    </row>
    <row r="32" spans="1:13">
      <c r="A32" s="47"/>
      <c r="B32" s="48"/>
      <c r="C32" s="49" t="s">
        <v>107</v>
      </c>
      <c r="D32" s="50"/>
      <c r="E32" s="161">
        <f>IF(BuckBoostMode="YES",(((Vinmin+Vout)*Iout)/(1*Vinmin))+IrippleBB/2,"NA")</f>
        <v>1.9886288050573766</v>
      </c>
      <c r="F32" s="71" t="s">
        <v>10</v>
      </c>
      <c r="J32" s="21"/>
      <c r="K32" s="21"/>
      <c r="L32" s="21"/>
      <c r="M32" s="21"/>
    </row>
    <row r="33" spans="1:13">
      <c r="A33" s="68"/>
      <c r="B33" s="23"/>
      <c r="C33" s="62"/>
      <c r="D33" s="23"/>
      <c r="E33" s="131"/>
      <c r="F33" s="19"/>
      <c r="G33" s="20"/>
      <c r="H33" s="19"/>
      <c r="J33" s="21"/>
      <c r="K33" s="21"/>
      <c r="L33" s="21"/>
      <c r="M33" s="21"/>
    </row>
    <row r="34" spans="1:13">
      <c r="A34" s="26" t="s">
        <v>140</v>
      </c>
      <c r="B34" s="27"/>
      <c r="C34" s="28"/>
      <c r="D34" s="29"/>
      <c r="E34" s="30"/>
      <c r="F34" s="72"/>
      <c r="J34" s="21"/>
      <c r="K34" s="21"/>
      <c r="L34" s="21"/>
      <c r="M34" s="21"/>
    </row>
    <row r="35" spans="1:13">
      <c r="A35" s="64"/>
      <c r="B35" s="65"/>
      <c r="C35" s="34" t="s">
        <v>138</v>
      </c>
      <c r="D35" s="82"/>
      <c r="E35" s="73">
        <v>0.2</v>
      </c>
      <c r="F35" s="74"/>
      <c r="J35" s="21"/>
      <c r="K35" s="21"/>
      <c r="L35" s="21"/>
      <c r="M35" s="21"/>
    </row>
    <row r="36" spans="1:13">
      <c r="A36" s="45"/>
      <c r="B36" s="39"/>
      <c r="C36" s="40" t="s">
        <v>108</v>
      </c>
      <c r="D36" s="41"/>
      <c r="E36" s="162">
        <f>(1-E35)*2.5/(10*IpeakBB)*10^3</f>
        <v>100.57181083335938</v>
      </c>
      <c r="F36" s="74" t="s">
        <v>10</v>
      </c>
      <c r="J36" s="21"/>
      <c r="K36" s="21"/>
      <c r="L36" s="21"/>
      <c r="M36" s="21"/>
    </row>
    <row r="37" spans="1:13">
      <c r="A37" s="45"/>
      <c r="B37" s="39"/>
      <c r="C37" s="40" t="s">
        <v>110</v>
      </c>
      <c r="D37" s="41"/>
      <c r="E37" s="75">
        <v>100</v>
      </c>
      <c r="F37" s="74"/>
      <c r="J37" s="21"/>
      <c r="K37" s="21"/>
      <c r="L37" s="21"/>
      <c r="M37" s="21"/>
    </row>
    <row r="38" spans="1:13">
      <c r="A38" s="45"/>
      <c r="B38" s="39"/>
      <c r="C38" s="40" t="s">
        <v>109</v>
      </c>
      <c r="D38" s="41"/>
      <c r="E38" s="162">
        <f>IF(Vinmax&gt;BuckMode,0.125/(E37*0.001)-E29/2,"NA")</f>
        <v>0.97665429808286952</v>
      </c>
      <c r="J38" s="21"/>
      <c r="K38" s="21"/>
      <c r="L38" s="21"/>
      <c r="M38" s="21"/>
    </row>
    <row r="39" spans="1:13">
      <c r="A39" s="45"/>
      <c r="B39" s="39"/>
      <c r="C39" s="40" t="s">
        <v>146</v>
      </c>
      <c r="D39" s="41"/>
      <c r="E39" s="162">
        <f>0.125*2/(E37*0.001)</f>
        <v>2.5</v>
      </c>
      <c r="J39" s="21"/>
      <c r="K39" s="21"/>
      <c r="L39" s="21"/>
      <c r="M39" s="21"/>
    </row>
    <row r="40" spans="1:13">
      <c r="A40" s="47"/>
      <c r="B40" s="48"/>
      <c r="C40" s="49" t="s">
        <v>111</v>
      </c>
      <c r="D40" s="48"/>
      <c r="E40" s="162">
        <f>(E39-IrippleBB/2)*(1-Dmin)</f>
        <v>0.83939673886763844</v>
      </c>
      <c r="J40" s="21"/>
      <c r="K40" s="21"/>
      <c r="L40" s="21"/>
      <c r="M40" s="21"/>
    </row>
    <row r="41" spans="1:13">
      <c r="F41" s="76"/>
      <c r="J41" s="21"/>
      <c r="K41" s="21"/>
      <c r="L41" s="21"/>
      <c r="M41" s="21"/>
    </row>
    <row r="42" spans="1:13">
      <c r="A42" s="77" t="s">
        <v>31</v>
      </c>
      <c r="B42" s="78"/>
      <c r="C42" s="79"/>
      <c r="D42" s="80"/>
      <c r="E42" s="30"/>
      <c r="J42" s="21"/>
      <c r="K42" s="21"/>
      <c r="L42" s="21"/>
      <c r="M42" s="21"/>
    </row>
    <row r="43" spans="1:13">
      <c r="A43" s="81"/>
      <c r="B43" s="65"/>
      <c r="C43" s="34" t="s">
        <v>5</v>
      </c>
      <c r="D43" s="82"/>
      <c r="E43" s="163">
        <f>L/(2*E37)*1000</f>
        <v>110</v>
      </c>
      <c r="J43" s="21"/>
      <c r="K43" s="21"/>
      <c r="L43" s="21"/>
      <c r="M43" s="21"/>
    </row>
    <row r="44" spans="1:13">
      <c r="A44" s="83"/>
      <c r="B44" s="48"/>
      <c r="C44" s="49" t="s">
        <v>121</v>
      </c>
      <c r="D44" s="50"/>
      <c r="E44" s="163" t="str">
        <f>IF(Vout&gt;20,7/(Vout*5*10^-6-50*10^-6)*10^-3,"NA")</f>
        <v>NA</v>
      </c>
      <c r="J44" s="84"/>
      <c r="K44" s="21"/>
      <c r="L44" s="21"/>
      <c r="M44" s="21"/>
    </row>
    <row r="45" spans="1:13">
      <c r="F45" s="76"/>
      <c r="J45" s="84"/>
      <c r="K45" s="21"/>
      <c r="L45" s="21"/>
      <c r="M45" s="21"/>
    </row>
    <row r="46" spans="1:13">
      <c r="A46" s="85" t="s">
        <v>122</v>
      </c>
      <c r="B46" s="86"/>
      <c r="C46" s="87"/>
      <c r="D46" s="87"/>
      <c r="F46" s="76"/>
      <c r="J46" s="84"/>
      <c r="K46" s="21"/>
      <c r="L46" s="21"/>
      <c r="M46" s="21"/>
    </row>
    <row r="47" spans="1:13">
      <c r="A47" s="89"/>
      <c r="B47" s="56"/>
      <c r="C47" s="57" t="s">
        <v>90</v>
      </c>
      <c r="D47" s="90"/>
      <c r="E47" s="60">
        <v>50</v>
      </c>
      <c r="J47" s="84"/>
      <c r="K47" s="21"/>
      <c r="L47" s="21"/>
      <c r="M47" s="21"/>
    </row>
    <row r="48" spans="1:13">
      <c r="A48" s="89"/>
      <c r="B48" s="56"/>
      <c r="C48" s="57" t="s">
        <v>139</v>
      </c>
      <c r="D48" s="88"/>
      <c r="E48" s="164">
        <f>Vout/(Vinmin+Vout)</f>
        <v>0.62962962962962954</v>
      </c>
      <c r="J48" s="84"/>
      <c r="K48" s="21"/>
      <c r="L48" s="21"/>
      <c r="M48" s="21"/>
    </row>
    <row r="49" spans="1:13">
      <c r="A49" s="91"/>
      <c r="B49" s="56"/>
      <c r="C49" s="57" t="s">
        <v>112</v>
      </c>
      <c r="D49" s="88"/>
      <c r="E49" s="162">
        <f>SQRT((12*Iout+(IrippleBB/Iout)^2)/(12*(1-Dmin)))</f>
        <v>1.3679438002723761</v>
      </c>
      <c r="F49" s="19"/>
      <c r="J49" s="84"/>
      <c r="K49" s="21"/>
      <c r="L49" s="21"/>
      <c r="M49" s="21"/>
    </row>
    <row r="50" spans="1:13">
      <c r="A50" s="91"/>
      <c r="B50" s="56"/>
      <c r="C50" s="57" t="s">
        <v>137</v>
      </c>
      <c r="D50" s="90"/>
      <c r="E50" s="162">
        <f>Iout*Vout/(Vinmin+Vout)/(Fsw*DeltaVout)*1000000</f>
        <v>16.704459561602416</v>
      </c>
      <c r="J50" s="84"/>
      <c r="K50" s="21"/>
      <c r="M50" s="21"/>
    </row>
    <row r="51" spans="1:13">
      <c r="A51" s="91"/>
      <c r="B51" s="56"/>
      <c r="C51" s="57" t="s">
        <v>116</v>
      </c>
      <c r="D51" s="90"/>
      <c r="E51" s="161">
        <f>DeltaVout/(Iout/(1-E48)+IrippleBB/2)</f>
        <v>25.142952708339852</v>
      </c>
      <c r="J51" s="84"/>
      <c r="K51" s="21"/>
      <c r="M51" s="21"/>
    </row>
    <row r="52" spans="1:13">
      <c r="A52" s="56"/>
      <c r="B52" s="56"/>
      <c r="C52" s="57" t="s">
        <v>127</v>
      </c>
      <c r="D52" s="90"/>
      <c r="E52" s="60">
        <v>88</v>
      </c>
      <c r="J52" s="84"/>
      <c r="K52" s="21"/>
    </row>
    <row r="53" spans="1:13">
      <c r="A53" s="92"/>
      <c r="B53" s="92"/>
      <c r="C53" s="93" t="s">
        <v>14</v>
      </c>
      <c r="D53" s="94"/>
      <c r="E53" s="165">
        <f>IF(Vinmax&lt;BuckMode,"NA",E51*IrippleBuck)</f>
        <v>15.860118591531633</v>
      </c>
    </row>
    <row r="55" spans="1:13">
      <c r="A55" s="26" t="s">
        <v>123</v>
      </c>
      <c r="B55" s="27"/>
      <c r="C55" s="28"/>
      <c r="D55" s="29"/>
      <c r="E55" s="30"/>
    </row>
    <row r="56" spans="1:13">
      <c r="A56" s="55"/>
      <c r="B56" s="56"/>
      <c r="C56" s="57" t="s">
        <v>72</v>
      </c>
      <c r="D56" s="95"/>
      <c r="E56" s="162">
        <f>(Iout/(1-Dmin)*SQRT(Dmin*(1-Dmin+IrippleBB^2*(1-Dmin)^2/(Iout^2*12))))</f>
        <v>0.85422805463520157</v>
      </c>
    </row>
    <row r="57" spans="1:13">
      <c r="A57" s="55"/>
      <c r="B57" s="56"/>
      <c r="C57" s="57" t="s">
        <v>73</v>
      </c>
      <c r="D57" s="95"/>
      <c r="E57" s="162">
        <f xml:space="preserve"> Iout/(1-Dmin)</f>
        <v>1.7549999999999997</v>
      </c>
      <c r="F57" s="76"/>
    </row>
    <row r="58" spans="1:13">
      <c r="A58" s="55"/>
      <c r="B58" s="56"/>
      <c r="C58" s="57" t="s">
        <v>74</v>
      </c>
      <c r="D58" s="95"/>
      <c r="E58" s="166">
        <f>IF(Vinmax&lt;BuckMode,"NA",Iout*SQRT(Vout/Vinmax*(1-Vout/Vinmax)))</f>
        <v>0.32209815619190096</v>
      </c>
    </row>
    <row r="59" spans="1:13">
      <c r="A59" s="55"/>
      <c r="B59" s="56"/>
      <c r="C59" s="57" t="s">
        <v>75</v>
      </c>
      <c r="D59" s="95"/>
      <c r="E59" s="166">
        <f>IF(Vinmax&lt;BuckMode,"NA",Iout*(1+E29/2))</f>
        <v>0.82767470624613493</v>
      </c>
      <c r="G59" s="167"/>
    </row>
    <row r="60" spans="1:13">
      <c r="A60" s="55"/>
      <c r="B60" s="56"/>
      <c r="C60" s="57" t="s">
        <v>162</v>
      </c>
      <c r="D60" s="95"/>
      <c r="E60" s="166">
        <f>E39/2/Fsw*1000</f>
        <v>2.5510204081632653</v>
      </c>
    </row>
    <row r="61" spans="1:13">
      <c r="A61" s="96"/>
      <c r="B61" s="96"/>
      <c r="C61" s="93" t="s">
        <v>128</v>
      </c>
      <c r="D61" s="97"/>
      <c r="E61" s="122">
        <v>22</v>
      </c>
    </row>
    <row r="62" spans="1:13">
      <c r="H62" s="182"/>
    </row>
    <row r="63" spans="1:13">
      <c r="A63" s="85" t="s">
        <v>7</v>
      </c>
      <c r="B63" s="98"/>
      <c r="C63" s="99"/>
      <c r="D63" s="98"/>
      <c r="E63" s="30"/>
    </row>
    <row r="64" spans="1:13">
      <c r="A64" s="100"/>
      <c r="B64" s="101"/>
      <c r="C64" s="40" t="s">
        <v>113</v>
      </c>
      <c r="D64" s="102"/>
      <c r="E64" s="160">
        <v>470</v>
      </c>
    </row>
    <row r="65" spans="1:7">
      <c r="A65" s="103"/>
      <c r="B65" s="96"/>
      <c r="C65" s="49" t="s">
        <v>114</v>
      </c>
      <c r="D65" s="104"/>
      <c r="E65" s="168">
        <f>E64*(Vout/1.23-1)</f>
        <v>4726.747967479675</v>
      </c>
    </row>
    <row r="66" spans="1:7">
      <c r="A66" s="105"/>
      <c r="B66" s="106"/>
      <c r="C66" s="62"/>
      <c r="D66" s="72"/>
      <c r="E66" s="107"/>
    </row>
    <row r="67" spans="1:7">
      <c r="A67" s="108" t="s">
        <v>124</v>
      </c>
      <c r="B67" s="106"/>
      <c r="C67" s="62"/>
      <c r="D67" s="72"/>
      <c r="E67" s="109"/>
    </row>
    <row r="68" spans="1:7">
      <c r="A68" s="110"/>
      <c r="B68" s="33"/>
      <c r="C68" s="34" t="s">
        <v>147</v>
      </c>
      <c r="D68" s="111"/>
      <c r="E68" s="132">
        <v>7</v>
      </c>
    </row>
    <row r="69" spans="1:7">
      <c r="A69" s="100"/>
      <c r="B69" s="101"/>
      <c r="C69" s="40" t="s">
        <v>148</v>
      </c>
      <c r="D69" s="102"/>
      <c r="E69" s="169">
        <f>E68*10^-3/(0.05*7.5)</f>
        <v>1.8666666666666668E-2</v>
      </c>
      <c r="G69" s="112"/>
    </row>
    <row r="70" spans="1:7">
      <c r="A70" s="100"/>
      <c r="B70" s="101"/>
      <c r="C70" s="40" t="s">
        <v>129</v>
      </c>
      <c r="D70" s="102"/>
      <c r="E70" s="60">
        <v>0.1</v>
      </c>
    </row>
    <row r="71" spans="1:7">
      <c r="A71" s="113"/>
      <c r="B71" s="96"/>
      <c r="C71" s="49" t="s">
        <v>149</v>
      </c>
      <c r="D71" s="114"/>
      <c r="E71" s="170">
        <f>10*E70</f>
        <v>1</v>
      </c>
    </row>
    <row r="72" spans="1:7">
      <c r="C72" s="115"/>
      <c r="D72" s="116"/>
      <c r="E72" s="133"/>
    </row>
    <row r="73" spans="1:7">
      <c r="A73" s="85" t="s">
        <v>117</v>
      </c>
      <c r="B73" s="98"/>
      <c r="C73" s="99"/>
      <c r="D73" s="98"/>
      <c r="E73" s="30"/>
    </row>
    <row r="74" spans="1:7">
      <c r="A74" s="117"/>
      <c r="B74" s="101"/>
      <c r="C74" s="40" t="s">
        <v>9</v>
      </c>
      <c r="D74" s="66"/>
      <c r="E74" s="162">
        <f>(Vinmin^2*Vout/Iout)/(Vout*L*2*3.14*(Vout+Vinmin))*1000</f>
        <v>32.99366356691197</v>
      </c>
      <c r="F74" s="15">
        <v>26.883725869335699</v>
      </c>
    </row>
    <row r="75" spans="1:7">
      <c r="A75" s="117"/>
      <c r="B75" s="101"/>
      <c r="C75" s="40" t="s">
        <v>8</v>
      </c>
      <c r="D75" s="66"/>
      <c r="E75" s="162">
        <f>E74/3.8</f>
        <v>8.6825430439242037</v>
      </c>
      <c r="F75" s="19">
        <v>7.0746647024567588</v>
      </c>
    </row>
    <row r="76" spans="1:7">
      <c r="A76" s="100"/>
      <c r="B76" s="101"/>
      <c r="C76" s="40" t="s">
        <v>118</v>
      </c>
      <c r="D76" s="66"/>
      <c r="E76" s="162">
        <f>E43*10*Rs*0.001/(L)</f>
        <v>5.0285905416679695</v>
      </c>
      <c r="F76" s="15">
        <v>5.1404256029487838</v>
      </c>
    </row>
    <row r="77" spans="1:7">
      <c r="A77" s="100"/>
      <c r="B77" s="101"/>
      <c r="C77" s="40" t="s">
        <v>135</v>
      </c>
      <c r="D77" s="66"/>
      <c r="E77" s="162">
        <f>20*LOG(Rout*Vinmin/(10*Rs/1000*(2*Vout+Vinmin)))-10*LOG(1+(E75*1000/Dpole)^2)</f>
        <v>-22.299730027710734</v>
      </c>
      <c r="F77" s="15">
        <v>-20.712543479594828</v>
      </c>
    </row>
    <row r="78" spans="1:7">
      <c r="A78" s="100"/>
      <c r="B78" s="101"/>
      <c r="C78" s="40" t="s">
        <v>11</v>
      </c>
      <c r="D78" s="66"/>
      <c r="E78" s="171">
        <f>Dpole</f>
        <v>140.9357090323744</v>
      </c>
      <c r="F78" s="19">
        <v>140.9357090323744</v>
      </c>
    </row>
    <row r="79" spans="1:7">
      <c r="A79" s="100"/>
      <c r="B79" s="101"/>
      <c r="C79" s="121" t="s">
        <v>164</v>
      </c>
      <c r="D79" s="66"/>
      <c r="E79" s="172">
        <f>E74*1000</f>
        <v>32993.663566911971</v>
      </c>
      <c r="F79" s="19">
        <v>26883.725869335682</v>
      </c>
    </row>
    <row r="80" spans="1:7">
      <c r="A80" s="100"/>
      <c r="B80" s="101"/>
      <c r="C80" s="40" t="s">
        <v>115</v>
      </c>
      <c r="D80" s="66"/>
      <c r="E80" s="172">
        <f>10^(ErrorAmpGain_Cross/19)*E65</f>
        <v>70507.034303442386</v>
      </c>
      <c r="F80" s="19">
        <v>58169.631618743282</v>
      </c>
      <c r="G80" s="16" t="s">
        <v>10</v>
      </c>
    </row>
    <row r="81" spans="1:6">
      <c r="A81" s="100"/>
      <c r="B81" s="101"/>
      <c r="C81" s="40" t="s">
        <v>12</v>
      </c>
      <c r="D81" s="101"/>
      <c r="E81" s="173">
        <f>1/(2*3.14*E80*10^(ErrorAmpGain_Cross/20)*_Rfb2)*10^9*0.02</f>
        <v>7.333122784940237E-4</v>
      </c>
      <c r="F81" s="19">
        <v>1.0670491356550929E-3</v>
      </c>
    </row>
    <row r="82" spans="1:6">
      <c r="A82" s="113"/>
      <c r="B82" s="96"/>
      <c r="C82" s="49" t="s">
        <v>13</v>
      </c>
      <c r="D82" s="96"/>
      <c r="E82" s="173">
        <f>1/(2*3.14*E78*E80)*10^9</f>
        <v>16.024587688422901</v>
      </c>
      <c r="F82" s="19">
        <v>19.423299106506594</v>
      </c>
    </row>
    <row r="83" spans="1:6">
      <c r="C83" s="116"/>
      <c r="D83" s="116"/>
      <c r="E83" s="174"/>
    </row>
    <row r="84" spans="1:6">
      <c r="A84" s="118" t="s">
        <v>82</v>
      </c>
      <c r="C84" s="116"/>
      <c r="D84" s="116"/>
      <c r="E84" s="133"/>
    </row>
    <row r="85" spans="1:6">
      <c r="A85" s="119"/>
      <c r="B85" s="33"/>
      <c r="C85" s="34" t="s">
        <v>150</v>
      </c>
      <c r="D85" s="120"/>
      <c r="E85" s="60">
        <v>12</v>
      </c>
    </row>
    <row r="86" spans="1:6">
      <c r="A86" s="113"/>
      <c r="B86" s="96"/>
      <c r="C86" s="49" t="s">
        <v>160</v>
      </c>
      <c r="D86" s="104"/>
      <c r="E86" s="175">
        <f>(E85*10^(-5))/1.23*10^6</f>
        <v>97.560975609756113</v>
      </c>
    </row>
    <row r="87" spans="1:6">
      <c r="C87" s="116"/>
      <c r="D87" s="116"/>
      <c r="E87" s="174"/>
    </row>
    <row r="88" spans="1:6">
      <c r="A88" s="85" t="s">
        <v>152</v>
      </c>
      <c r="B88" s="98"/>
      <c r="C88" s="99"/>
      <c r="D88" s="98"/>
      <c r="E88" s="30"/>
    </row>
    <row r="89" spans="1:6">
      <c r="A89" s="100"/>
      <c r="B89" s="101"/>
      <c r="C89" s="121" t="s">
        <v>157</v>
      </c>
      <c r="D89" s="101"/>
      <c r="E89" s="176">
        <f>Vinmax</f>
        <v>24</v>
      </c>
    </row>
    <row r="90" spans="1:6">
      <c r="A90" s="100"/>
      <c r="B90" s="101"/>
      <c r="C90" s="121" t="s">
        <v>158</v>
      </c>
      <c r="D90" s="101"/>
      <c r="E90" s="122">
        <v>75</v>
      </c>
    </row>
    <row r="91" spans="1:6">
      <c r="A91" s="100"/>
      <c r="B91" s="101"/>
      <c r="C91" s="121" t="s">
        <v>151</v>
      </c>
      <c r="D91" s="101"/>
      <c r="E91" s="122">
        <v>4</v>
      </c>
    </row>
    <row r="92" spans="1:6">
      <c r="A92" s="100"/>
      <c r="B92" s="101"/>
      <c r="C92" s="121" t="s">
        <v>159</v>
      </c>
      <c r="D92" s="101"/>
      <c r="E92" s="173">
        <f>1.23*E90/(E91+5*E90*10^(-3)-1.23)</f>
        <v>29.332273449920507</v>
      </c>
    </row>
    <row r="93" spans="1:6">
      <c r="A93" s="100"/>
      <c r="B93" s="101"/>
      <c r="C93" s="121" t="s">
        <v>141</v>
      </c>
      <c r="D93" s="101"/>
      <c r="E93" s="122">
        <v>1000</v>
      </c>
    </row>
    <row r="94" spans="1:6">
      <c r="A94" s="100"/>
      <c r="B94" s="101"/>
      <c r="C94" s="121" t="s">
        <v>153</v>
      </c>
      <c r="D94" s="101"/>
      <c r="E94" s="122">
        <v>12</v>
      </c>
    </row>
    <row r="95" spans="1:6">
      <c r="A95" s="113"/>
      <c r="B95" s="96"/>
      <c r="C95" s="123" t="s">
        <v>154</v>
      </c>
      <c r="D95" s="97"/>
      <c r="E95" s="173">
        <f>-(E93/(E90*E92/(E90+E92)*LN(1-1.23*(E90+E92)/(E94*E92))))*10^(-3)</f>
        <v>0.10458248990122081</v>
      </c>
    </row>
    <row r="97" spans="1:3">
      <c r="A97" s="124"/>
      <c r="B97" s="124"/>
      <c r="C97" s="125"/>
    </row>
    <row r="98" spans="1:3">
      <c r="A98" s="124"/>
      <c r="B98" s="124"/>
      <c r="C98" s="125"/>
    </row>
    <row r="99" spans="1:3">
      <c r="A99" s="126"/>
      <c r="B99" s="76"/>
      <c r="C99" s="127"/>
    </row>
    <row r="100" spans="1:3">
      <c r="A100" s="126"/>
      <c r="B100" s="124"/>
      <c r="C100" s="127"/>
    </row>
  </sheetData>
  <customSheetViews>
    <customSheetView guid="{7663E1A9-6243-4C84-AC6E-7B523F6FB71A}" showGridLines="0" fitToPage="1">
      <selection activeCell="J91" sqref="J91"/>
      <pageMargins left="0.5" right="0.5" top="1" bottom="1" header="0.5" footer="0.5"/>
      <pageSetup paperSize="17" scale="76" orientation="portrait" r:id="rId1"/>
      <headerFooter alignWithMargins="0"/>
    </customSheetView>
    <customSheetView guid="{BBC81B30-D89B-4B72-A8DB-9AA4271FD83F}" showGridLines="0" fitToPage="1" topLeftCell="A2">
      <selection activeCell="C44" sqref="C44"/>
      <pageMargins left="0.5" right="0.5" top="1" bottom="1" header="0.5" footer="0.5"/>
      <pageSetup paperSize="17" scale="76" orientation="portrait" r:id="rId2"/>
      <headerFooter alignWithMargins="0"/>
    </customSheetView>
  </customSheetViews>
  <phoneticPr fontId="4" type="noConversion"/>
  <conditionalFormatting sqref="C99">
    <cfRule type="expression" dxfId="1" priority="1" stopIfTrue="1">
      <formula>UVLOdesired="No"</formula>
    </cfRule>
  </conditionalFormatting>
  <conditionalFormatting sqref="E19">
    <cfRule type="cellIs" dxfId="0" priority="2" stopIfTrue="1" operator="greaterThanOrEqual">
      <formula>$E$18</formula>
    </cfRule>
  </conditionalFormatting>
  <dataValidations count="2">
    <dataValidation type="decimal" operator="lessThanOrEqual" allowBlank="1" showErrorMessage="1" errorTitle="Out of Range Switching Frequency" error="The Switching Frequency should not exceed 700KHz" sqref="E19">
      <formula1>700</formula1>
    </dataValidation>
    <dataValidation type="decimal" operator="lessThanOrEqual" allowBlank="1" showErrorMessage="1" errorTitle="Input out of range" error="Vin(max) must not exceed 75V" sqref="E8">
      <formula1>75</formula1>
    </dataValidation>
  </dataValidations>
  <pageMargins left="0.5" right="0.5" top="1" bottom="1" header="0.5" footer="0.5"/>
  <pageSetup paperSize="17" scale="72" orientation="portrait" r:id="rId3"/>
  <headerFooter alignWithMargins="0"/>
  <drawing r:id="rId4"/>
  <legacyDrawing r:id="rId5"/>
  <oleObjects>
    <oleObject progId="Visio.Drawing.6" shapeId="1085" r:id="rId6"/>
  </oleObjects>
</worksheet>
</file>

<file path=xl/worksheets/sheet2.xml><?xml version="1.0" encoding="utf-8"?>
<worksheet xmlns="http://schemas.openxmlformats.org/spreadsheetml/2006/main" xmlns:r="http://schemas.openxmlformats.org/officeDocument/2006/relationships">
  <dimension ref="B1:G77"/>
  <sheetViews>
    <sheetView workbookViewId="0">
      <selection activeCell="B1" activeCellId="1" sqref="D21 B1:E21"/>
    </sheetView>
  </sheetViews>
  <sheetFormatPr defaultRowHeight="12.75"/>
  <cols>
    <col min="1" max="1" width="3.5703125" customWidth="1"/>
    <col min="2" max="2" width="17" customWidth="1"/>
    <col min="3" max="3" width="27" style="2" customWidth="1"/>
    <col min="4" max="4" width="19.85546875" style="2" customWidth="1"/>
    <col min="5" max="5" width="24.42578125" bestFit="1" customWidth="1"/>
    <col min="6" max="6" width="27.28515625" bestFit="1" customWidth="1"/>
    <col min="7" max="7" width="3.140625" customWidth="1"/>
  </cols>
  <sheetData>
    <row r="1" spans="2:7">
      <c r="B1" s="129" t="s">
        <v>28</v>
      </c>
      <c r="C1" s="129"/>
      <c r="D1" s="129"/>
    </row>
    <row r="2" spans="2:7" ht="13.5" thickBot="1"/>
    <row r="3" spans="2:7">
      <c r="B3" s="136" t="s">
        <v>22</v>
      </c>
      <c r="C3" s="137" t="s">
        <v>23</v>
      </c>
      <c r="D3" s="138" t="s">
        <v>24</v>
      </c>
      <c r="E3" s="139" t="s">
        <v>161</v>
      </c>
    </row>
    <row r="4" spans="2:7">
      <c r="B4" s="140" t="s">
        <v>32</v>
      </c>
      <c r="C4" s="11" t="s">
        <v>33</v>
      </c>
      <c r="D4" s="144">
        <f>Cin</f>
        <v>22</v>
      </c>
      <c r="E4" s="145" t="s">
        <v>97</v>
      </c>
      <c r="F4" s="13"/>
      <c r="G4" s="13"/>
    </row>
    <row r="5" spans="2:7">
      <c r="B5" s="140" t="s">
        <v>25</v>
      </c>
      <c r="C5" s="11" t="s">
        <v>34</v>
      </c>
      <c r="D5" s="146">
        <f>Cramp</f>
        <v>110</v>
      </c>
      <c r="E5" s="147" t="s">
        <v>98</v>
      </c>
    </row>
    <row r="6" spans="2:7">
      <c r="B6" s="140" t="s">
        <v>35</v>
      </c>
      <c r="C6" s="11" t="s">
        <v>36</v>
      </c>
      <c r="D6" s="159">
        <f>Css</f>
        <v>97.560975609756113</v>
      </c>
      <c r="E6" s="147" t="s">
        <v>97</v>
      </c>
    </row>
    <row r="7" spans="2:7">
      <c r="B7" s="140" t="s">
        <v>16</v>
      </c>
      <c r="C7" s="11" t="s">
        <v>37</v>
      </c>
      <c r="D7" s="148">
        <f>Cout</f>
        <v>88</v>
      </c>
      <c r="E7" s="145" t="s">
        <v>96</v>
      </c>
    </row>
    <row r="8" spans="2:7">
      <c r="B8" s="140" t="s">
        <v>95</v>
      </c>
      <c r="C8" s="11" t="s">
        <v>38</v>
      </c>
      <c r="D8" s="149">
        <f>Cr</f>
        <v>0.10458248990122081</v>
      </c>
      <c r="E8" s="147" t="s">
        <v>97</v>
      </c>
    </row>
    <row r="9" spans="2:7">
      <c r="B9" s="140" t="s">
        <v>62</v>
      </c>
      <c r="C9" s="11" t="s">
        <v>39</v>
      </c>
      <c r="D9" s="159">
        <f>Cpole</f>
        <v>7.333122784940237E-4</v>
      </c>
      <c r="E9" s="147" t="s">
        <v>100</v>
      </c>
    </row>
    <row r="10" spans="2:7">
      <c r="B10" s="140" t="s">
        <v>63</v>
      </c>
      <c r="C10" s="11" t="s">
        <v>39</v>
      </c>
      <c r="D10" s="159">
        <f>Czero</f>
        <v>16.024587688422901</v>
      </c>
      <c r="E10" s="147" t="s">
        <v>100</v>
      </c>
    </row>
    <row r="11" spans="2:7">
      <c r="B11" s="140" t="s">
        <v>40</v>
      </c>
      <c r="C11" s="11" t="s">
        <v>41</v>
      </c>
      <c r="D11" s="150">
        <f>Cvcc</f>
        <v>1</v>
      </c>
      <c r="E11" s="147" t="s">
        <v>99</v>
      </c>
    </row>
    <row r="12" spans="2:7">
      <c r="B12" s="140" t="s">
        <v>42</v>
      </c>
      <c r="C12" s="11" t="s">
        <v>43</v>
      </c>
      <c r="D12" s="149">
        <f>Chb</f>
        <v>0.1</v>
      </c>
      <c r="E12" s="147" t="s">
        <v>101</v>
      </c>
    </row>
    <row r="13" spans="2:7">
      <c r="B13" s="140" t="s">
        <v>26</v>
      </c>
      <c r="C13" s="11" t="s">
        <v>44</v>
      </c>
      <c r="D13" s="151">
        <f>_Rfb1</f>
        <v>470</v>
      </c>
      <c r="E13" s="147" t="s">
        <v>92</v>
      </c>
    </row>
    <row r="14" spans="2:7">
      <c r="B14" s="140" t="s">
        <v>45</v>
      </c>
      <c r="C14" s="11" t="s">
        <v>44</v>
      </c>
      <c r="D14" s="151">
        <f>_Rfb2</f>
        <v>4726.747967479675</v>
      </c>
      <c r="E14" s="147" t="s">
        <v>92</v>
      </c>
    </row>
    <row r="15" spans="2:7">
      <c r="B15" s="140" t="s">
        <v>155</v>
      </c>
      <c r="C15" s="11" t="s">
        <v>46</v>
      </c>
      <c r="D15" s="152">
        <f>_Ruv1</f>
        <v>75</v>
      </c>
      <c r="E15" s="147" t="s">
        <v>92</v>
      </c>
    </row>
    <row r="16" spans="2:7">
      <c r="B16" s="140" t="s">
        <v>156</v>
      </c>
      <c r="C16" s="11" t="s">
        <v>46</v>
      </c>
      <c r="D16" s="152">
        <f>_Ruv2</f>
        <v>29.332273449920507</v>
      </c>
      <c r="E16" s="147" t="s">
        <v>92</v>
      </c>
    </row>
    <row r="17" spans="2:5">
      <c r="B17" s="140" t="s">
        <v>27</v>
      </c>
      <c r="C17" s="11" t="s">
        <v>93</v>
      </c>
      <c r="D17" s="153">
        <f>Rs</f>
        <v>100.57181083335938</v>
      </c>
      <c r="E17" s="143" t="s">
        <v>102</v>
      </c>
    </row>
    <row r="18" spans="2:5">
      <c r="B18" s="140" t="s">
        <v>18</v>
      </c>
      <c r="C18" s="11" t="s">
        <v>94</v>
      </c>
      <c r="D18" s="154">
        <f>Rt</f>
        <v>10.041224489795919</v>
      </c>
      <c r="E18" s="147" t="s">
        <v>92</v>
      </c>
    </row>
    <row r="19" spans="2:5">
      <c r="B19" s="140" t="s">
        <v>17</v>
      </c>
      <c r="C19" s="11" t="s">
        <v>47</v>
      </c>
      <c r="D19" s="155">
        <f>L</f>
        <v>22</v>
      </c>
      <c r="E19" s="156" t="s">
        <v>103</v>
      </c>
    </row>
    <row r="20" spans="2:5">
      <c r="B20" s="140" t="s">
        <v>48</v>
      </c>
      <c r="C20" s="11" t="s">
        <v>49</v>
      </c>
      <c r="D20" s="152" t="str">
        <f>Rramp</f>
        <v>NA</v>
      </c>
      <c r="E20" s="147" t="s">
        <v>91</v>
      </c>
    </row>
    <row r="21" spans="2:5" ht="13.5" thickBot="1">
      <c r="B21" s="141" t="s">
        <v>50</v>
      </c>
      <c r="C21" s="142" t="s">
        <v>51</v>
      </c>
      <c r="D21" s="157">
        <f>Rcomp/1000</f>
        <v>70.507034303442381</v>
      </c>
      <c r="E21" s="158" t="s">
        <v>92</v>
      </c>
    </row>
    <row r="22" spans="2:5">
      <c r="B22" s="128"/>
      <c r="C22" s="12"/>
      <c r="D22" s="12"/>
      <c r="E22" s="128"/>
    </row>
    <row r="23" spans="2:5">
      <c r="B23" s="128"/>
      <c r="C23" s="12"/>
      <c r="D23" s="12"/>
      <c r="E23" s="128"/>
    </row>
    <row r="24" spans="2:5">
      <c r="B24" s="128"/>
      <c r="C24" s="134"/>
      <c r="D24" s="134"/>
      <c r="E24" s="128"/>
    </row>
    <row r="25" spans="2:5">
      <c r="B25" s="128"/>
      <c r="C25" s="134"/>
      <c r="D25" s="134"/>
      <c r="E25" s="128"/>
    </row>
    <row r="26" spans="2:5">
      <c r="B26" s="128"/>
      <c r="C26" s="134"/>
      <c r="D26" s="134"/>
      <c r="E26" s="128"/>
    </row>
    <row r="27" spans="2:5">
      <c r="B27" s="128"/>
      <c r="C27" s="134"/>
      <c r="D27" s="134"/>
      <c r="E27" s="128"/>
    </row>
    <row r="28" spans="2:5">
      <c r="B28" s="128"/>
      <c r="C28" s="134"/>
      <c r="D28" s="134"/>
      <c r="E28" s="128"/>
    </row>
    <row r="29" spans="2:5">
      <c r="B29" s="128"/>
      <c r="C29" s="134"/>
      <c r="D29" s="134"/>
      <c r="E29" s="128"/>
    </row>
    <row r="30" spans="2:5">
      <c r="B30" s="128"/>
      <c r="C30" s="134"/>
      <c r="D30" s="134"/>
      <c r="E30" s="128"/>
    </row>
    <row r="31" spans="2:5">
      <c r="B31" s="128"/>
      <c r="C31" s="134"/>
      <c r="D31" s="134"/>
      <c r="E31" s="128"/>
    </row>
    <row r="32" spans="2:5">
      <c r="B32" s="128"/>
      <c r="C32" s="134"/>
      <c r="D32" s="134"/>
      <c r="E32" s="128"/>
    </row>
    <row r="33" spans="2:5">
      <c r="B33" s="128"/>
      <c r="C33" s="134"/>
      <c r="D33" s="134"/>
      <c r="E33" s="128"/>
    </row>
    <row r="34" spans="2:5">
      <c r="B34" s="128"/>
      <c r="C34" s="134"/>
      <c r="D34" s="134"/>
      <c r="E34" s="128"/>
    </row>
    <row r="35" spans="2:5">
      <c r="B35" s="128"/>
      <c r="C35" s="134"/>
      <c r="D35" s="134"/>
      <c r="E35" s="128"/>
    </row>
    <row r="36" spans="2:5">
      <c r="B36" s="128"/>
      <c r="C36" s="134"/>
      <c r="D36" s="134"/>
      <c r="E36" s="128"/>
    </row>
    <row r="37" spans="2:5">
      <c r="B37" s="128"/>
      <c r="C37" s="134"/>
      <c r="D37" s="134"/>
      <c r="E37" s="128"/>
    </row>
    <row r="38" spans="2:5">
      <c r="B38" s="128"/>
      <c r="C38" s="134"/>
      <c r="D38" s="134"/>
      <c r="E38" s="128"/>
    </row>
    <row r="39" spans="2:5">
      <c r="B39" s="128"/>
      <c r="C39" s="134"/>
      <c r="D39" s="134"/>
      <c r="E39" s="128"/>
    </row>
    <row r="40" spans="2:5">
      <c r="B40" s="128"/>
      <c r="C40" s="134"/>
      <c r="D40" s="134"/>
      <c r="E40" s="128"/>
    </row>
    <row r="41" spans="2:5">
      <c r="B41" s="128"/>
      <c r="C41" s="134"/>
      <c r="D41" s="134"/>
      <c r="E41" s="128"/>
    </row>
    <row r="42" spans="2:5">
      <c r="B42" s="128"/>
      <c r="C42" s="134"/>
      <c r="D42" s="134"/>
      <c r="E42" s="128"/>
    </row>
    <row r="43" spans="2:5">
      <c r="B43" s="128"/>
      <c r="C43" s="134"/>
      <c r="D43" s="134"/>
      <c r="E43" s="128"/>
    </row>
    <row r="44" spans="2:5">
      <c r="C44" s="135"/>
      <c r="D44" s="135"/>
    </row>
    <row r="45" spans="2:5">
      <c r="C45" s="135"/>
      <c r="D45" s="135"/>
    </row>
    <row r="46" spans="2:5">
      <c r="C46" s="135"/>
      <c r="D46" s="135"/>
    </row>
    <row r="47" spans="2:5">
      <c r="C47" s="135"/>
      <c r="D47" s="135"/>
    </row>
    <row r="48" spans="2:5">
      <c r="C48" s="135"/>
      <c r="D48" s="135"/>
    </row>
    <row r="49" spans="3:4">
      <c r="C49" s="135"/>
      <c r="D49" s="135"/>
    </row>
    <row r="50" spans="3:4">
      <c r="C50" s="135"/>
      <c r="D50" s="135"/>
    </row>
    <row r="51" spans="3:4">
      <c r="C51" s="135"/>
      <c r="D51" s="135"/>
    </row>
    <row r="52" spans="3:4">
      <c r="C52" s="135"/>
      <c r="D52" s="135"/>
    </row>
    <row r="53" spans="3:4">
      <c r="C53" s="135"/>
      <c r="D53" s="135"/>
    </row>
    <row r="54" spans="3:4">
      <c r="C54" s="135"/>
      <c r="D54" s="135"/>
    </row>
    <row r="55" spans="3:4">
      <c r="C55" s="135"/>
      <c r="D55" s="135"/>
    </row>
    <row r="56" spans="3:4">
      <c r="C56" s="135"/>
      <c r="D56" s="135"/>
    </row>
    <row r="57" spans="3:4">
      <c r="C57" s="135"/>
      <c r="D57" s="135"/>
    </row>
    <row r="58" spans="3:4">
      <c r="C58" s="135"/>
      <c r="D58" s="135"/>
    </row>
    <row r="59" spans="3:4">
      <c r="C59" s="135"/>
      <c r="D59" s="135"/>
    </row>
    <row r="60" spans="3:4">
      <c r="C60" s="135"/>
      <c r="D60" s="135"/>
    </row>
    <row r="61" spans="3:4">
      <c r="C61" s="135"/>
      <c r="D61" s="135"/>
    </row>
    <row r="62" spans="3:4">
      <c r="C62" s="135"/>
      <c r="D62" s="135"/>
    </row>
    <row r="63" spans="3:4">
      <c r="C63" s="135"/>
      <c r="D63" s="135"/>
    </row>
    <row r="64" spans="3:4">
      <c r="C64" s="135"/>
      <c r="D64" s="135"/>
    </row>
    <row r="65" spans="3:4">
      <c r="C65" s="135"/>
      <c r="D65" s="135"/>
    </row>
    <row r="66" spans="3:4">
      <c r="C66" s="135"/>
      <c r="D66" s="135"/>
    </row>
    <row r="67" spans="3:4">
      <c r="C67" s="135"/>
      <c r="D67" s="135"/>
    </row>
    <row r="68" spans="3:4">
      <c r="C68" s="135"/>
      <c r="D68" s="135"/>
    </row>
    <row r="69" spans="3:4">
      <c r="C69" s="135"/>
      <c r="D69" s="135"/>
    </row>
    <row r="70" spans="3:4">
      <c r="C70" s="135"/>
      <c r="D70" s="135"/>
    </row>
    <row r="71" spans="3:4">
      <c r="C71" s="135"/>
      <c r="D71" s="135"/>
    </row>
    <row r="72" spans="3:4">
      <c r="C72" s="135"/>
      <c r="D72" s="135"/>
    </row>
    <row r="73" spans="3:4">
      <c r="C73" s="135"/>
      <c r="D73" s="135"/>
    </row>
    <row r="74" spans="3:4">
      <c r="C74" s="135"/>
      <c r="D74" s="135"/>
    </row>
    <row r="75" spans="3:4">
      <c r="C75" s="135"/>
      <c r="D75" s="135"/>
    </row>
    <row r="76" spans="3:4">
      <c r="C76" s="135"/>
      <c r="D76" s="135"/>
    </row>
    <row r="77" spans="3:4">
      <c r="C77" s="135"/>
      <c r="D77" s="135"/>
    </row>
  </sheetData>
  <customSheetViews>
    <customSheetView guid="{7663E1A9-6243-4C84-AC6E-7B523F6FB71A}">
      <selection activeCell="B1" activeCellId="1" sqref="D21 B1:E21"/>
      <pageMargins left="0.75" right="0.75" top="1" bottom="1" header="0.5" footer="0.5"/>
      <pageSetup orientation="portrait" r:id="rId1"/>
      <headerFooter alignWithMargins="0"/>
    </customSheetView>
    <customSheetView guid="{BBC81B30-D89B-4B72-A8DB-9AA4271FD83F}">
      <selection activeCell="B1" activeCellId="1" sqref="D21 B1:E21"/>
      <pageMargins left="0.75" right="0.75" top="1" bottom="1" header="0.5" footer="0.5"/>
      <pageSetup orientation="portrait" r:id="rId2"/>
      <headerFooter alignWithMargins="0"/>
    </customSheetView>
  </customSheetViews>
  <phoneticPr fontId="4" type="noConversion"/>
  <pageMargins left="0.75" right="0.75" top="1" bottom="1"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sheetPr codeName="Sheet1"/>
  <dimension ref="B1:R23"/>
  <sheetViews>
    <sheetView zoomScaleNormal="100" workbookViewId="0">
      <selection activeCell="I27" sqref="I27"/>
    </sheetView>
  </sheetViews>
  <sheetFormatPr defaultRowHeight="12.75"/>
  <cols>
    <col min="2" max="5" width="10.7109375" customWidth="1"/>
    <col min="6" max="9" width="9.5703125" bestFit="1" customWidth="1"/>
    <col min="10" max="10" width="13" bestFit="1" customWidth="1"/>
    <col min="11" max="12" width="14.85546875" bestFit="1" customWidth="1"/>
    <col min="13" max="14" width="10" bestFit="1" customWidth="1"/>
    <col min="15" max="15" width="12" bestFit="1" customWidth="1"/>
    <col min="16" max="16" width="9.42578125" bestFit="1" customWidth="1"/>
    <col min="17" max="17" width="14" bestFit="1" customWidth="1"/>
    <col min="18" max="18" width="9.42578125" bestFit="1" customWidth="1"/>
  </cols>
  <sheetData>
    <row r="1" spans="2:18" ht="51">
      <c r="B1" s="3" t="s">
        <v>119</v>
      </c>
      <c r="C1" s="3" t="s">
        <v>120</v>
      </c>
      <c r="D1" s="3" t="s">
        <v>52</v>
      </c>
      <c r="E1" s="3" t="s">
        <v>53</v>
      </c>
      <c r="F1" s="3" t="s">
        <v>54</v>
      </c>
      <c r="G1" s="3" t="s">
        <v>55</v>
      </c>
      <c r="H1" s="3" t="s">
        <v>56</v>
      </c>
      <c r="I1" s="3" t="s">
        <v>57</v>
      </c>
      <c r="J1" s="3" t="s">
        <v>61</v>
      </c>
      <c r="K1" s="3" t="s">
        <v>64</v>
      </c>
      <c r="L1" s="3" t="s">
        <v>65</v>
      </c>
      <c r="M1" s="3" t="s">
        <v>66</v>
      </c>
      <c r="N1" s="3" t="s">
        <v>67</v>
      </c>
      <c r="O1" s="3" t="s">
        <v>68</v>
      </c>
      <c r="P1" s="3" t="s">
        <v>71</v>
      </c>
      <c r="Q1" s="3" t="s">
        <v>69</v>
      </c>
      <c r="R1" s="3" t="s">
        <v>70</v>
      </c>
    </row>
    <row r="2" spans="2:18">
      <c r="B2" s="4">
        <v>0.1</v>
      </c>
      <c r="C2" s="4">
        <f>2*PI()*B2</f>
        <v>0.62831853071795862</v>
      </c>
      <c r="D2" s="9">
        <f t="shared" ref="D2:D23" si="0">20*LOG(Rout*Vinmin/(10*Rs*10^-3*(Vinmin+2*Vout)))-20*LOG(SQRT(1+(C2*Rout*Cout*10^-6/(1+Dmin))^2))+20*LOG(SQRT(1+(C2*Dmin*L*10^-6/((1-Dmin)^2*Rout))^2))+20*LOG(SQRT(1+(C2*Coutesr*10^-3*Cout*10^-6)^2))</f>
        <v>13.493929919499092</v>
      </c>
      <c r="E2" s="4">
        <f>-ATAN(C2*Rout*Cout*10^-6/(1+Dmin))*180/PI()-ATAN((C2*Dmin*L*10^-6/((1-Dmin)^2*Rout)))*180/PI()+ATAN((C2*Coutesr*10^-3*Cout*10^-6))*180/PI()</f>
        <v>-4.0768546831479818E-2</v>
      </c>
      <c r="F2" s="5">
        <f t="shared" ref="F2:F23" si="1">20*LOG(SQRT((C2*Rcomp*Czero*10^-9)^2+1))- 20*LOG((_Rfb2*Czero*C2*10^-9))-20*LOG(SQRT((Rcomp*Cpole*C2*10^-9)^2+1))</f>
        <v>86.449418619681751</v>
      </c>
      <c r="G2" s="6">
        <f>ATAN(C2*Rcomp*Czero*10^-9)*180/PI() +90 -ATAN(C2*Rcomp*Cpole*10^-9)*180/PI()</f>
        <v>90.040672593373401</v>
      </c>
      <c r="H2" s="5">
        <f>D2+F2</f>
        <v>99.943348539180846</v>
      </c>
      <c r="I2" s="6">
        <f>E2+G2</f>
        <v>89.999904046541914</v>
      </c>
      <c r="J2" s="8">
        <f t="shared" ref="J2:J23" si="2">-20*LOG(_Rfb2*Czero*C2*10^-9)</f>
        <v>86.449416431000273</v>
      </c>
      <c r="K2">
        <f t="shared" ref="K2:K23" si="3">-20*LOG(SQRT(1+(C2*Rout*Cout*10^-6/(1+Dmin))^2))</f>
        <v>-2.1886814738181317E-6</v>
      </c>
      <c r="L2">
        <f>-20*LOG(SQRT(1+(C2*Dmin*L*10^-6/((1-Dmin)^2*Rout))^2))</f>
        <v>-3.9934729044812924E-11</v>
      </c>
      <c r="M2" s="7">
        <f t="shared" ref="M2:M23" si="4">20*LOG(SQRT(1+(C2*Coutesr*10^-3*Cout*10^-6)^2))</f>
        <v>8.3935062688757552E-12</v>
      </c>
      <c r="N2" s="7">
        <f t="shared" ref="N2:N23" si="5">20*LOG(SQRT((C2*Rcomp*Czero*10^-9)^2+1))</f>
        <v>2.1886814738181317E-6</v>
      </c>
      <c r="O2" s="7">
        <f t="shared" ref="O2:O23" si="6">-20*LOG(SQRT((Rcomp*Cpole*C2*10^-9)^2+1))</f>
        <v>-3.8573098662131478E-15</v>
      </c>
      <c r="P2">
        <f t="shared" ref="P2:P23" si="7">-ATAN((C2*Dmin*L*10^-6/((1-Dmin)^2*Rout)))*180/PI()</f>
        <v>-1.7374499999946733E-4</v>
      </c>
      <c r="Q2">
        <f t="shared" ref="Q2:Q23" si="8">ATAN((C2*Coutesr*10^-3*Cout*10^-6))*180/PI()</f>
        <v>7.9652874179969354E-5</v>
      </c>
      <c r="R2">
        <f t="shared" ref="R2:R23" si="9">-ATAN(C2*Rout*Cout*10^-6/(1+Dmin))*180/PI()</f>
        <v>-4.0674454705660321E-2</v>
      </c>
    </row>
    <row r="3" spans="2:18">
      <c r="B3" s="4">
        <v>0.2</v>
      </c>
      <c r="C3" s="4">
        <f>2*PI()*B3</f>
        <v>1.2566370614359172</v>
      </c>
      <c r="D3" s="9">
        <f t="shared" si="0"/>
        <v>13.493923353606279</v>
      </c>
      <c r="E3" s="4">
        <f t="shared" ref="E3:E23" si="10">-ATAN(C3*Rout*Cout*10^-6/(1+Dmin))*180/PI()-ATAN((C3*Dmin*L*10^-6/((1-Dmin)^2*Rout)))*180/PI()+ATAN((C3*Coutesr*10^-3*Cout*10^-6))*180/PI()</f>
        <v>-8.1537052666199053E-2</v>
      </c>
      <c r="F3" s="5">
        <f t="shared" si="1"/>
        <v>80.428825272439909</v>
      </c>
      <c r="G3" s="6">
        <f t="shared" ref="G3:G23" si="11">ATAN(C3*Rcomp*Czero*10^-9)*180/PI() +90 + 0.01*ATAN(C3*_Rfb2*Czero*10^-9)*180/PI()-ATAN(C3*Rcomp*Cpole*10^-9)*180/PI()</f>
        <v>90.081399681564719</v>
      </c>
      <c r="H3" s="5">
        <f t="shared" ref="H3:I23" si="12">D3+F3</f>
        <v>93.922748626046186</v>
      </c>
      <c r="I3" s="6">
        <f t="shared" si="12"/>
        <v>89.999862628898526</v>
      </c>
      <c r="J3" s="8">
        <f t="shared" si="2"/>
        <v>80.428816517720648</v>
      </c>
      <c r="K3">
        <f t="shared" si="3"/>
        <v>-8.7547192747369064E-6</v>
      </c>
      <c r="L3">
        <f t="shared" ref="L3:L23" si="13">-20*LOG(SQRT(1+(C3*Dmin*L*10^-6/((1-Dmin)^2*Rout))^2))</f>
        <v>-1.5974277348801619E-10</v>
      </c>
      <c r="M3" s="7">
        <f t="shared" si="4"/>
        <v>3.3574025075454359E-11</v>
      </c>
      <c r="N3" s="7">
        <f t="shared" si="5"/>
        <v>8.7547192747369064E-6</v>
      </c>
      <c r="O3" s="7">
        <f t="shared" si="6"/>
        <v>-1.928654933106572E-14</v>
      </c>
      <c r="P3">
        <f t="shared" si="7"/>
        <v>-3.4748999999573935E-4</v>
      </c>
      <c r="Q3">
        <f t="shared" si="8"/>
        <v>1.5930574835963082E-4</v>
      </c>
      <c r="R3">
        <f t="shared" si="9"/>
        <v>-8.1348868414562944E-2</v>
      </c>
    </row>
    <row r="4" spans="2:18">
      <c r="B4" s="4">
        <v>0.5</v>
      </c>
      <c r="C4" s="4">
        <f>2*PI()*B4</f>
        <v>3.1415926535897931</v>
      </c>
      <c r="D4" s="9">
        <f t="shared" si="0"/>
        <v>13.493877392634548</v>
      </c>
      <c r="E4" s="4">
        <f t="shared" si="10"/>
        <v>-0.20384191422739376</v>
      </c>
      <c r="F4" s="5">
        <f t="shared" si="1"/>
        <v>72.470071060985717</v>
      </c>
      <c r="G4" s="6">
        <f t="shared" si="11"/>
        <v>90.203498486471574</v>
      </c>
      <c r="H4" s="5">
        <f t="shared" si="12"/>
        <v>85.963948453620262</v>
      </c>
      <c r="I4" s="6">
        <f t="shared" si="12"/>
        <v>89.999656572244177</v>
      </c>
      <c r="J4" s="8">
        <f t="shared" si="2"/>
        <v>72.470016344279898</v>
      </c>
      <c r="K4">
        <f t="shared" si="3"/>
        <v>-5.471670592620754E-5</v>
      </c>
      <c r="L4">
        <f t="shared" si="13"/>
        <v>-9.9839908454416738E-10</v>
      </c>
      <c r="M4" s="7">
        <f t="shared" si="4"/>
        <v>2.0983765671946062E-10</v>
      </c>
      <c r="N4" s="7">
        <f t="shared" si="5"/>
        <v>5.471670592620754E-5</v>
      </c>
      <c r="O4" s="7">
        <f t="shared" si="6"/>
        <v>-1.1571929598639369E-13</v>
      </c>
      <c r="P4">
        <f t="shared" si="7"/>
        <v>-8.6872499993342922E-4</v>
      </c>
      <c r="Q4">
        <f t="shared" si="8"/>
        <v>3.9826437089368898E-4</v>
      </c>
      <c r="R4">
        <f t="shared" si="9"/>
        <v>-0.20337145359835401</v>
      </c>
    </row>
    <row r="5" spans="2:18">
      <c r="B5" s="4">
        <v>1</v>
      </c>
      <c r="C5" s="4">
        <f>2*PI()*B5</f>
        <v>6.2831853071795862</v>
      </c>
      <c r="D5" s="9">
        <f t="shared" si="0"/>
        <v>13.493713250277603</v>
      </c>
      <c r="E5" s="4">
        <f t="shared" si="10"/>
        <v>-0.40767870404565393</v>
      </c>
      <c r="F5" s="5">
        <f t="shared" si="1"/>
        <v>66.449635293687393</v>
      </c>
      <c r="G5" s="6">
        <f t="shared" si="11"/>
        <v>90.406991848518942</v>
      </c>
      <c r="H5" s="5">
        <f t="shared" si="12"/>
        <v>79.943348543965001</v>
      </c>
      <c r="I5" s="6">
        <f t="shared" si="12"/>
        <v>89.999313144473291</v>
      </c>
      <c r="J5" s="8">
        <f t="shared" si="2"/>
        <v>66.449416431000273</v>
      </c>
      <c r="K5">
        <f t="shared" si="3"/>
        <v>-2.1886268757314578E-4</v>
      </c>
      <c r="L5">
        <f t="shared" si="13"/>
        <v>-3.9935905515233071E-9</v>
      </c>
      <c r="M5" s="7">
        <f t="shared" si="4"/>
        <v>8.3934676953756042E-10</v>
      </c>
      <c r="N5" s="7">
        <f t="shared" si="5"/>
        <v>2.1886268757314578E-4</v>
      </c>
      <c r="O5" s="7">
        <f t="shared" si="6"/>
        <v>-4.5901987407935255E-13</v>
      </c>
      <c r="P5">
        <f t="shared" si="7"/>
        <v>-1.7374499994674364E-3</v>
      </c>
      <c r="Q5">
        <f t="shared" si="8"/>
        <v>7.9652874174889225E-4</v>
      </c>
      <c r="R5">
        <f t="shared" si="9"/>
        <v>-0.40673778278793538</v>
      </c>
    </row>
    <row r="6" spans="2:18">
      <c r="B6" s="4">
        <v>2</v>
      </c>
      <c r="C6" s="4">
        <f t="shared" ref="C6:C23" si="14">2*PI()*B6</f>
        <v>12.566370614359172</v>
      </c>
      <c r="D6" s="9">
        <f t="shared" si="0"/>
        <v>13.493056742883423</v>
      </c>
      <c r="E6" s="4">
        <f t="shared" si="10"/>
        <v>-0.81531641746605588</v>
      </c>
      <c r="F6" s="5">
        <f t="shared" si="1"/>
        <v>60.429691902299389</v>
      </c>
      <c r="G6" s="6">
        <f t="shared" si="11"/>
        <v>90.813942706292011</v>
      </c>
      <c r="H6" s="5">
        <f t="shared" si="12"/>
        <v>73.922748645182807</v>
      </c>
      <c r="I6" s="6">
        <f t="shared" si="12"/>
        <v>89.99862628882596</v>
      </c>
      <c r="J6" s="8">
        <f t="shared" si="2"/>
        <v>60.428816517720648</v>
      </c>
      <c r="K6">
        <f t="shared" si="3"/>
        <v>-8.7538458057234475E-4</v>
      </c>
      <c r="L6">
        <f t="shared" si="13"/>
        <v>-1.5974366052386072E-8</v>
      </c>
      <c r="M6" s="7">
        <f t="shared" si="4"/>
        <v>3.3573909349734531E-9</v>
      </c>
      <c r="N6" s="7">
        <f t="shared" si="5"/>
        <v>8.7538458057234475E-4</v>
      </c>
      <c r="O6" s="7">
        <f t="shared" si="6"/>
        <v>-1.8322221864510523E-12</v>
      </c>
      <c r="P6">
        <f t="shared" si="7"/>
        <v>-3.4748999957394987E-3</v>
      </c>
      <c r="Q6">
        <f t="shared" si="8"/>
        <v>1.5930574831898991E-3</v>
      </c>
      <c r="R6">
        <f t="shared" si="9"/>
        <v>-0.81343457495350635</v>
      </c>
    </row>
    <row r="7" spans="2:18">
      <c r="B7" s="4">
        <v>5</v>
      </c>
      <c r="C7" s="4">
        <f t="shared" si="14"/>
        <v>31.415926535897931</v>
      </c>
      <c r="D7" s="9">
        <f t="shared" si="0"/>
        <v>13.488463967920586</v>
      </c>
      <c r="E7" s="4">
        <f t="shared" si="10"/>
        <v>-2.0375742278153619</v>
      </c>
      <c r="F7" s="5">
        <f t="shared" si="1"/>
        <v>52.475484605303578</v>
      </c>
      <c r="G7" s="6">
        <f t="shared" si="11"/>
        <v>92.034139947769162</v>
      </c>
      <c r="H7" s="5">
        <f t="shared" si="12"/>
        <v>65.963948573224158</v>
      </c>
      <c r="I7" s="6">
        <f t="shared" si="12"/>
        <v>89.996565719953807</v>
      </c>
      <c r="J7" s="8">
        <f t="shared" si="2"/>
        <v>52.470016344279898</v>
      </c>
      <c r="K7">
        <f t="shared" si="3"/>
        <v>-5.4682610351437563E-3</v>
      </c>
      <c r="L7">
        <f t="shared" si="13"/>
        <v>-9.983979602436534E-8</v>
      </c>
      <c r="M7" s="7">
        <f t="shared" si="4"/>
        <v>2.0983694286620411E-8</v>
      </c>
      <c r="N7" s="7">
        <f t="shared" si="5"/>
        <v>5.4682610351437563E-3</v>
      </c>
      <c r="O7" s="7">
        <f t="shared" si="6"/>
        <v>-1.14581389575786E-11</v>
      </c>
      <c r="P7">
        <f t="shared" si="7"/>
        <v>-8.6872499334297061E-3</v>
      </c>
      <c r="Q7">
        <f t="shared" si="8"/>
        <v>3.9826437025867537E-3</v>
      </c>
      <c r="R7">
        <f t="shared" si="9"/>
        <v>-2.0328696215845192</v>
      </c>
    </row>
    <row r="8" spans="2:18">
      <c r="B8" s="4">
        <v>10</v>
      </c>
      <c r="C8" s="4">
        <f t="shared" si="14"/>
        <v>62.831853071795862</v>
      </c>
      <c r="D8" s="9">
        <f t="shared" si="0"/>
        <v>13.472100737285968</v>
      </c>
      <c r="E8" s="4">
        <f t="shared" si="10"/>
        <v>-4.0700431494486962</v>
      </c>
      <c r="F8" s="5">
        <f t="shared" si="1"/>
        <v>46.471248285094653</v>
      </c>
      <c r="G8" s="6">
        <f t="shared" si="11"/>
        <v>94.063174574277411</v>
      </c>
      <c r="H8" s="5">
        <f t="shared" si="12"/>
        <v>59.943349022380623</v>
      </c>
      <c r="I8" s="6">
        <f t="shared" si="12"/>
        <v>89.993131424828718</v>
      </c>
      <c r="J8" s="8">
        <f t="shared" si="2"/>
        <v>46.449416431000273</v>
      </c>
      <c r="K8">
        <f t="shared" si="3"/>
        <v>-2.1831854140213023E-2</v>
      </c>
      <c r="L8">
        <f t="shared" si="13"/>
        <v>-3.993591656398924E-7</v>
      </c>
      <c r="M8" s="7">
        <f t="shared" si="4"/>
        <v>8.3934776842322516E-8</v>
      </c>
      <c r="N8" s="7">
        <f t="shared" si="5"/>
        <v>2.1831854140213023E-2</v>
      </c>
      <c r="O8" s="7">
        <f t="shared" si="6"/>
        <v>-4.5832555830223707E-11</v>
      </c>
      <c r="P8">
        <f t="shared" si="7"/>
        <v>-1.7374499467437708E-2</v>
      </c>
      <c r="Q8">
        <f t="shared" si="8"/>
        <v>7.9652873666878326E-3</v>
      </c>
      <c r="R8">
        <f t="shared" si="9"/>
        <v>-4.060633937347947</v>
      </c>
    </row>
    <row r="9" spans="2:18">
      <c r="B9" s="4">
        <v>20</v>
      </c>
      <c r="C9" s="4">
        <f t="shared" si="14"/>
        <v>125.66370614359172</v>
      </c>
      <c r="D9" s="9">
        <f t="shared" si="0"/>
        <v>13.40725748925567</v>
      </c>
      <c r="E9" s="4">
        <f t="shared" si="10"/>
        <v>-8.0997000774958359</v>
      </c>
      <c r="F9" s="5">
        <f t="shared" si="1"/>
        <v>40.515493069589432</v>
      </c>
      <c r="G9" s="6">
        <f t="shared" si="11"/>
        <v>98.085962806528329</v>
      </c>
      <c r="H9" s="5">
        <f t="shared" si="12"/>
        <v>53.922750558845102</v>
      </c>
      <c r="I9" s="6">
        <f t="shared" si="12"/>
        <v>89.986262729032489</v>
      </c>
      <c r="J9" s="8">
        <f t="shared" si="2"/>
        <v>40.428816517720648</v>
      </c>
      <c r="K9">
        <f t="shared" si="3"/>
        <v>-8.6676552052116856E-2</v>
      </c>
      <c r="L9">
        <f t="shared" si="13"/>
        <v>-1.5974364463133497E-6</v>
      </c>
      <c r="M9" s="7">
        <f t="shared" si="4"/>
        <v>3.3573910250274432E-7</v>
      </c>
      <c r="N9" s="7">
        <f t="shared" si="5"/>
        <v>8.6676552052116856E-2</v>
      </c>
      <c r="O9" s="7">
        <f t="shared" si="6"/>
        <v>-1.8333600928424299E-10</v>
      </c>
      <c r="P9">
        <f t="shared" si="7"/>
        <v>-3.4748995739502443E-2</v>
      </c>
      <c r="Q9">
        <f t="shared" si="8"/>
        <v>1.5930574425490292E-2</v>
      </c>
      <c r="R9">
        <f t="shared" si="9"/>
        <v>-8.0808816561818251</v>
      </c>
    </row>
    <row r="10" spans="2:18">
      <c r="B10" s="4">
        <v>50</v>
      </c>
      <c r="C10" s="4">
        <f t="shared" si="14"/>
        <v>314.15926535897933</v>
      </c>
      <c r="D10" s="9">
        <f t="shared" si="0"/>
        <v>12.978596289950422</v>
      </c>
      <c r="E10" s="4">
        <f t="shared" si="10"/>
        <v>-19.589447460253378</v>
      </c>
      <c r="F10" s="5">
        <f t="shared" si="1"/>
        <v>32.985364243652974</v>
      </c>
      <c r="G10" s="6">
        <f t="shared" si="11"/>
        <v>109.55510217260284</v>
      </c>
      <c r="H10" s="5">
        <f t="shared" si="12"/>
        <v>45.963960533603398</v>
      </c>
      <c r="I10" s="6">
        <f t="shared" si="12"/>
        <v>89.965654712349462</v>
      </c>
      <c r="J10" s="8">
        <f t="shared" si="2"/>
        <v>32.470016344279898</v>
      </c>
      <c r="K10">
        <f t="shared" si="3"/>
        <v>-0.51534790051892332</v>
      </c>
      <c r="L10">
        <f t="shared" si="13"/>
        <v>-9.9839681474016226E-6</v>
      </c>
      <c r="M10" s="7">
        <f t="shared" si="4"/>
        <v>2.0983689597928515E-6</v>
      </c>
      <c r="N10" s="7">
        <f t="shared" si="5"/>
        <v>0.51534790051892332</v>
      </c>
      <c r="O10" s="7">
        <f t="shared" si="6"/>
        <v>-1.1458486114718309E-9</v>
      </c>
      <c r="P10">
        <f t="shared" si="7"/>
        <v>-8.6872433429803178E-2</v>
      </c>
      <c r="Q10">
        <f t="shared" si="8"/>
        <v>3.982643067573316E-2</v>
      </c>
      <c r="R10">
        <f t="shared" si="9"/>
        <v>-19.542401457499309</v>
      </c>
    </row>
    <row r="11" spans="2:18">
      <c r="B11" s="4">
        <v>100</v>
      </c>
      <c r="C11" s="4">
        <f t="shared" si="14"/>
        <v>628.31853071795865</v>
      </c>
      <c r="D11" s="9">
        <f t="shared" si="0"/>
        <v>11.721609898061196</v>
      </c>
      <c r="E11" s="4">
        <f t="shared" si="10"/>
        <v>-35.465158780742058</v>
      </c>
      <c r="F11" s="5">
        <f t="shared" si="1"/>
        <v>28.221786965692555</v>
      </c>
      <c r="G11" s="6">
        <f t="shared" si="11"/>
        <v>125.39645315245623</v>
      </c>
      <c r="H11" s="5">
        <f t="shared" si="12"/>
        <v>39.943396863753748</v>
      </c>
      <c r="I11" s="6">
        <f t="shared" si="12"/>
        <v>89.931294371714174</v>
      </c>
      <c r="J11" s="8">
        <f t="shared" si="2"/>
        <v>26.449416431000277</v>
      </c>
      <c r="K11">
        <f t="shared" si="3"/>
        <v>-1.7723705392756697</v>
      </c>
      <c r="L11">
        <f t="shared" si="13"/>
        <v>-3.9935734875098582E-5</v>
      </c>
      <c r="M11" s="7">
        <f t="shared" si="4"/>
        <v>8.393469752240076E-6</v>
      </c>
      <c r="N11" s="7">
        <f t="shared" si="5"/>
        <v>1.7723705392756715</v>
      </c>
      <c r="O11" s="7">
        <f t="shared" si="6"/>
        <v>-4.5833905876704933E-9</v>
      </c>
      <c r="P11">
        <f t="shared" si="7"/>
        <v>-0.17374446744062949</v>
      </c>
      <c r="Q11">
        <f t="shared" si="8"/>
        <v>7.9652822865847989E-2</v>
      </c>
      <c r="R11">
        <f t="shared" si="9"/>
        <v>-35.371067136167277</v>
      </c>
    </row>
    <row r="12" spans="2:18">
      <c r="B12" s="4">
        <v>200</v>
      </c>
      <c r="C12" s="4">
        <f t="shared" si="14"/>
        <v>1256.6370614359173</v>
      </c>
      <c r="D12" s="9">
        <f t="shared" si="0"/>
        <v>8.7000271278828052</v>
      </c>
      <c r="E12" s="4">
        <f t="shared" si="10"/>
        <v>-55.030327911784418</v>
      </c>
      <c r="F12" s="5">
        <f t="shared" si="1"/>
        <v>25.222914794154374</v>
      </c>
      <c r="G12" s="6">
        <f t="shared" si="11"/>
        <v>144.8927968554419</v>
      </c>
      <c r="H12" s="5">
        <f t="shared" si="12"/>
        <v>33.922941922037182</v>
      </c>
      <c r="I12" s="6">
        <f t="shared" si="12"/>
        <v>89.86246894365749</v>
      </c>
      <c r="J12" s="8">
        <f t="shared" si="2"/>
        <v>20.428816517720655</v>
      </c>
      <c r="K12">
        <f t="shared" si="3"/>
        <v>-4.7940982947672754</v>
      </c>
      <c r="L12">
        <f t="shared" si="13"/>
        <v>-1.5974073616549942E-4</v>
      </c>
      <c r="M12" s="7">
        <f t="shared" si="4"/>
        <v>3.3573781676212573E-5</v>
      </c>
      <c r="N12" s="7">
        <f t="shared" si="5"/>
        <v>4.7940982947672763</v>
      </c>
      <c r="O12" s="7">
        <f t="shared" si="6"/>
        <v>-1.83335604075156E-8</v>
      </c>
      <c r="P12">
        <f t="shared" si="7"/>
        <v>-0.34748573959555423</v>
      </c>
      <c r="Q12">
        <f t="shared" si="8"/>
        <v>0.15930533784808815</v>
      </c>
      <c r="R12">
        <f t="shared" si="9"/>
        <v>-54.842147510036952</v>
      </c>
    </row>
    <row r="13" spans="2:18">
      <c r="B13" s="4">
        <v>500</v>
      </c>
      <c r="C13" s="4">
        <f t="shared" si="14"/>
        <v>3141.5926535897929</v>
      </c>
      <c r="D13" s="9">
        <f t="shared" si="0"/>
        <v>2.160049245715236</v>
      </c>
      <c r="E13" s="4">
        <f t="shared" si="10"/>
        <v>-74.736358345242763</v>
      </c>
      <c r="F13" s="5">
        <f t="shared" si="1"/>
        <v>23.80510720720876</v>
      </c>
      <c r="G13" s="6">
        <f t="shared" si="11"/>
        <v>164.39050142902596</v>
      </c>
      <c r="H13" s="5">
        <f t="shared" si="12"/>
        <v>25.965156452923996</v>
      </c>
      <c r="I13" s="6">
        <f t="shared" si="12"/>
        <v>89.654143083783197</v>
      </c>
      <c r="J13" s="8">
        <f t="shared" si="2"/>
        <v>12.470016344279903</v>
      </c>
      <c r="K13">
        <f t="shared" si="3"/>
        <v>-11.335090977513618</v>
      </c>
      <c r="L13">
        <f t="shared" si="13"/>
        <v>-9.9828321920830579E-4</v>
      </c>
      <c r="M13" s="7">
        <f t="shared" si="4"/>
        <v>2.0983187740712997E-4</v>
      </c>
      <c r="N13" s="7">
        <f t="shared" si="5"/>
        <v>11.335090977513618</v>
      </c>
      <c r="O13" s="7">
        <f t="shared" si="6"/>
        <v>-1.1458476010888023E-7</v>
      </c>
      <c r="P13">
        <f t="shared" si="7"/>
        <v>-0.86865843889219374</v>
      </c>
      <c r="Q13">
        <f t="shared" si="8"/>
        <v>0.39825795680702691</v>
      </c>
      <c r="R13">
        <f t="shared" si="9"/>
        <v>-74.265957863157595</v>
      </c>
    </row>
    <row r="14" spans="2:18">
      <c r="B14" s="4">
        <v>1000</v>
      </c>
      <c r="C14" s="4">
        <f t="shared" si="14"/>
        <v>6283.1853071795858</v>
      </c>
      <c r="D14" s="9">
        <f t="shared" si="0"/>
        <v>-3.6105525523151045</v>
      </c>
      <c r="E14" s="4">
        <f t="shared" si="10"/>
        <v>-82.922269096124253</v>
      </c>
      <c r="F14" s="5">
        <f t="shared" si="1"/>
        <v>23.558731656599551</v>
      </c>
      <c r="G14" s="6">
        <f t="shared" si="11"/>
        <v>172.21772014192922</v>
      </c>
      <c r="H14" s="5">
        <f t="shared" si="12"/>
        <v>19.948179104284446</v>
      </c>
      <c r="I14" s="6">
        <f t="shared" si="12"/>
        <v>89.295451045804967</v>
      </c>
      <c r="J14" s="8">
        <f t="shared" si="2"/>
        <v>6.4494164310002802</v>
      </c>
      <c r="K14">
        <f t="shared" si="3"/>
        <v>-17.109315683938291</v>
      </c>
      <c r="L14">
        <f t="shared" si="13"/>
        <v>-3.9917568033511226E-3</v>
      </c>
      <c r="M14" s="7">
        <f t="shared" si="4"/>
        <v>8.392666875974181E-4</v>
      </c>
      <c r="N14" s="7">
        <f t="shared" si="5"/>
        <v>17.109315683938291</v>
      </c>
      <c r="O14" s="7">
        <f t="shared" si="6"/>
        <v>-4.5833902172259423E-7</v>
      </c>
      <c r="P14">
        <f t="shared" si="7"/>
        <v>-1.7369177313317454</v>
      </c>
      <c r="Q14">
        <f t="shared" si="8"/>
        <v>0.79647743351763212</v>
      </c>
      <c r="R14">
        <f t="shared" si="9"/>
        <v>-81.981828798310147</v>
      </c>
    </row>
    <row r="15" spans="2:18">
      <c r="B15" s="4">
        <v>2000</v>
      </c>
      <c r="C15" s="4">
        <f t="shared" si="14"/>
        <v>12566.370614359172</v>
      </c>
      <c r="D15" s="9">
        <f t="shared" si="0"/>
        <v>-9.5528409694909051</v>
      </c>
      <c r="E15" s="4">
        <f t="shared" si="10"/>
        <v>-87.849191007311632</v>
      </c>
      <c r="F15" s="5">
        <f t="shared" si="1"/>
        <v>23.494888916564701</v>
      </c>
      <c r="G15" s="6">
        <f t="shared" si="11"/>
        <v>176.36982511947599</v>
      </c>
      <c r="H15" s="5">
        <f t="shared" si="12"/>
        <v>13.942047947073796</v>
      </c>
      <c r="I15" s="6">
        <f t="shared" si="12"/>
        <v>88.520634112164359</v>
      </c>
      <c r="J15" s="8">
        <f t="shared" si="2"/>
        <v>0.42881651772065604</v>
      </c>
      <c r="K15">
        <f t="shared" si="3"/>
        <v>-23.066074232199846</v>
      </c>
      <c r="L15">
        <f t="shared" si="13"/>
        <v>-1.5945060508883169E-2</v>
      </c>
      <c r="M15" s="7">
        <f t="shared" si="4"/>
        <v>3.3560940678178048E-3</v>
      </c>
      <c r="N15" s="7">
        <f t="shared" si="5"/>
        <v>23.066074232199846</v>
      </c>
      <c r="O15" s="7">
        <f t="shared" si="6"/>
        <v>-1.8333557990555266E-6</v>
      </c>
      <c r="P15">
        <f t="shared" si="7"/>
        <v>-3.4706488795632859</v>
      </c>
      <c r="Q15">
        <f t="shared" si="8"/>
        <v>1.5926471600510923</v>
      </c>
      <c r="R15">
        <f t="shared" si="9"/>
        <v>-85.971189287799433</v>
      </c>
    </row>
    <row r="16" spans="2:18">
      <c r="B16" s="4">
        <v>5000</v>
      </c>
      <c r="C16" s="4">
        <f t="shared" si="14"/>
        <v>31415.926535897932</v>
      </c>
      <c r="D16" s="9">
        <f t="shared" si="0"/>
        <v>-17.393254602353572</v>
      </c>
      <c r="E16" s="4">
        <f t="shared" si="10"/>
        <v>-93.031576504007262</v>
      </c>
      <c r="F16" s="5">
        <f t="shared" si="1"/>
        <v>23.476834240440333</v>
      </c>
      <c r="G16" s="6">
        <f t="shared" si="11"/>
        <v>178.96523225292154</v>
      </c>
      <c r="H16" s="5">
        <f t="shared" si="12"/>
        <v>6.0835796380867606</v>
      </c>
      <c r="I16" s="6">
        <f t="shared" si="12"/>
        <v>85.933655748914276</v>
      </c>
      <c r="J16" s="8">
        <f t="shared" si="2"/>
        <v>-7.5299836557200974</v>
      </c>
      <c r="K16">
        <f t="shared" si="3"/>
        <v>-31.006829354621473</v>
      </c>
      <c r="L16">
        <f t="shared" si="13"/>
        <v>-9.8709479968777075E-2</v>
      </c>
      <c r="M16" s="7">
        <f t="shared" si="4"/>
        <v>2.0933164166887282E-2</v>
      </c>
      <c r="N16" s="7">
        <f t="shared" si="5"/>
        <v>31.006829354621477</v>
      </c>
      <c r="O16" s="7">
        <f t="shared" si="6"/>
        <v>-1.1458461045259722E-5</v>
      </c>
      <c r="P16">
        <f t="shared" si="7"/>
        <v>-8.621583127208039</v>
      </c>
      <c r="Q16">
        <f t="shared" si="8"/>
        <v>3.9762479610701615</v>
      </c>
      <c r="R16">
        <f t="shared" si="9"/>
        <v>-88.386241337869379</v>
      </c>
    </row>
    <row r="17" spans="2:18">
      <c r="B17" s="4">
        <v>10000</v>
      </c>
      <c r="C17" s="4">
        <f t="shared" si="14"/>
        <v>62831.853071795864</v>
      </c>
      <c r="D17" s="9">
        <f t="shared" si="0"/>
        <v>-23.065728379398507</v>
      </c>
      <c r="E17" s="4">
        <f t="shared" si="10"/>
        <v>-98.147919924044899</v>
      </c>
      <c r="F17" s="5">
        <f t="shared" si="1"/>
        <v>23.474215869264878</v>
      </c>
      <c r="G17" s="6">
        <f t="shared" si="11"/>
        <v>179.78816349237695</v>
      </c>
      <c r="H17" s="5">
        <f t="shared" si="12"/>
        <v>0.40848748986637062</v>
      </c>
      <c r="I17" s="6">
        <f t="shared" si="12"/>
        <v>81.640243568332053</v>
      </c>
      <c r="J17" s="8">
        <f t="shared" si="2"/>
        <v>-13.550583568999722</v>
      </c>
      <c r="K17">
        <f t="shared" si="3"/>
        <v>-37.024845271927383</v>
      </c>
      <c r="L17">
        <f t="shared" si="13"/>
        <v>-0.38205079549022475</v>
      </c>
      <c r="M17" s="7">
        <f t="shared" si="4"/>
        <v>8.3133988906411008E-2</v>
      </c>
      <c r="N17" s="7">
        <f t="shared" si="5"/>
        <v>37.024845271927383</v>
      </c>
      <c r="O17" s="10">
        <f t="shared" si="6"/>
        <v>-4.5833662784721142E-5</v>
      </c>
      <c r="P17">
        <f t="shared" si="7"/>
        <v>-16.869519442909926</v>
      </c>
      <c r="Q17">
        <f t="shared" si="8"/>
        <v>7.9145601337593616</v>
      </c>
      <c r="R17">
        <f t="shared" si="9"/>
        <v>-89.192960614894332</v>
      </c>
    </row>
    <row r="18" spans="2:18">
      <c r="B18" s="4">
        <v>20000</v>
      </c>
      <c r="C18" s="4">
        <f t="shared" si="14"/>
        <v>125663.70614359173</v>
      </c>
      <c r="D18" s="9">
        <f t="shared" si="0"/>
        <v>-27.867172575763139</v>
      </c>
      <c r="E18" s="4">
        <f t="shared" si="10"/>
        <v>-105.29451067667016</v>
      </c>
      <c r="F18" s="5">
        <f t="shared" si="1"/>
        <v>23.473432131888142</v>
      </c>
      <c r="G18" s="6">
        <f t="shared" si="11"/>
        <v>180.06422367535521</v>
      </c>
      <c r="H18" s="5">
        <f t="shared" si="12"/>
        <v>-4.3937404438749965</v>
      </c>
      <c r="I18" s="6">
        <f t="shared" si="12"/>
        <v>74.769712998685051</v>
      </c>
      <c r="J18" s="8">
        <f t="shared" si="2"/>
        <v>-19.571183482279345</v>
      </c>
      <c r="K18">
        <f t="shared" si="3"/>
        <v>-43.04479894591644</v>
      </c>
      <c r="L18">
        <f t="shared" si="13"/>
        <v>-1.3603002989521007</v>
      </c>
      <c r="M18" s="7">
        <f t="shared" si="4"/>
        <v>0.32339396306896417</v>
      </c>
      <c r="N18" s="7">
        <f t="shared" si="5"/>
        <v>43.04479894591644</v>
      </c>
      <c r="O18" s="10">
        <f t="shared" si="6"/>
        <v>-1.8333174895366188E-4</v>
      </c>
      <c r="P18">
        <f t="shared" si="7"/>
        <v>-31.236160691029845</v>
      </c>
      <c r="Q18">
        <f t="shared" si="8"/>
        <v>15.538110306120883</v>
      </c>
      <c r="R18">
        <f t="shared" si="9"/>
        <v>-89.596460291761204</v>
      </c>
    </row>
    <row r="19" spans="2:18">
      <c r="B19" s="4">
        <v>50000</v>
      </c>
      <c r="C19" s="4">
        <f t="shared" si="14"/>
        <v>314159.26535897929</v>
      </c>
      <c r="D19" s="9">
        <f t="shared" si="0"/>
        <v>-30.61389767036075</v>
      </c>
      <c r="E19" s="4">
        <f t="shared" si="10"/>
        <v>-111.62892498309603</v>
      </c>
      <c r="F19" s="5">
        <f t="shared" si="1"/>
        <v>23.472288802920488</v>
      </c>
      <c r="G19" s="6">
        <f t="shared" si="11"/>
        <v>179.78393357038911</v>
      </c>
      <c r="H19" s="5">
        <f t="shared" si="12"/>
        <v>-7.1416088674402616</v>
      </c>
      <c r="I19" s="6">
        <f t="shared" si="12"/>
        <v>68.155008587293082</v>
      </c>
      <c r="J19" s="8">
        <f t="shared" si="2"/>
        <v>-27.529983655720098</v>
      </c>
      <c r="K19">
        <f t="shared" si="3"/>
        <v>-51.003418155122304</v>
      </c>
      <c r="L19">
        <f t="shared" si="13"/>
        <v>-5.1836865919071702</v>
      </c>
      <c r="M19" s="7">
        <f t="shared" si="4"/>
        <v>1.7119017847221434</v>
      </c>
      <c r="N19" s="7">
        <f t="shared" si="5"/>
        <v>51.003418155122311</v>
      </c>
      <c r="O19" s="10">
        <f t="shared" si="6"/>
        <v>-1.1456964817250332E-3</v>
      </c>
      <c r="P19">
        <f t="shared" si="7"/>
        <v>-56.593601775833832</v>
      </c>
      <c r="Q19">
        <f t="shared" si="8"/>
        <v>34.803258667429283</v>
      </c>
      <c r="R19">
        <f t="shared" si="9"/>
        <v>-89.838581874691457</v>
      </c>
    </row>
    <row r="20" spans="2:18">
      <c r="B20" s="4">
        <v>100000</v>
      </c>
      <c r="C20" s="4">
        <f t="shared" si="14"/>
        <v>628318.53071795858</v>
      </c>
      <c r="D20" s="9">
        <f t="shared" si="0"/>
        <v>-28.773307063610417</v>
      </c>
      <c r="E20" s="4">
        <f t="shared" si="10"/>
        <v>-107.39647792950794</v>
      </c>
      <c r="F20" s="5">
        <f t="shared" si="1"/>
        <v>23.468827673162831</v>
      </c>
      <c r="G20" s="6">
        <f t="shared" si="11"/>
        <v>178.94657558161489</v>
      </c>
      <c r="H20" s="5">
        <f t="shared" si="12"/>
        <v>-5.304479390447586</v>
      </c>
      <c r="I20" s="6">
        <f t="shared" si="12"/>
        <v>71.550097652106956</v>
      </c>
      <c r="J20" s="8">
        <f t="shared" si="2"/>
        <v>-33.55058356899972</v>
      </c>
      <c r="K20">
        <f t="shared" si="3"/>
        <v>-57.023992215752813</v>
      </c>
      <c r="L20">
        <f t="shared" si="13"/>
        <v>-10.084121522102027</v>
      </c>
      <c r="M20" s="7">
        <f t="shared" si="4"/>
        <v>4.6726315219081291</v>
      </c>
      <c r="N20" s="7">
        <f t="shared" si="5"/>
        <v>57.023992215752813</v>
      </c>
      <c r="O20" s="10">
        <f t="shared" si="6"/>
        <v>-4.5809735902626394E-3</v>
      </c>
      <c r="P20">
        <f t="shared" si="7"/>
        <v>-71.749027206414482</v>
      </c>
      <c r="Q20">
        <f t="shared" si="8"/>
        <v>54.271840054103912</v>
      </c>
      <c r="R20">
        <f t="shared" si="9"/>
        <v>-89.919290777197361</v>
      </c>
    </row>
    <row r="21" spans="2:18">
      <c r="B21" s="4">
        <v>200000</v>
      </c>
      <c r="C21" s="4">
        <f t="shared" si="14"/>
        <v>1256637.0614359172</v>
      </c>
      <c r="D21" s="9">
        <f t="shared" si="0"/>
        <v>-24.367284901654749</v>
      </c>
      <c r="E21" s="4">
        <f t="shared" si="10"/>
        <v>-100.37828112775944</v>
      </c>
      <c r="F21" s="5">
        <f t="shared" si="1"/>
        <v>23.455107210334674</v>
      </c>
      <c r="G21" s="6">
        <f t="shared" si="11"/>
        <v>177.13618665157531</v>
      </c>
      <c r="H21" s="5">
        <f t="shared" si="12"/>
        <v>-0.91217769132007476</v>
      </c>
      <c r="I21" s="6">
        <f t="shared" si="12"/>
        <v>76.757905523815879</v>
      </c>
      <c r="J21" s="8">
        <f t="shared" si="2"/>
        <v>-39.571183482279345</v>
      </c>
      <c r="K21">
        <f t="shared" si="3"/>
        <v>-63.044585665846114</v>
      </c>
      <c r="L21">
        <f t="shared" si="13"/>
        <v>-15.772888546117844</v>
      </c>
      <c r="M21" s="7">
        <f t="shared" si="4"/>
        <v>9.4104801099412825</v>
      </c>
      <c r="N21" s="7">
        <f t="shared" si="5"/>
        <v>63.044585665846114</v>
      </c>
      <c r="O21" s="10">
        <f t="shared" si="6"/>
        <v>-1.8294973232096584E-2</v>
      </c>
      <c r="P21">
        <f t="shared" si="7"/>
        <v>-80.6370469237647</v>
      </c>
      <c r="Q21">
        <f t="shared" si="8"/>
        <v>70.218411164585319</v>
      </c>
      <c r="R21">
        <f t="shared" si="9"/>
        <v>-89.959645368580055</v>
      </c>
    </row>
    <row r="22" spans="2:18">
      <c r="B22" s="4">
        <v>500000</v>
      </c>
      <c r="C22" s="4">
        <f t="shared" si="14"/>
        <v>3141592.653589793</v>
      </c>
      <c r="D22" s="9">
        <f t="shared" si="0"/>
        <v>-16.945463882892902</v>
      </c>
      <c r="E22" s="4">
        <f t="shared" si="10"/>
        <v>-94.397056018244555</v>
      </c>
      <c r="F22" s="5">
        <f t="shared" si="1"/>
        <v>23.36030114807004</v>
      </c>
      <c r="G22" s="6">
        <f t="shared" si="11"/>
        <v>171.65536658681128</v>
      </c>
      <c r="H22" s="5">
        <f t="shared" si="12"/>
        <v>6.4148372651771375</v>
      </c>
      <c r="I22" s="6">
        <f t="shared" si="12"/>
        <v>77.258310568566728</v>
      </c>
      <c r="J22" s="8">
        <f t="shared" si="2"/>
        <v>-47.529983655720102</v>
      </c>
      <c r="K22">
        <f t="shared" si="3"/>
        <v>-71.003384029592965</v>
      </c>
      <c r="L22">
        <f t="shared" si="13"/>
        <v>-23.634044211728614</v>
      </c>
      <c r="M22" s="7">
        <f t="shared" si="4"/>
        <v>16.929943826839207</v>
      </c>
      <c r="N22" s="7">
        <f t="shared" si="5"/>
        <v>71.003384029592965</v>
      </c>
      <c r="O22" s="10">
        <f t="shared" si="6"/>
        <v>-0.11309922580282337</v>
      </c>
      <c r="P22">
        <f t="shared" si="7"/>
        <v>-86.226586364814551</v>
      </c>
      <c r="Q22">
        <f t="shared" si="8"/>
        <v>81.813388491759937</v>
      </c>
      <c r="R22">
        <f t="shared" si="9"/>
        <v>-89.983858145189927</v>
      </c>
    </row>
    <row r="23" spans="2:18">
      <c r="B23" s="4">
        <v>1000000</v>
      </c>
      <c r="C23" s="4">
        <f t="shared" si="14"/>
        <v>6283185.307179586</v>
      </c>
      <c r="D23" s="9">
        <f t="shared" si="0"/>
        <v>-11.005547957933445</v>
      </c>
      <c r="E23" s="4">
        <f t="shared" si="10"/>
        <v>-92.217478864809266</v>
      </c>
      <c r="F23" s="5">
        <f t="shared" si="1"/>
        <v>23.037669393922066</v>
      </c>
      <c r="G23" s="6">
        <f t="shared" si="11"/>
        <v>162.89362384101861</v>
      </c>
      <c r="H23" s="5">
        <f t="shared" si="12"/>
        <v>12.032121435988621</v>
      </c>
      <c r="I23" s="6">
        <f t="shared" si="12"/>
        <v>70.676144976209343</v>
      </c>
      <c r="J23" s="8">
        <f t="shared" si="2"/>
        <v>-53.550583568999727</v>
      </c>
      <c r="K23">
        <f t="shared" si="3"/>
        <v>-77.023983684344842</v>
      </c>
      <c r="L23">
        <f t="shared" si="13"/>
        <v>-29.64051395228422</v>
      </c>
      <c r="M23" s="7">
        <f t="shared" si="4"/>
        <v>22.883989665994932</v>
      </c>
      <c r="N23" s="7">
        <f t="shared" si="5"/>
        <v>77.023983684344842</v>
      </c>
      <c r="O23" s="10">
        <f t="shared" si="6"/>
        <v>-0.43573072142304914</v>
      </c>
      <c r="P23">
        <f t="shared" si="7"/>
        <v>-88.111245139593066</v>
      </c>
      <c r="Q23">
        <f t="shared" si="8"/>
        <v>85.885695347218615</v>
      </c>
      <c r="R23">
        <f t="shared" si="9"/>
        <v>-89.991929072434814</v>
      </c>
    </row>
  </sheetData>
  <customSheetViews>
    <customSheetView guid="{7663E1A9-6243-4C84-AC6E-7B523F6FB71A}">
      <selection activeCell="I27" sqref="I27"/>
      <pageMargins left="0.75" right="0.75" top="1" bottom="1" header="0.5" footer="0.5"/>
      <headerFooter alignWithMargins="0"/>
    </customSheetView>
    <customSheetView guid="{BBC81B30-D89B-4B72-A8DB-9AA4271FD83F}">
      <selection activeCell="I27" sqref="I27"/>
      <pageMargins left="0.75" right="0.75" top="1" bottom="1" header="0.5" footer="0.5"/>
      <headerFooter alignWithMargins="0"/>
    </customSheetView>
  </customSheetViews>
  <phoneticPr fontId="4"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dimension ref="B2:F89"/>
  <sheetViews>
    <sheetView workbookViewId="0">
      <selection activeCell="B10" sqref="B10"/>
    </sheetView>
  </sheetViews>
  <sheetFormatPr defaultRowHeight="12.75"/>
  <cols>
    <col min="2" max="2" width="15.7109375" customWidth="1"/>
  </cols>
  <sheetData>
    <row r="2" spans="2:6">
      <c r="E2" t="s">
        <v>59</v>
      </c>
      <c r="F2" t="s">
        <v>60</v>
      </c>
    </row>
    <row r="4" spans="2:6">
      <c r="B4" t="e">
        <f>IF(Vout&gt;0.7*Vin_nominal,"Buck-Boost Mode","Buck Mode")</f>
        <v>#REF!</v>
      </c>
      <c r="D4" t="s">
        <v>58</v>
      </c>
      <c r="E4" t="s">
        <v>21</v>
      </c>
    </row>
    <row r="5" spans="2:6">
      <c r="E5">
        <v>12</v>
      </c>
    </row>
    <row r="6" spans="2:6">
      <c r="D6">
        <v>20</v>
      </c>
      <c r="E6">
        <f>IF(E5&lt;0.7*D6,10,0)</f>
        <v>10</v>
      </c>
      <c r="F6">
        <f>IF(E5&gt;0.7*D6,10,0)</f>
        <v>0</v>
      </c>
    </row>
    <row r="7" spans="2:6">
      <c r="D7">
        <v>19</v>
      </c>
      <c r="E7">
        <f>IF(E5&lt;0.7*D7,10,0)</f>
        <v>10</v>
      </c>
      <c r="F7">
        <f>IF(E5&gt;0.7*D7,10,0)</f>
        <v>0</v>
      </c>
    </row>
    <row r="8" spans="2:6">
      <c r="D8">
        <v>18</v>
      </c>
      <c r="E8">
        <f>IF(E5&lt;0.7*D8,10,0)</f>
        <v>10</v>
      </c>
      <c r="F8">
        <f>IF(E5&gt;0.7*D8,10,0)</f>
        <v>0</v>
      </c>
    </row>
    <row r="9" spans="2:6">
      <c r="D9">
        <v>17</v>
      </c>
      <c r="E9">
        <f>IF(E5&lt;0.7*D9,10,0)</f>
        <v>0</v>
      </c>
      <c r="F9">
        <f>IF(E5&gt;0.7*D9,10,0)</f>
        <v>10</v>
      </c>
    </row>
    <row r="10" spans="2:6">
      <c r="D10">
        <v>16</v>
      </c>
      <c r="E10">
        <f>IF(E5&lt;0.7*D10,10,0)</f>
        <v>0</v>
      </c>
      <c r="F10">
        <f>IF(E5&gt;0.7*D10,10,0)</f>
        <v>10</v>
      </c>
    </row>
    <row r="11" spans="2:6">
      <c r="D11">
        <v>14</v>
      </c>
      <c r="E11">
        <f>IF(E7&lt;0.7*D11,10,0)</f>
        <v>0</v>
      </c>
      <c r="F11">
        <f>IF(E5&gt;0.7*D11,10,0)</f>
        <v>10</v>
      </c>
    </row>
    <row r="12" spans="2:6">
      <c r="D12">
        <v>13</v>
      </c>
      <c r="E12">
        <f>IF(E8&lt;0.7*D12,10,0)</f>
        <v>0</v>
      </c>
      <c r="F12">
        <f>IF(E5&gt;0.7*D12,10,0)</f>
        <v>10</v>
      </c>
    </row>
    <row r="13" spans="2:6">
      <c r="D13">
        <v>12</v>
      </c>
      <c r="E13">
        <f>IF(E5&lt;0.7*D13,10,0)</f>
        <v>0</v>
      </c>
      <c r="F13">
        <f>IF(E5&gt;0.7*D13,10,0)</f>
        <v>10</v>
      </c>
    </row>
    <row r="14" spans="2:6">
      <c r="D14">
        <v>11</v>
      </c>
      <c r="E14">
        <f>IF(E5&lt;0.7*D14,10,0)</f>
        <v>0</v>
      </c>
      <c r="F14">
        <f>IF(E5&gt;0.7*D14,10,0)</f>
        <v>10</v>
      </c>
    </row>
    <row r="15" spans="2:6">
      <c r="D15">
        <v>10</v>
      </c>
      <c r="E15">
        <f>IF(E5&lt;0.7*D15,10,0)</f>
        <v>0</v>
      </c>
      <c r="F15">
        <f>IF(E5&gt;0.7*D15,10,0)</f>
        <v>10</v>
      </c>
    </row>
    <row r="17" spans="3:6">
      <c r="E17">
        <v>12</v>
      </c>
    </row>
    <row r="18" spans="3:6">
      <c r="C18">
        <v>13</v>
      </c>
      <c r="D18">
        <v>75</v>
      </c>
      <c r="E18" s="1">
        <f>E17/0.7</f>
        <v>17.142857142857142</v>
      </c>
      <c r="F18" s="1">
        <f>E18</f>
        <v>17.142857142857142</v>
      </c>
    </row>
    <row r="19" spans="3:6">
      <c r="C19">
        <v>13</v>
      </c>
      <c r="D19">
        <v>74</v>
      </c>
      <c r="E19" s="1">
        <f>E17/0.7</f>
        <v>17.142857142857142</v>
      </c>
    </row>
    <row r="20" spans="3:6">
      <c r="C20">
        <v>13</v>
      </c>
      <c r="D20">
        <v>73</v>
      </c>
      <c r="E20" s="1">
        <f>E17/0.7</f>
        <v>17.142857142857142</v>
      </c>
    </row>
    <row r="21" spans="3:6">
      <c r="C21">
        <v>13</v>
      </c>
      <c r="D21">
        <v>72</v>
      </c>
      <c r="E21" s="1">
        <f>E17/0.7</f>
        <v>17.142857142857142</v>
      </c>
    </row>
    <row r="22" spans="3:6">
      <c r="C22">
        <v>13</v>
      </c>
      <c r="D22">
        <v>71</v>
      </c>
      <c r="E22" s="1">
        <f>E17/0.7</f>
        <v>17.142857142857142</v>
      </c>
    </row>
    <row r="23" spans="3:6">
      <c r="C23">
        <v>13</v>
      </c>
      <c r="D23">
        <v>70</v>
      </c>
      <c r="E23" s="1">
        <f>E17/0.7</f>
        <v>17.142857142857142</v>
      </c>
    </row>
    <row r="24" spans="3:6">
      <c r="C24">
        <v>13</v>
      </c>
      <c r="D24">
        <f t="shared" ref="D24:D33" si="0">D23-1</f>
        <v>69</v>
      </c>
      <c r="E24" s="1">
        <f>E17/0.7</f>
        <v>17.142857142857142</v>
      </c>
    </row>
    <row r="25" spans="3:6">
      <c r="C25">
        <v>13</v>
      </c>
      <c r="D25">
        <f t="shared" si="0"/>
        <v>68</v>
      </c>
      <c r="E25" s="1">
        <f>E17/0.7</f>
        <v>17.142857142857142</v>
      </c>
    </row>
    <row r="26" spans="3:6">
      <c r="C26">
        <v>13</v>
      </c>
      <c r="D26">
        <f t="shared" si="0"/>
        <v>67</v>
      </c>
      <c r="E26" s="1">
        <f>E17/0.7</f>
        <v>17.142857142857142</v>
      </c>
    </row>
    <row r="27" spans="3:6">
      <c r="C27">
        <v>13</v>
      </c>
      <c r="D27">
        <f t="shared" si="0"/>
        <v>66</v>
      </c>
      <c r="E27" s="1">
        <f>E17/0.7</f>
        <v>17.142857142857142</v>
      </c>
    </row>
    <row r="28" spans="3:6">
      <c r="C28">
        <v>13</v>
      </c>
      <c r="D28">
        <f t="shared" si="0"/>
        <v>65</v>
      </c>
      <c r="E28" s="1">
        <f>E17/0.7</f>
        <v>17.142857142857142</v>
      </c>
    </row>
    <row r="29" spans="3:6">
      <c r="C29">
        <v>13</v>
      </c>
      <c r="D29">
        <f t="shared" si="0"/>
        <v>64</v>
      </c>
      <c r="E29" s="1">
        <v>17.142857142857142</v>
      </c>
    </row>
    <row r="30" spans="3:6">
      <c r="C30">
        <v>13</v>
      </c>
      <c r="D30">
        <f t="shared" si="0"/>
        <v>63</v>
      </c>
      <c r="E30" s="1">
        <v>17.142857142857142</v>
      </c>
    </row>
    <row r="31" spans="3:6">
      <c r="C31">
        <v>13</v>
      </c>
      <c r="D31">
        <f t="shared" si="0"/>
        <v>62</v>
      </c>
      <c r="E31" s="1">
        <v>17.142857142857142</v>
      </c>
    </row>
    <row r="32" spans="3:6">
      <c r="C32">
        <v>13</v>
      </c>
      <c r="D32">
        <f t="shared" si="0"/>
        <v>61</v>
      </c>
      <c r="E32" s="1">
        <v>17.142857142857142</v>
      </c>
    </row>
    <row r="33" spans="3:5">
      <c r="C33">
        <v>13</v>
      </c>
      <c r="D33">
        <f t="shared" si="0"/>
        <v>60</v>
      </c>
      <c r="E33" s="1">
        <v>17.142857142857142</v>
      </c>
    </row>
    <row r="34" spans="3:5">
      <c r="C34">
        <v>13</v>
      </c>
      <c r="D34">
        <f t="shared" ref="D34:D89" si="1">D33-1</f>
        <v>59</v>
      </c>
      <c r="E34" s="1">
        <v>17.142857142857142</v>
      </c>
    </row>
    <row r="35" spans="3:5">
      <c r="C35">
        <v>13</v>
      </c>
      <c r="D35">
        <f t="shared" si="1"/>
        <v>58</v>
      </c>
      <c r="E35" s="1">
        <v>17.142857142857142</v>
      </c>
    </row>
    <row r="36" spans="3:5">
      <c r="C36">
        <v>13</v>
      </c>
      <c r="D36">
        <f t="shared" si="1"/>
        <v>57</v>
      </c>
      <c r="E36" s="1">
        <v>17.142857142857142</v>
      </c>
    </row>
    <row r="37" spans="3:5">
      <c r="C37">
        <v>13</v>
      </c>
      <c r="D37">
        <f t="shared" si="1"/>
        <v>56</v>
      </c>
      <c r="E37" s="1">
        <v>17.142857142857142</v>
      </c>
    </row>
    <row r="38" spans="3:5">
      <c r="C38">
        <v>13</v>
      </c>
      <c r="D38">
        <f t="shared" si="1"/>
        <v>55</v>
      </c>
      <c r="E38" s="1">
        <v>17.142857142857142</v>
      </c>
    </row>
    <row r="39" spans="3:5">
      <c r="C39">
        <v>13</v>
      </c>
      <c r="D39">
        <f t="shared" si="1"/>
        <v>54</v>
      </c>
      <c r="E39" s="1">
        <v>17.142857142857142</v>
      </c>
    </row>
    <row r="40" spans="3:5">
      <c r="C40">
        <v>13</v>
      </c>
      <c r="D40">
        <f t="shared" si="1"/>
        <v>53</v>
      </c>
      <c r="E40" s="1">
        <v>17.142857142857142</v>
      </c>
    </row>
    <row r="41" spans="3:5">
      <c r="C41">
        <v>13</v>
      </c>
      <c r="D41">
        <f t="shared" si="1"/>
        <v>52</v>
      </c>
      <c r="E41" s="1">
        <v>17.142857142857142</v>
      </c>
    </row>
    <row r="42" spans="3:5">
      <c r="C42">
        <v>13</v>
      </c>
      <c r="D42">
        <f t="shared" si="1"/>
        <v>51</v>
      </c>
      <c r="E42" s="1">
        <v>17.142857142857142</v>
      </c>
    </row>
    <row r="43" spans="3:5">
      <c r="C43">
        <v>13</v>
      </c>
      <c r="D43">
        <f t="shared" si="1"/>
        <v>50</v>
      </c>
      <c r="E43" s="1">
        <v>17.142857142857142</v>
      </c>
    </row>
    <row r="44" spans="3:5">
      <c r="C44">
        <v>13</v>
      </c>
      <c r="D44">
        <f t="shared" si="1"/>
        <v>49</v>
      </c>
      <c r="E44" s="1">
        <v>17.142857142857142</v>
      </c>
    </row>
    <row r="45" spans="3:5">
      <c r="C45">
        <v>13</v>
      </c>
      <c r="D45">
        <f t="shared" si="1"/>
        <v>48</v>
      </c>
      <c r="E45" s="1">
        <v>17.142857142857142</v>
      </c>
    </row>
    <row r="46" spans="3:5">
      <c r="C46">
        <v>13</v>
      </c>
      <c r="D46">
        <f t="shared" si="1"/>
        <v>47</v>
      </c>
      <c r="E46" s="1">
        <v>17.142857142857142</v>
      </c>
    </row>
    <row r="47" spans="3:5">
      <c r="C47">
        <v>13</v>
      </c>
      <c r="D47">
        <f t="shared" si="1"/>
        <v>46</v>
      </c>
      <c r="E47" s="1">
        <v>17.142857142857142</v>
      </c>
    </row>
    <row r="48" spans="3:5">
      <c r="C48">
        <v>13</v>
      </c>
      <c r="D48">
        <f t="shared" si="1"/>
        <v>45</v>
      </c>
      <c r="E48" s="1">
        <v>17.142857142857142</v>
      </c>
    </row>
    <row r="49" spans="3:5">
      <c r="C49">
        <v>13</v>
      </c>
      <c r="D49">
        <f t="shared" si="1"/>
        <v>44</v>
      </c>
      <c r="E49" s="1">
        <v>17.142857142857142</v>
      </c>
    </row>
    <row r="50" spans="3:5">
      <c r="C50">
        <v>13</v>
      </c>
      <c r="D50">
        <f t="shared" si="1"/>
        <v>43</v>
      </c>
      <c r="E50" s="1">
        <v>17.142857142857142</v>
      </c>
    </row>
    <row r="51" spans="3:5">
      <c r="C51">
        <v>13</v>
      </c>
      <c r="D51">
        <f t="shared" si="1"/>
        <v>42</v>
      </c>
      <c r="E51" s="1">
        <v>17.142857142857142</v>
      </c>
    </row>
    <row r="52" spans="3:5">
      <c r="C52">
        <v>13</v>
      </c>
      <c r="D52">
        <f t="shared" si="1"/>
        <v>41</v>
      </c>
      <c r="E52" s="1">
        <v>17.142857142857142</v>
      </c>
    </row>
    <row r="53" spans="3:5">
      <c r="C53">
        <v>13</v>
      </c>
      <c r="D53">
        <f t="shared" si="1"/>
        <v>40</v>
      </c>
      <c r="E53" s="1">
        <v>17.142857142857142</v>
      </c>
    </row>
    <row r="54" spans="3:5">
      <c r="C54">
        <v>13</v>
      </c>
      <c r="D54">
        <f t="shared" si="1"/>
        <v>39</v>
      </c>
      <c r="E54" s="1">
        <v>17.142857142857142</v>
      </c>
    </row>
    <row r="55" spans="3:5">
      <c r="C55">
        <v>13</v>
      </c>
      <c r="D55">
        <f t="shared" si="1"/>
        <v>38</v>
      </c>
      <c r="E55" s="1">
        <v>17.142857142857142</v>
      </c>
    </row>
    <row r="56" spans="3:5">
      <c r="C56">
        <v>13</v>
      </c>
      <c r="D56">
        <f t="shared" si="1"/>
        <v>37</v>
      </c>
      <c r="E56" s="1">
        <v>17.142857142857142</v>
      </c>
    </row>
    <row r="57" spans="3:5">
      <c r="C57">
        <v>13</v>
      </c>
      <c r="D57">
        <f t="shared" si="1"/>
        <v>36</v>
      </c>
      <c r="E57" s="1">
        <v>17.142857142857142</v>
      </c>
    </row>
    <row r="58" spans="3:5">
      <c r="C58">
        <v>13</v>
      </c>
      <c r="D58">
        <f t="shared" si="1"/>
        <v>35</v>
      </c>
      <c r="E58" s="1">
        <v>17.142857142857142</v>
      </c>
    </row>
    <row r="59" spans="3:5">
      <c r="C59">
        <v>13</v>
      </c>
      <c r="D59">
        <f t="shared" si="1"/>
        <v>34</v>
      </c>
      <c r="E59" s="1">
        <v>17.142857142857142</v>
      </c>
    </row>
    <row r="60" spans="3:5">
      <c r="C60">
        <v>13</v>
      </c>
      <c r="D60">
        <f t="shared" si="1"/>
        <v>33</v>
      </c>
      <c r="E60" s="1">
        <v>17.142857142857142</v>
      </c>
    </row>
    <row r="61" spans="3:5">
      <c r="C61">
        <v>13</v>
      </c>
      <c r="D61">
        <f t="shared" si="1"/>
        <v>32</v>
      </c>
      <c r="E61" s="1">
        <v>17.142857142857142</v>
      </c>
    </row>
    <row r="62" spans="3:5">
      <c r="C62">
        <v>13</v>
      </c>
      <c r="D62">
        <f t="shared" si="1"/>
        <v>31</v>
      </c>
      <c r="E62" s="1">
        <v>17.142857142857142</v>
      </c>
    </row>
    <row r="63" spans="3:5">
      <c r="C63">
        <v>13</v>
      </c>
      <c r="D63">
        <f t="shared" si="1"/>
        <v>30</v>
      </c>
      <c r="E63" s="1">
        <v>17.142857142857142</v>
      </c>
    </row>
    <row r="64" spans="3:5">
      <c r="C64">
        <v>13</v>
      </c>
      <c r="D64">
        <f t="shared" si="1"/>
        <v>29</v>
      </c>
      <c r="E64" s="1">
        <v>17.142857142857142</v>
      </c>
    </row>
    <row r="65" spans="3:5">
      <c r="C65">
        <v>13</v>
      </c>
      <c r="D65">
        <f t="shared" si="1"/>
        <v>28</v>
      </c>
      <c r="E65" s="1">
        <v>17.142857142857142</v>
      </c>
    </row>
    <row r="66" spans="3:5">
      <c r="C66">
        <v>13</v>
      </c>
      <c r="D66">
        <f t="shared" si="1"/>
        <v>27</v>
      </c>
      <c r="E66" s="1">
        <v>17.142857142857142</v>
      </c>
    </row>
    <row r="67" spans="3:5">
      <c r="C67">
        <v>13</v>
      </c>
      <c r="D67">
        <f t="shared" si="1"/>
        <v>26</v>
      </c>
      <c r="E67" s="1">
        <v>17.142857142857142</v>
      </c>
    </row>
    <row r="68" spans="3:5">
      <c r="C68">
        <v>13</v>
      </c>
      <c r="D68">
        <f t="shared" si="1"/>
        <v>25</v>
      </c>
      <c r="E68" s="1">
        <v>17.142857142857142</v>
      </c>
    </row>
    <row r="69" spans="3:5">
      <c r="C69">
        <v>13</v>
      </c>
      <c r="D69">
        <f t="shared" si="1"/>
        <v>24</v>
      </c>
      <c r="E69" s="1">
        <v>17.142857142857142</v>
      </c>
    </row>
    <row r="70" spans="3:5">
      <c r="C70">
        <v>13</v>
      </c>
      <c r="D70">
        <f t="shared" si="1"/>
        <v>23</v>
      </c>
      <c r="E70" s="1">
        <v>17.142857142857142</v>
      </c>
    </row>
    <row r="71" spans="3:5">
      <c r="C71">
        <v>13</v>
      </c>
      <c r="D71">
        <f t="shared" si="1"/>
        <v>22</v>
      </c>
      <c r="E71" s="1">
        <v>17.142857142857142</v>
      </c>
    </row>
    <row r="72" spans="3:5">
      <c r="C72">
        <v>13</v>
      </c>
      <c r="D72">
        <f t="shared" si="1"/>
        <v>21</v>
      </c>
      <c r="E72" s="1">
        <v>17.142857142857142</v>
      </c>
    </row>
    <row r="73" spans="3:5">
      <c r="C73">
        <v>13</v>
      </c>
      <c r="D73">
        <f t="shared" si="1"/>
        <v>20</v>
      </c>
      <c r="E73" s="1">
        <v>17.142857142857142</v>
      </c>
    </row>
    <row r="74" spans="3:5">
      <c r="C74">
        <v>13</v>
      </c>
      <c r="D74">
        <f t="shared" si="1"/>
        <v>19</v>
      </c>
      <c r="E74" s="1">
        <v>17.142857142857142</v>
      </c>
    </row>
    <row r="75" spans="3:5">
      <c r="C75">
        <v>13</v>
      </c>
      <c r="D75">
        <f t="shared" si="1"/>
        <v>18</v>
      </c>
      <c r="E75" s="1">
        <v>17.142857142857142</v>
      </c>
    </row>
    <row r="76" spans="3:5">
      <c r="C76">
        <v>13</v>
      </c>
      <c r="D76">
        <f t="shared" si="1"/>
        <v>17</v>
      </c>
      <c r="E76" s="1">
        <v>17.142857142857142</v>
      </c>
    </row>
    <row r="77" spans="3:5">
      <c r="C77">
        <v>13</v>
      </c>
      <c r="D77">
        <f t="shared" si="1"/>
        <v>16</v>
      </c>
      <c r="E77" s="1">
        <v>17.142857142857142</v>
      </c>
    </row>
    <row r="78" spans="3:5">
      <c r="C78">
        <v>13</v>
      </c>
      <c r="D78">
        <f t="shared" si="1"/>
        <v>15</v>
      </c>
      <c r="E78" s="1">
        <v>17.142857142857142</v>
      </c>
    </row>
    <row r="79" spans="3:5">
      <c r="C79">
        <v>13</v>
      </c>
      <c r="D79">
        <f t="shared" si="1"/>
        <v>14</v>
      </c>
      <c r="E79" s="1">
        <v>17.142857142857142</v>
      </c>
    </row>
    <row r="80" spans="3:5">
      <c r="C80">
        <v>13</v>
      </c>
      <c r="D80">
        <f t="shared" si="1"/>
        <v>13</v>
      </c>
      <c r="E80" s="1">
        <v>17.142857142857142</v>
      </c>
    </row>
    <row r="81" spans="3:5">
      <c r="C81">
        <v>13</v>
      </c>
      <c r="D81">
        <f t="shared" si="1"/>
        <v>12</v>
      </c>
      <c r="E81" s="1">
        <v>17.142857142857142</v>
      </c>
    </row>
    <row r="82" spans="3:5">
      <c r="C82">
        <v>13</v>
      </c>
      <c r="D82">
        <f t="shared" si="1"/>
        <v>11</v>
      </c>
      <c r="E82" s="1">
        <v>17.142857142857142</v>
      </c>
    </row>
    <row r="83" spans="3:5">
      <c r="C83">
        <v>13</v>
      </c>
      <c r="D83">
        <f t="shared" si="1"/>
        <v>10</v>
      </c>
      <c r="E83" s="1">
        <v>17.142857142857142</v>
      </c>
    </row>
    <row r="84" spans="3:5">
      <c r="C84">
        <v>13</v>
      </c>
      <c r="D84">
        <f t="shared" si="1"/>
        <v>9</v>
      </c>
      <c r="E84" s="1">
        <v>17.142857142857142</v>
      </c>
    </row>
    <row r="85" spans="3:5">
      <c r="C85">
        <v>13</v>
      </c>
      <c r="D85">
        <f t="shared" si="1"/>
        <v>8</v>
      </c>
      <c r="E85" s="1">
        <v>17.142857142857142</v>
      </c>
    </row>
    <row r="86" spans="3:5">
      <c r="C86">
        <v>13</v>
      </c>
      <c r="D86">
        <f t="shared" si="1"/>
        <v>7</v>
      </c>
      <c r="E86" s="1">
        <v>17.142857142857142</v>
      </c>
    </row>
    <row r="87" spans="3:5">
      <c r="C87">
        <v>13</v>
      </c>
      <c r="D87">
        <f t="shared" si="1"/>
        <v>6</v>
      </c>
      <c r="E87" s="1">
        <v>17.142857142857142</v>
      </c>
    </row>
    <row r="88" spans="3:5">
      <c r="C88">
        <v>13</v>
      </c>
      <c r="D88">
        <f t="shared" si="1"/>
        <v>5</v>
      </c>
      <c r="E88" s="1">
        <v>17.142857142857142</v>
      </c>
    </row>
    <row r="89" spans="3:5">
      <c r="C89">
        <v>13</v>
      </c>
      <c r="D89">
        <f t="shared" si="1"/>
        <v>4</v>
      </c>
      <c r="E89" s="1">
        <v>17.142857142857142</v>
      </c>
    </row>
  </sheetData>
  <customSheetViews>
    <customSheetView guid="{7663E1A9-6243-4C84-AC6E-7B523F6FB71A}" state="hidden">
      <selection activeCell="B10" sqref="B10"/>
      <pageMargins left="0.75" right="0.75" top="1" bottom="1" header="0.5" footer="0.5"/>
      <pageSetup orientation="landscape" r:id="rId1"/>
      <headerFooter alignWithMargins="0"/>
    </customSheetView>
    <customSheetView guid="{BBC81B30-D89B-4B72-A8DB-9AA4271FD83F}" state="hidden">
      <selection activeCell="B10" sqref="B10"/>
      <pageMargins left="0.75" right="0.75" top="1" bottom="1" header="0.5" footer="0.5"/>
      <pageSetup orientation="landscape" r:id="rId2"/>
      <headerFooter alignWithMargins="0"/>
    </customSheetView>
  </customSheetViews>
  <phoneticPr fontId="4" type="noConversion"/>
  <pageMargins left="0.75" right="0.75" top="1" bottom="1" header="0.5" footer="0.5"/>
  <pageSetup orientation="landscape" r:id="rId3"/>
  <headerFooter alignWithMargins="0"/>
  <drawing r:id="rId4"/>
</worksheet>
</file>

<file path=xl/worksheets/sheet5.xml><?xml version="1.0" encoding="utf-8"?>
<worksheet xmlns="http://schemas.openxmlformats.org/spreadsheetml/2006/main" xmlns:r="http://schemas.openxmlformats.org/officeDocument/2006/relationships">
  <dimension ref="B4:M13"/>
  <sheetViews>
    <sheetView workbookViewId="0">
      <selection activeCell="K36" sqref="K35:K36"/>
    </sheetView>
  </sheetViews>
  <sheetFormatPr defaultRowHeight="12.75"/>
  <cols>
    <col min="5" max="6" width="12" bestFit="1" customWidth="1"/>
    <col min="7" max="7" width="13.7109375" bestFit="1" customWidth="1"/>
    <col min="8" max="8" width="12.7109375" bestFit="1" customWidth="1"/>
    <col min="9" max="10" width="10.7109375" bestFit="1" customWidth="1"/>
  </cols>
  <sheetData>
    <row r="4" spans="2:13">
      <c r="C4" t="s">
        <v>20</v>
      </c>
      <c r="D4" t="s">
        <v>19</v>
      </c>
      <c r="E4" t="s">
        <v>76</v>
      </c>
      <c r="F4" t="s">
        <v>77</v>
      </c>
      <c r="G4" t="s">
        <v>78</v>
      </c>
      <c r="H4" t="s">
        <v>79</v>
      </c>
      <c r="I4" t="s">
        <v>80</v>
      </c>
      <c r="J4" t="s">
        <v>81</v>
      </c>
    </row>
    <row r="7" spans="2:13">
      <c r="C7">
        <f>Vinmin</f>
        <v>8</v>
      </c>
      <c r="D7">
        <f>Vinmax</f>
        <v>24</v>
      </c>
      <c r="E7">
        <f>1.15*Vout</f>
        <v>15.639999999999999</v>
      </c>
      <c r="F7">
        <f>Vout/0.75</f>
        <v>18.133333333333333</v>
      </c>
      <c r="G7">
        <f>Vinmin</f>
        <v>8</v>
      </c>
      <c r="H7">
        <f>E7</f>
        <v>15.639999999999999</v>
      </c>
      <c r="I7">
        <f>Vout/0.75</f>
        <v>18.133333333333333</v>
      </c>
      <c r="J7">
        <f>Vinmax</f>
        <v>24</v>
      </c>
      <c r="L7">
        <f>Vout</f>
        <v>13.6</v>
      </c>
      <c r="M7" t="e">
        <f>Vin_nominal</f>
        <v>#REF!</v>
      </c>
    </row>
    <row r="8" spans="2:13">
      <c r="C8" t="s">
        <v>87</v>
      </c>
      <c r="G8">
        <v>5</v>
      </c>
      <c r="H8">
        <f>IF(Vinmax&lt;H7,Vinmax,H7)</f>
        <v>15.639999999999999</v>
      </c>
    </row>
    <row r="9" spans="2:13">
      <c r="C9" t="s">
        <v>88</v>
      </c>
      <c r="F9">
        <f>IF(Vinmax&gt;F7,F7,IF(Vinmax&gt;E7,Vinmax,0))</f>
        <v>18.133333333333333</v>
      </c>
    </row>
    <row r="10" spans="2:13">
      <c r="C10" t="s">
        <v>89</v>
      </c>
      <c r="F10">
        <f>F9-H8</f>
        <v>2.4933333333333341</v>
      </c>
    </row>
    <row r="12" spans="2:13">
      <c r="B12" t="s">
        <v>83</v>
      </c>
      <c r="C12" t="s">
        <v>85</v>
      </c>
      <c r="H12">
        <f>IF(Vinmax&gt;F7,Vinmax,0)</f>
        <v>24</v>
      </c>
    </row>
    <row r="13" spans="2:13">
      <c r="B13" t="s">
        <v>84</v>
      </c>
      <c r="C13" t="s">
        <v>86</v>
      </c>
      <c r="H13">
        <f>H12-F7</f>
        <v>5.8666666666666671</v>
      </c>
    </row>
  </sheetData>
  <customSheetViews>
    <customSheetView guid="{7663E1A9-6243-4C84-AC6E-7B523F6FB71A}" state="hidden">
      <selection activeCell="K36" sqref="K35:K36"/>
      <pageMargins left="0.75" right="0.75" top="1" bottom="1" header="0.5" footer="0.5"/>
      <headerFooter alignWithMargins="0"/>
    </customSheetView>
    <customSheetView guid="{BBC81B30-D89B-4B72-A8DB-9AA4271FD83F}" state="hidden">
      <selection activeCell="K36" sqref="K35:K36"/>
      <pageMargins left="0.75" right="0.75" top="1" bottom="1" header="0.5" footer="0.5"/>
      <headerFooter alignWithMargins="0"/>
    </customSheetView>
  </customSheetViews>
  <phoneticPr fontId="4"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41</vt:i4>
      </vt:variant>
    </vt:vector>
  </HeadingPairs>
  <TitlesOfParts>
    <vt:vector size="46" baseType="lpstr">
      <vt:lpstr>LM5118 Calculator</vt:lpstr>
      <vt:lpstr>Bill of Materials</vt:lpstr>
      <vt:lpstr>Bode Plots</vt:lpstr>
      <vt:lpstr>Worksheet</vt:lpstr>
      <vt:lpstr>Graph</vt:lpstr>
      <vt:lpstr>_Rfb1</vt:lpstr>
      <vt:lpstr>_Rfb2</vt:lpstr>
      <vt:lpstr>_Ruv1</vt:lpstr>
      <vt:lpstr>_Ruv2</vt:lpstr>
      <vt:lpstr>BuckBoostMode</vt:lpstr>
      <vt:lpstr>BuckMode</vt:lpstr>
      <vt:lpstr>Ccomp</vt:lpstr>
      <vt:lpstr>Chb</vt:lpstr>
      <vt:lpstr>Chf</vt:lpstr>
      <vt:lpstr>Cin</vt:lpstr>
      <vt:lpstr>CinESR</vt:lpstr>
      <vt:lpstr>Cout</vt:lpstr>
      <vt:lpstr>Coutesr</vt:lpstr>
      <vt:lpstr>Cpole</vt:lpstr>
      <vt:lpstr>Cr</vt:lpstr>
      <vt:lpstr>Cramp</vt:lpstr>
      <vt:lpstr>Css</vt:lpstr>
      <vt:lpstr>Cvcc</vt:lpstr>
      <vt:lpstr>Czero</vt:lpstr>
      <vt:lpstr>DeltaVout</vt:lpstr>
      <vt:lpstr>Fsw</vt:lpstr>
      <vt:lpstr>Iout</vt:lpstr>
      <vt:lpstr>IpeakBB</vt:lpstr>
      <vt:lpstr>IpeakBuck</vt:lpstr>
      <vt:lpstr>IrippleBB</vt:lpstr>
      <vt:lpstr>IrippleBuck</vt:lpstr>
      <vt:lpstr>L</vt:lpstr>
      <vt:lpstr>Lboost</vt:lpstr>
      <vt:lpstr>Lbuck</vt:lpstr>
      <vt:lpstr>'Bill of Materials'!LM5118_EVAL_A9_BOM</vt:lpstr>
      <vt:lpstr>'LM5118 Calculator'!Print_Area</vt:lpstr>
      <vt:lpstr>Worksheet!Print_Area</vt:lpstr>
      <vt:lpstr>Rcomp</vt:lpstr>
      <vt:lpstr>Ripple</vt:lpstr>
      <vt:lpstr>Rramp</vt:lpstr>
      <vt:lpstr>Rs</vt:lpstr>
      <vt:lpstr>Rt</vt:lpstr>
      <vt:lpstr>Vccx</vt:lpstr>
      <vt:lpstr>Vinmax</vt:lpstr>
      <vt:lpstr>Vinmin</vt:lpstr>
      <vt:lpstr>Vout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crmcsc</dc:creator>
  <cp:lastModifiedBy>Cameron</cp:lastModifiedBy>
  <cp:lastPrinted>2008-06-11T20:17:48Z</cp:lastPrinted>
  <dcterms:created xsi:type="dcterms:W3CDTF">2007-04-04T22:20:21Z</dcterms:created>
  <dcterms:modified xsi:type="dcterms:W3CDTF">2011-12-07T22:01:30Z</dcterms:modified>
</cp:coreProperties>
</file>