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266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2" l="1"/>
  <c r="I4" i="1"/>
  <c r="Q5" i="2"/>
  <c r="I9" i="2"/>
  <c r="E7" i="2"/>
  <c r="E10" i="2" s="1"/>
  <c r="N6" i="2"/>
  <c r="I6" i="2"/>
  <c r="E6" i="2"/>
  <c r="E5" i="2"/>
  <c r="B4" i="2"/>
  <c r="N6" i="1"/>
  <c r="I9" i="1"/>
  <c r="I6" i="1"/>
  <c r="E8" i="1"/>
  <c r="E9" i="1" s="1"/>
  <c r="Q5" i="1" s="1"/>
  <c r="Q6" i="1" s="1"/>
  <c r="Q7" i="1" s="1"/>
  <c r="E7" i="1"/>
  <c r="E10" i="1" s="1"/>
  <c r="E6" i="1"/>
  <c r="E5" i="1"/>
  <c r="B4" i="1"/>
  <c r="I5" i="2" l="1"/>
  <c r="I10" i="2"/>
  <c r="I11" i="2" s="1"/>
  <c r="E8" i="2"/>
  <c r="E9" i="2" s="1"/>
  <c r="Q6" i="2" s="1"/>
  <c r="Q7" i="2" s="1"/>
  <c r="I10" i="1"/>
  <c r="I11" i="1" s="1"/>
  <c r="I5" i="1"/>
</calcChain>
</file>

<file path=xl/sharedStrings.xml><?xml version="1.0" encoding="utf-8"?>
<sst xmlns="http://schemas.openxmlformats.org/spreadsheetml/2006/main" count="283" uniqueCount="82">
  <si>
    <t>R1</t>
  </si>
  <si>
    <t>FB Pin</t>
  </si>
  <si>
    <t>Switching Frequency</t>
  </si>
  <si>
    <t>Mhz</t>
  </si>
  <si>
    <t>Rt</t>
  </si>
  <si>
    <t>V</t>
  </si>
  <si>
    <t>Inductor</t>
  </si>
  <si>
    <t>A</t>
  </si>
  <si>
    <t>uH</t>
  </si>
  <si>
    <t>L</t>
  </si>
  <si>
    <t>Must be &lt; 9A</t>
  </si>
  <si>
    <r>
      <t>V</t>
    </r>
    <r>
      <rPr>
        <sz val="8"/>
        <color theme="1"/>
        <rFont val="Calibri"/>
        <family val="2"/>
        <scheme val="minor"/>
      </rPr>
      <t>OUT</t>
    </r>
  </si>
  <si>
    <r>
      <t>V</t>
    </r>
    <r>
      <rPr>
        <sz val="8"/>
        <color theme="1"/>
        <rFont val="Calibri"/>
        <family val="2"/>
        <scheme val="minor"/>
      </rPr>
      <t>LS</t>
    </r>
  </si>
  <si>
    <r>
      <t>V</t>
    </r>
    <r>
      <rPr>
        <sz val="8"/>
        <color theme="1"/>
        <rFont val="Calibri"/>
        <family val="2"/>
        <scheme val="minor"/>
      </rPr>
      <t>SW</t>
    </r>
  </si>
  <si>
    <r>
      <t>V</t>
    </r>
    <r>
      <rPr>
        <sz val="8"/>
        <color theme="1"/>
        <rFont val="Calibri"/>
        <family val="2"/>
        <scheme val="minor"/>
      </rPr>
      <t>IN</t>
    </r>
  </si>
  <si>
    <r>
      <t>t</t>
    </r>
    <r>
      <rPr>
        <sz val="8"/>
        <color theme="1"/>
        <rFont val="Calibri"/>
        <family val="2"/>
        <scheme val="minor"/>
      </rPr>
      <t>ON(MIN)</t>
    </r>
  </si>
  <si>
    <r>
      <t>I</t>
    </r>
    <r>
      <rPr>
        <sz val="8"/>
        <color theme="1"/>
        <rFont val="Calibri"/>
        <family val="2"/>
        <scheme val="minor"/>
      </rPr>
      <t>OUT</t>
    </r>
  </si>
  <si>
    <r>
      <t>R</t>
    </r>
    <r>
      <rPr>
        <sz val="8"/>
        <color theme="1"/>
        <rFont val="Calibri"/>
        <family val="2"/>
        <scheme val="minor"/>
      </rPr>
      <t>1</t>
    </r>
  </si>
  <si>
    <r>
      <t>R</t>
    </r>
    <r>
      <rPr>
        <sz val="8"/>
        <color theme="1"/>
        <rFont val="Calibri"/>
        <family val="2"/>
        <scheme val="minor"/>
      </rPr>
      <t>2</t>
    </r>
  </si>
  <si>
    <r>
      <t>F</t>
    </r>
    <r>
      <rPr>
        <sz val="8"/>
        <color theme="1"/>
        <rFont val="Calibri"/>
        <family val="2"/>
        <scheme val="minor"/>
      </rPr>
      <t>SW</t>
    </r>
  </si>
  <si>
    <r>
      <t>F</t>
    </r>
    <r>
      <rPr>
        <sz val="8"/>
        <color theme="1"/>
        <rFont val="Calibri"/>
        <family val="2"/>
        <scheme val="minor"/>
      </rPr>
      <t>SW(MAX)</t>
    </r>
  </si>
  <si>
    <r>
      <t>DC</t>
    </r>
    <r>
      <rPr>
        <sz val="8"/>
        <color theme="1"/>
        <rFont val="Calibri"/>
        <family val="2"/>
        <scheme val="minor"/>
      </rPr>
      <t>MIN</t>
    </r>
  </si>
  <si>
    <r>
      <t>DC</t>
    </r>
    <r>
      <rPr>
        <sz val="8"/>
        <color theme="1"/>
        <rFont val="Calibri"/>
        <family val="2"/>
        <scheme val="minor"/>
      </rPr>
      <t>MAX</t>
    </r>
  </si>
  <si>
    <r>
      <t>V</t>
    </r>
    <r>
      <rPr>
        <sz val="8"/>
        <color theme="1"/>
        <rFont val="Calibri"/>
        <family val="2"/>
        <scheme val="minor"/>
      </rPr>
      <t>IN(MIN)</t>
    </r>
  </si>
  <si>
    <r>
      <t>V</t>
    </r>
    <r>
      <rPr>
        <sz val="8"/>
        <color theme="1"/>
        <rFont val="Calibri"/>
        <family val="2"/>
        <scheme val="minor"/>
      </rPr>
      <t>IN(MAX)</t>
    </r>
  </si>
  <si>
    <r>
      <t>I</t>
    </r>
    <r>
      <rPr>
        <sz val="8"/>
        <color theme="1"/>
        <rFont val="Calibri"/>
        <family val="2"/>
        <scheme val="minor"/>
      </rPr>
      <t>L(PEAK)</t>
    </r>
  </si>
  <si>
    <r>
      <t>L</t>
    </r>
    <r>
      <rPr>
        <sz val="8"/>
        <color theme="1"/>
        <rFont val="Calibri"/>
        <family val="2"/>
        <scheme val="minor"/>
      </rPr>
      <t>REC</t>
    </r>
  </si>
  <si>
    <r>
      <t>DCR</t>
    </r>
    <r>
      <rPr>
        <sz val="8"/>
        <color theme="1"/>
        <rFont val="Calibri"/>
        <family val="2"/>
        <scheme val="minor"/>
      </rPr>
      <t>MAX</t>
    </r>
  </si>
  <si>
    <r>
      <t>L</t>
    </r>
    <r>
      <rPr>
        <sz val="8"/>
        <color theme="1"/>
        <rFont val="Calibri"/>
        <family val="2"/>
        <scheme val="minor"/>
      </rPr>
      <t>MIN</t>
    </r>
  </si>
  <si>
    <r>
      <t>ΔI</t>
    </r>
    <r>
      <rPr>
        <sz val="8"/>
        <color theme="1"/>
        <rFont val="Calibri"/>
        <family val="2"/>
      </rPr>
      <t>L</t>
    </r>
  </si>
  <si>
    <r>
      <t>I</t>
    </r>
    <r>
      <rPr>
        <sz val="8"/>
        <color theme="1"/>
        <rFont val="Calibri"/>
        <family val="2"/>
      </rPr>
      <t>SW(PK)</t>
    </r>
  </si>
  <si>
    <t>Ω</t>
  </si>
  <si>
    <r>
      <t>K</t>
    </r>
    <r>
      <rPr>
        <sz val="11"/>
        <color theme="1"/>
        <rFont val="Calibri"/>
        <family val="2"/>
      </rPr>
      <t>Ω</t>
    </r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</si>
  <si>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H</t>
    </r>
  </si>
  <si>
    <t>μs</t>
  </si>
  <si>
    <r>
      <t>C</t>
    </r>
    <r>
      <rPr>
        <sz val="8"/>
        <color theme="1"/>
        <rFont val="Calibri"/>
        <family val="2"/>
        <scheme val="minor"/>
      </rPr>
      <t>IN</t>
    </r>
  </si>
  <si>
    <t>μF</t>
  </si>
  <si>
    <r>
      <t>C</t>
    </r>
    <r>
      <rPr>
        <sz val="8"/>
        <color theme="1"/>
        <rFont val="Calibri"/>
        <family val="2"/>
        <scheme val="minor"/>
      </rPr>
      <t>OUT</t>
    </r>
  </si>
  <si>
    <t>uF</t>
  </si>
  <si>
    <t>Capacitors</t>
  </si>
  <si>
    <t>ULVO</t>
  </si>
  <si>
    <r>
      <t>V</t>
    </r>
    <r>
      <rPr>
        <sz val="8"/>
        <color theme="1"/>
        <rFont val="Calibri"/>
        <family val="2"/>
        <scheme val="minor"/>
      </rPr>
      <t>H</t>
    </r>
  </si>
  <si>
    <r>
      <t>V</t>
    </r>
    <r>
      <rPr>
        <sz val="8"/>
        <color theme="1"/>
        <rFont val="Calibri"/>
        <family val="2"/>
        <scheme val="minor"/>
      </rPr>
      <t>L</t>
    </r>
  </si>
  <si>
    <t>R3</t>
  </si>
  <si>
    <r>
      <t>R</t>
    </r>
    <r>
      <rPr>
        <sz val="8"/>
        <color theme="1"/>
        <rFont val="Calibri"/>
        <family val="2"/>
        <scheme val="minor"/>
      </rPr>
      <t>3</t>
    </r>
  </si>
  <si>
    <t>K</t>
  </si>
  <si>
    <r>
      <t>C</t>
    </r>
    <r>
      <rPr>
        <sz val="8"/>
        <color theme="1"/>
        <rFont val="Calibri"/>
        <family val="2"/>
        <scheme val="minor"/>
      </rPr>
      <t>VCCINT</t>
    </r>
  </si>
  <si>
    <r>
      <t>C</t>
    </r>
    <r>
      <rPr>
        <sz val="8"/>
        <color theme="1"/>
        <rFont val="Calibri"/>
        <family val="2"/>
        <scheme val="minor"/>
      </rPr>
      <t>BST</t>
    </r>
  </si>
  <si>
    <t>C</t>
  </si>
  <si>
    <t>100uF</t>
  </si>
  <si>
    <r>
      <t>R</t>
    </r>
    <r>
      <rPr>
        <sz val="8"/>
        <color theme="1"/>
        <rFont val="Calibri"/>
        <family val="2"/>
        <scheme val="minor"/>
      </rPr>
      <t>4</t>
    </r>
  </si>
  <si>
    <t>R4</t>
  </si>
  <si>
    <t>Parts List</t>
  </si>
  <si>
    <t>Resistors</t>
  </si>
  <si>
    <t>R1Acc</t>
  </si>
  <si>
    <t>R3Acc</t>
  </si>
  <si>
    <t>R4Acc</t>
  </si>
  <si>
    <t>100nF</t>
  </si>
  <si>
    <t>0.68uF</t>
  </si>
  <si>
    <t>pF</t>
  </si>
  <si>
    <t>47uF</t>
  </si>
  <si>
    <t>16.9K</t>
  </si>
  <si>
    <t>26.8K</t>
  </si>
  <si>
    <t>56.2K</t>
  </si>
  <si>
    <t>34.8K</t>
  </si>
  <si>
    <t>52.3k</t>
  </si>
  <si>
    <t>31.2K</t>
  </si>
  <si>
    <t>422K</t>
  </si>
  <si>
    <t>634K</t>
  </si>
  <si>
    <t>348K</t>
  </si>
  <si>
    <t>*2</t>
  </si>
  <si>
    <t>82.5K</t>
  </si>
  <si>
    <t>118K</t>
  </si>
  <si>
    <t>64.9K</t>
  </si>
  <si>
    <t>680pF</t>
  </si>
  <si>
    <t xml:space="preserve"> </t>
  </si>
  <si>
    <t>missing component values</t>
  </si>
  <si>
    <t>10k</t>
  </si>
  <si>
    <t>64k9</t>
  </si>
  <si>
    <t>117k</t>
  </si>
  <si>
    <t>33uF</t>
  </si>
  <si>
    <t>10uF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</si>
</sst>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0" fontId="0" fillId="2" borderId="0" xfId="0" applyFill="1"/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2" fontId="0" fillId="3" borderId="0" xfId="0" applyNumberFormat="1" applyFill="1"/>
    <xf numFmtId="0" fontId="2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u.element14.com/panasonic/era6aeb5232v/resistor-0805-52k3-0-1-0-125w/dp/1810675" TargetMode="External"/><Relationship Id="rId13" Type="http://schemas.openxmlformats.org/officeDocument/2006/relationships/hyperlink" Target="http://au.element14.com/panasonic/era6aeb3483v/resistor-0805-348k-0-1-0-125w/dp/1810756" TargetMode="External"/><Relationship Id="rId18" Type="http://schemas.openxmlformats.org/officeDocument/2006/relationships/hyperlink" Target="http://au.element14.com/kemet/c0805c681j5gactu/capacitor-0805-680pf-50v-np0/dp/1414699" TargetMode="External"/><Relationship Id="rId3" Type="http://schemas.openxmlformats.org/officeDocument/2006/relationships/hyperlink" Target="http://au.element14.com/kemet/c1206c107m9pac-tu/capacitor-ceramic-100uf-6-3v-x5r/dp/1601815" TargetMode="External"/><Relationship Id="rId7" Type="http://schemas.openxmlformats.org/officeDocument/2006/relationships/hyperlink" Target="http://au.element14.com/panasonic/era6aeb3482v/resistor-0805-34k8-0-1-0-125w/dp/1810656" TargetMode="External"/><Relationship Id="rId12" Type="http://schemas.openxmlformats.org/officeDocument/2006/relationships/hyperlink" Target="http://au.element14.com/panasonic/era6aeb3483v/resistor-0805-348k-0-1-0-125w/dp/1810756" TargetMode="External"/><Relationship Id="rId17" Type="http://schemas.openxmlformats.org/officeDocument/2006/relationships/hyperlink" Target="http://au.element14.com/kemet/c0805c684k5ractu/capacitor-0805-680nf-50v-x7r/dp/1414702" TargetMode="External"/><Relationship Id="rId2" Type="http://schemas.openxmlformats.org/officeDocument/2006/relationships/hyperlink" Target="http://au.element14.com/kemet/c1206c476m8pac-tu/capacitor-ceramic-47uf-10v-x5r/dp/1601821" TargetMode="External"/><Relationship Id="rId16" Type="http://schemas.openxmlformats.org/officeDocument/2006/relationships/hyperlink" Target="http://au.element14.com/avx/08055c104jat2a/capacitor-mlcc-0805-50v-100nf/dp/1740673" TargetMode="External"/><Relationship Id="rId1" Type="http://schemas.openxmlformats.org/officeDocument/2006/relationships/hyperlink" Target="http://au.element14.com/vishay-dale/ihlp4040dzer4r7m01/inductor-4-7uh-20-17a/dp/1547038" TargetMode="External"/><Relationship Id="rId6" Type="http://schemas.openxmlformats.org/officeDocument/2006/relationships/hyperlink" Target="http://au.element14.com/panasonic/era6aeb5622v/resistor-0805-56k2-0-1-0-125w/dp/1810678" TargetMode="External"/><Relationship Id="rId11" Type="http://schemas.openxmlformats.org/officeDocument/2006/relationships/hyperlink" Target="http://au.element14.com/panasonic/era6aeb6343v/resistor-0805-634k-0-1-0-125w/dp/1810783" TargetMode="External"/><Relationship Id="rId5" Type="http://schemas.openxmlformats.org/officeDocument/2006/relationships/hyperlink" Target="http://au.element14.com/panasonic/era6aeb2672v/resistor-0805-26k7-0-1-0-125w/dp/1810643" TargetMode="External"/><Relationship Id="rId15" Type="http://schemas.openxmlformats.org/officeDocument/2006/relationships/hyperlink" Target="http://au.element14.com/panasonic/era6aeb6492v/resistor-0805-64k9-0-1-0-125w/dp/1810684" TargetMode="External"/><Relationship Id="rId10" Type="http://schemas.openxmlformats.org/officeDocument/2006/relationships/hyperlink" Target="http://au.element14.com/panasonic/era6aeb4223v/resistor-0805-422k-0-1-0-125w/dp/1810764" TargetMode="External"/><Relationship Id="rId4" Type="http://schemas.openxmlformats.org/officeDocument/2006/relationships/hyperlink" Target="http://au.element14.com/panasonic/era6aeb1692v/resistor-0805-16k9-0-1-0-125w/dp/1810623" TargetMode="External"/><Relationship Id="rId9" Type="http://schemas.openxmlformats.org/officeDocument/2006/relationships/hyperlink" Target="http://au.element14.com/welwyn/pcf0805-13-1k2-b-t1/resistor-1k2-0805-5ppm/dp/1108866" TargetMode="External"/><Relationship Id="rId14" Type="http://schemas.openxmlformats.org/officeDocument/2006/relationships/hyperlink" Target="http://au.element14.com/panasonic/era6aeb1183v/resistor-0805-118k-0-1-0-125w/dp/1810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I5" sqref="I5"/>
    </sheetView>
  </sheetViews>
  <sheetFormatPr defaultRowHeight="15" x14ac:dyDescent="0.25"/>
  <sheetData>
    <row r="1" spans="1:25" x14ac:dyDescent="0.25">
      <c r="A1" t="s">
        <v>11</v>
      </c>
      <c r="B1" s="7">
        <v>5</v>
      </c>
      <c r="C1" t="s">
        <v>5</v>
      </c>
      <c r="D1" t="s">
        <v>12</v>
      </c>
      <c r="E1" s="7">
        <v>0.12</v>
      </c>
      <c r="F1" t="s">
        <v>5</v>
      </c>
      <c r="G1" t="s">
        <v>13</v>
      </c>
      <c r="H1" s="7">
        <v>0.37</v>
      </c>
      <c r="I1" t="s">
        <v>5</v>
      </c>
      <c r="J1" t="s">
        <v>14</v>
      </c>
      <c r="K1" s="7">
        <v>24</v>
      </c>
      <c r="M1" t="s">
        <v>15</v>
      </c>
      <c r="N1" s="9">
        <v>0.21</v>
      </c>
      <c r="O1" s="10" t="s">
        <v>34</v>
      </c>
      <c r="T1" t="s">
        <v>9</v>
      </c>
      <c r="U1">
        <v>3.9</v>
      </c>
      <c r="V1" t="s">
        <v>8</v>
      </c>
    </row>
    <row r="2" spans="1:25" x14ac:dyDescent="0.25">
      <c r="A2" t="s">
        <v>16</v>
      </c>
      <c r="B2">
        <v>0.5</v>
      </c>
      <c r="C2" t="s">
        <v>7</v>
      </c>
      <c r="H2" s="1"/>
      <c r="I2" s="1"/>
      <c r="T2" t="s">
        <v>48</v>
      </c>
      <c r="U2">
        <v>33</v>
      </c>
      <c r="V2" t="s">
        <v>38</v>
      </c>
    </row>
    <row r="3" spans="1:25" x14ac:dyDescent="0.25">
      <c r="A3" t="s">
        <v>1</v>
      </c>
      <c r="D3" t="s">
        <v>2</v>
      </c>
      <c r="H3" t="s">
        <v>6</v>
      </c>
      <c r="M3" t="s">
        <v>39</v>
      </c>
      <c r="P3" t="s">
        <v>40</v>
      </c>
      <c r="T3" t="s">
        <v>4</v>
      </c>
      <c r="U3">
        <v>16.899999999999999</v>
      </c>
      <c r="V3" t="s">
        <v>45</v>
      </c>
    </row>
    <row r="4" spans="1:25" x14ac:dyDescent="0.25">
      <c r="A4" t="s">
        <v>17</v>
      </c>
      <c r="B4" s="2">
        <f>B5*(B1/0.8-1)</f>
        <v>52.5</v>
      </c>
      <c r="C4" t="s">
        <v>32</v>
      </c>
      <c r="D4" t="s">
        <v>19</v>
      </c>
      <c r="E4" s="8">
        <v>1</v>
      </c>
      <c r="F4" t="s">
        <v>3</v>
      </c>
      <c r="H4" t="s">
        <v>9</v>
      </c>
      <c r="I4">
        <f>4.7</f>
        <v>4.7</v>
      </c>
      <c r="J4" t="s">
        <v>33</v>
      </c>
      <c r="M4" t="s">
        <v>35</v>
      </c>
      <c r="N4">
        <v>10</v>
      </c>
      <c r="O4" t="s">
        <v>36</v>
      </c>
      <c r="P4" t="s">
        <v>41</v>
      </c>
      <c r="Q4">
        <v>8</v>
      </c>
      <c r="R4" t="s">
        <v>5</v>
      </c>
      <c r="T4" t="s">
        <v>0</v>
      </c>
      <c r="U4">
        <v>56.2</v>
      </c>
      <c r="V4" t="s">
        <v>45</v>
      </c>
      <c r="W4" t="s">
        <v>54</v>
      </c>
      <c r="X4">
        <v>52.3</v>
      </c>
      <c r="Y4" t="s">
        <v>45</v>
      </c>
    </row>
    <row r="5" spans="1:25" x14ac:dyDescent="0.25">
      <c r="A5" t="s">
        <v>18</v>
      </c>
      <c r="B5" s="7">
        <v>10</v>
      </c>
      <c r="C5" t="s">
        <v>32</v>
      </c>
      <c r="D5" t="s">
        <v>4</v>
      </c>
      <c r="E5" s="3">
        <f ca="1">FORECAST(E4,OFFSET($E$12,MATCH(E4,$D$12:$D$25,1)-1,0,2),OFFSET($D$12,MATCH(E4,$D$12:$D$25,1)-1,0,2))</f>
        <v>17.000000000000004</v>
      </c>
      <c r="F5" t="s">
        <v>32</v>
      </c>
      <c r="H5" t="s">
        <v>25</v>
      </c>
      <c r="I5">
        <f>8+(K1-B1)*N1/I4</f>
        <v>8.8489361702127667</v>
      </c>
      <c r="J5" t="s">
        <v>7</v>
      </c>
      <c r="K5" t="s">
        <v>10</v>
      </c>
      <c r="P5" t="s">
        <v>42</v>
      </c>
      <c r="Q5">
        <f>E9</f>
        <v>6.731012658227848</v>
      </c>
      <c r="R5" t="s">
        <v>5</v>
      </c>
      <c r="T5" t="s">
        <v>43</v>
      </c>
      <c r="U5">
        <v>442</v>
      </c>
      <c r="V5" t="s">
        <v>45</v>
      </c>
      <c r="W5" t="s">
        <v>55</v>
      </c>
      <c r="X5">
        <v>634</v>
      </c>
      <c r="Y5" t="s">
        <v>45</v>
      </c>
    </row>
    <row r="6" spans="1:25" x14ac:dyDescent="0.25">
      <c r="D6" t="s">
        <v>20</v>
      </c>
      <c r="E6" s="2">
        <f>(B1+E1)/(N1*(K1-H1+E1))</f>
        <v>1.0265664160401002</v>
      </c>
      <c r="F6" t="s">
        <v>3</v>
      </c>
      <c r="H6" t="s">
        <v>26</v>
      </c>
      <c r="I6">
        <f>(B1+E1)*0.67/E4</f>
        <v>3.4304000000000001</v>
      </c>
      <c r="J6" t="s">
        <v>8</v>
      </c>
      <c r="M6" t="s">
        <v>37</v>
      </c>
      <c r="N6">
        <f>150/(B1*E4)</f>
        <v>30</v>
      </c>
      <c r="O6" t="s">
        <v>38</v>
      </c>
      <c r="P6" t="s">
        <v>44</v>
      </c>
      <c r="Q6">
        <f>(Q4-Q5)/0.002</f>
        <v>634.49367088607596</v>
      </c>
      <c r="R6" t="s">
        <v>32</v>
      </c>
      <c r="T6" t="s">
        <v>51</v>
      </c>
      <c r="U6">
        <v>82.5</v>
      </c>
      <c r="V6" t="s">
        <v>45</v>
      </c>
      <c r="W6" t="s">
        <v>56</v>
      </c>
      <c r="X6">
        <v>117</v>
      </c>
      <c r="Y6" t="s">
        <v>45</v>
      </c>
    </row>
    <row r="7" spans="1:25" x14ac:dyDescent="0.25">
      <c r="D7" t="s">
        <v>21</v>
      </c>
      <c r="E7" s="4">
        <f>E4*N1</f>
        <v>0.21</v>
      </c>
      <c r="P7" t="s">
        <v>43</v>
      </c>
      <c r="Q7">
        <f>Q6*1/(Q4/1.25-1)</f>
        <v>117.49882794186591</v>
      </c>
      <c r="R7" t="s">
        <v>32</v>
      </c>
    </row>
    <row r="8" spans="1:25" x14ac:dyDescent="0.25">
      <c r="D8" t="s">
        <v>22</v>
      </c>
      <c r="E8" s="4">
        <f>1-E7</f>
        <v>0.79</v>
      </c>
      <c r="H8" t="s">
        <v>27</v>
      </c>
      <c r="I8">
        <v>0.03</v>
      </c>
      <c r="J8" s="10" t="s">
        <v>31</v>
      </c>
      <c r="M8" t="s">
        <v>46</v>
      </c>
      <c r="N8">
        <v>0.47</v>
      </c>
      <c r="O8" t="s">
        <v>38</v>
      </c>
    </row>
    <row r="9" spans="1:25" x14ac:dyDescent="0.25">
      <c r="D9" t="s">
        <v>23</v>
      </c>
      <c r="E9" s="2">
        <f>(B1+E1)/E8-E1+H1</f>
        <v>6.731012658227848</v>
      </c>
      <c r="F9" t="s">
        <v>5</v>
      </c>
      <c r="H9" t="s">
        <v>28</v>
      </c>
      <c r="I9">
        <f>(B1+E1)*0.42/E4</f>
        <v>2.1503999999999999</v>
      </c>
      <c r="J9" t="s">
        <v>33</v>
      </c>
    </row>
    <row r="10" spans="1:25" x14ac:dyDescent="0.25">
      <c r="D10" t="s">
        <v>24</v>
      </c>
      <c r="E10" s="2">
        <f>(B1+E1)/E7-E1+H1</f>
        <v>24.630952380952383</v>
      </c>
      <c r="F10" t="s">
        <v>5</v>
      </c>
      <c r="H10" s="10" t="s">
        <v>29</v>
      </c>
      <c r="I10" s="10">
        <f>(1-E7)*(B1+E1)/(I4*E4)</f>
        <v>0.86059574468085109</v>
      </c>
      <c r="J10" t="s">
        <v>7</v>
      </c>
      <c r="M10" t="s">
        <v>47</v>
      </c>
    </row>
    <row r="11" spans="1:25" x14ac:dyDescent="0.25">
      <c r="D11" s="5">
        <v>0.15</v>
      </c>
      <c r="E11" s="6">
        <v>164</v>
      </c>
      <c r="H11" s="10" t="s">
        <v>30</v>
      </c>
      <c r="I11">
        <f>B2+I10/2</f>
        <v>0.9302978723404256</v>
      </c>
      <c r="J11" t="s">
        <v>7</v>
      </c>
    </row>
    <row r="12" spans="1:25" x14ac:dyDescent="0.25">
      <c r="D12" s="5">
        <v>0.2</v>
      </c>
      <c r="E12" s="6">
        <v>117</v>
      </c>
    </row>
    <row r="13" spans="1:25" x14ac:dyDescent="0.25">
      <c r="D13" s="5">
        <v>0.3</v>
      </c>
      <c r="E13" s="6">
        <v>72.900000000000006</v>
      </c>
    </row>
    <row r="14" spans="1:25" x14ac:dyDescent="0.25">
      <c r="D14" s="5">
        <v>0.4</v>
      </c>
      <c r="E14" s="6">
        <v>52.2</v>
      </c>
    </row>
    <row r="15" spans="1:25" x14ac:dyDescent="0.25">
      <c r="D15" s="5">
        <v>0.5</v>
      </c>
      <c r="E15" s="6">
        <v>40.200000000000003</v>
      </c>
    </row>
    <row r="16" spans="1:25" x14ac:dyDescent="0.25">
      <c r="D16" s="5">
        <v>0.6</v>
      </c>
      <c r="E16" s="6">
        <v>32.4</v>
      </c>
    </row>
    <row r="17" spans="4:12" x14ac:dyDescent="0.25">
      <c r="D17" s="5">
        <v>0.7</v>
      </c>
      <c r="E17" s="6">
        <v>26.8</v>
      </c>
    </row>
    <row r="18" spans="4:12" x14ac:dyDescent="0.25">
      <c r="D18" s="5">
        <v>0.8</v>
      </c>
      <c r="E18" s="6">
        <v>22.7</v>
      </c>
      <c r="K18" s="1"/>
      <c r="L18" s="1"/>
    </row>
    <row r="19" spans="4:12" x14ac:dyDescent="0.25">
      <c r="D19" s="5">
        <v>0.9</v>
      </c>
      <c r="E19" s="6">
        <v>19.600000000000001</v>
      </c>
    </row>
    <row r="20" spans="4:12" x14ac:dyDescent="0.25">
      <c r="D20" s="5">
        <v>1</v>
      </c>
      <c r="E20" s="6">
        <v>17</v>
      </c>
    </row>
    <row r="21" spans="4:12" x14ac:dyDescent="0.25">
      <c r="D21" s="5">
        <v>1.1000000000000001</v>
      </c>
      <c r="E21" s="6">
        <v>15</v>
      </c>
    </row>
    <row r="22" spans="4:12" x14ac:dyDescent="0.25">
      <c r="D22" s="5">
        <v>1.2</v>
      </c>
      <c r="E22" s="6">
        <v>13.3</v>
      </c>
    </row>
    <row r="23" spans="4:12" x14ac:dyDescent="0.25">
      <c r="D23" s="5">
        <v>1.3</v>
      </c>
      <c r="E23" s="6">
        <v>11.8</v>
      </c>
    </row>
    <row r="24" spans="4:12" x14ac:dyDescent="0.25">
      <c r="D24" s="5">
        <v>1.4</v>
      </c>
      <c r="E24" s="6">
        <v>10.6</v>
      </c>
    </row>
    <row r="25" spans="4:12" x14ac:dyDescent="0.25">
      <c r="D25" s="5">
        <v>1.5</v>
      </c>
      <c r="E25" s="6">
        <v>9.59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V12" sqref="V12"/>
    </sheetView>
  </sheetViews>
  <sheetFormatPr defaultRowHeight="15" x14ac:dyDescent="0.25"/>
  <sheetData>
    <row r="1" spans="1:26" x14ac:dyDescent="0.25">
      <c r="A1" t="s">
        <v>11</v>
      </c>
      <c r="B1" s="7">
        <v>3.3</v>
      </c>
      <c r="C1" t="s">
        <v>5</v>
      </c>
      <c r="D1" t="s">
        <v>12</v>
      </c>
      <c r="E1" s="7">
        <v>0.12</v>
      </c>
      <c r="F1" t="s">
        <v>5</v>
      </c>
      <c r="G1" t="s">
        <v>13</v>
      </c>
      <c r="H1" s="7">
        <v>0.37</v>
      </c>
      <c r="I1" t="s">
        <v>5</v>
      </c>
      <c r="J1" t="s">
        <v>14</v>
      </c>
      <c r="K1" s="7">
        <v>24</v>
      </c>
      <c r="M1" t="s">
        <v>15</v>
      </c>
      <c r="N1" s="9">
        <v>0.21</v>
      </c>
      <c r="O1" s="10" t="s">
        <v>34</v>
      </c>
      <c r="U1" t="s">
        <v>9</v>
      </c>
      <c r="V1">
        <v>3.9</v>
      </c>
      <c r="W1" t="s">
        <v>8</v>
      </c>
    </row>
    <row r="2" spans="1:26" x14ac:dyDescent="0.25">
      <c r="A2" t="s">
        <v>16</v>
      </c>
      <c r="B2">
        <v>0.5</v>
      </c>
      <c r="C2" t="s">
        <v>7</v>
      </c>
      <c r="H2" s="1"/>
      <c r="I2" s="1"/>
      <c r="U2" t="s">
        <v>48</v>
      </c>
      <c r="V2">
        <v>100</v>
      </c>
      <c r="W2" t="s">
        <v>38</v>
      </c>
    </row>
    <row r="3" spans="1:26" x14ac:dyDescent="0.25">
      <c r="A3" t="s">
        <v>1</v>
      </c>
      <c r="D3" t="s">
        <v>2</v>
      </c>
      <c r="H3" t="s">
        <v>6</v>
      </c>
      <c r="M3" t="s">
        <v>39</v>
      </c>
      <c r="P3" t="s">
        <v>40</v>
      </c>
      <c r="U3" t="s">
        <v>4</v>
      </c>
      <c r="V3">
        <v>26.8</v>
      </c>
      <c r="W3" t="s">
        <v>45</v>
      </c>
    </row>
    <row r="4" spans="1:26" x14ac:dyDescent="0.25">
      <c r="A4" t="s">
        <v>17</v>
      </c>
      <c r="B4" s="2">
        <f>B5*(B1/0.8-1)</f>
        <v>31.249999999999993</v>
      </c>
      <c r="C4" t="s">
        <v>32</v>
      </c>
      <c r="D4" t="s">
        <v>19</v>
      </c>
      <c r="E4" s="8">
        <v>0.7</v>
      </c>
      <c r="F4" t="s">
        <v>3</v>
      </c>
      <c r="H4" t="s">
        <v>9</v>
      </c>
      <c r="I4">
        <f>4.7</f>
        <v>4.7</v>
      </c>
      <c r="J4" t="s">
        <v>33</v>
      </c>
      <c r="M4" t="s">
        <v>35</v>
      </c>
      <c r="N4">
        <v>10</v>
      </c>
      <c r="O4" t="s">
        <v>36</v>
      </c>
      <c r="P4" t="s">
        <v>41</v>
      </c>
      <c r="Q4">
        <v>8</v>
      </c>
      <c r="R4" t="s">
        <v>5</v>
      </c>
      <c r="U4" t="s">
        <v>0</v>
      </c>
      <c r="V4">
        <v>34.799999999999997</v>
      </c>
      <c r="W4" t="s">
        <v>45</v>
      </c>
      <c r="X4" t="s">
        <v>54</v>
      </c>
      <c r="Y4">
        <v>31.2</v>
      </c>
      <c r="Z4" t="s">
        <v>45</v>
      </c>
    </row>
    <row r="5" spans="1:26" x14ac:dyDescent="0.25">
      <c r="A5" t="s">
        <v>18</v>
      </c>
      <c r="B5" s="7">
        <v>10</v>
      </c>
      <c r="C5" t="s">
        <v>32</v>
      </c>
      <c r="D5" t="s">
        <v>4</v>
      </c>
      <c r="E5" s="3">
        <f ca="1">FORECAST(E4,OFFSET($E$12,MATCH(E4,$D$12:$D$25,1)-1,0,2),OFFSET($D$12,MATCH(E4,$D$12:$D$25,1)-1,0,2))</f>
        <v>26.800000000000004</v>
      </c>
      <c r="F5" t="s">
        <v>32</v>
      </c>
      <c r="H5" t="s">
        <v>25</v>
      </c>
      <c r="I5">
        <f>8+(K1-B1)*N1/I4</f>
        <v>8.9248936170212758</v>
      </c>
      <c r="J5" t="s">
        <v>7</v>
      </c>
      <c r="K5" t="s">
        <v>10</v>
      </c>
      <c r="P5" t="s">
        <v>42</v>
      </c>
      <c r="Q5">
        <f>7.3</f>
        <v>7.3</v>
      </c>
      <c r="R5" t="s">
        <v>5</v>
      </c>
      <c r="U5" t="s">
        <v>43</v>
      </c>
      <c r="V5">
        <v>348</v>
      </c>
      <c r="W5" t="s">
        <v>45</v>
      </c>
      <c r="X5" t="s">
        <v>55</v>
      </c>
      <c r="Y5">
        <v>348</v>
      </c>
      <c r="Z5" t="s">
        <v>45</v>
      </c>
    </row>
    <row r="6" spans="1:26" x14ac:dyDescent="0.25">
      <c r="D6" t="s">
        <v>20</v>
      </c>
      <c r="E6" s="2">
        <f>(B1+E1)/(N1*(K1-H1+E1))</f>
        <v>0.68571428571428572</v>
      </c>
      <c r="F6" t="s">
        <v>3</v>
      </c>
      <c r="H6" t="s">
        <v>26</v>
      </c>
      <c r="I6">
        <f>(B1+E1)*0.67/E4</f>
        <v>3.2734285714285716</v>
      </c>
      <c r="J6" t="s">
        <v>8</v>
      </c>
      <c r="M6" t="s">
        <v>37</v>
      </c>
      <c r="N6">
        <f>150/(B1*E4)</f>
        <v>64.935064935064943</v>
      </c>
      <c r="O6" t="s">
        <v>38</v>
      </c>
      <c r="P6" t="s">
        <v>44</v>
      </c>
      <c r="Q6">
        <f>(Q4-Q5)/0.002</f>
        <v>350.00000000000006</v>
      </c>
      <c r="R6" t="s">
        <v>32</v>
      </c>
      <c r="U6" t="s">
        <v>51</v>
      </c>
      <c r="V6">
        <v>64.900000000000006</v>
      </c>
      <c r="W6" t="s">
        <v>45</v>
      </c>
      <c r="X6" t="s">
        <v>56</v>
      </c>
      <c r="Y6">
        <v>64.900000000000006</v>
      </c>
      <c r="Z6" t="s">
        <v>45</v>
      </c>
    </row>
    <row r="7" spans="1:26" x14ac:dyDescent="0.25">
      <c r="D7" t="s">
        <v>21</v>
      </c>
      <c r="E7" s="4">
        <f>E4*N1</f>
        <v>0.14699999999999999</v>
      </c>
      <c r="P7" t="s">
        <v>50</v>
      </c>
      <c r="Q7">
        <f>Q6*1/(Q4/1.25-1)</f>
        <v>64.814814814814824</v>
      </c>
      <c r="R7" t="s">
        <v>32</v>
      </c>
    </row>
    <row r="8" spans="1:26" x14ac:dyDescent="0.25">
      <c r="D8" t="s">
        <v>22</v>
      </c>
      <c r="E8" s="4">
        <f>1-E7</f>
        <v>0.85299999999999998</v>
      </c>
      <c r="H8" t="s">
        <v>27</v>
      </c>
      <c r="I8">
        <v>0.03</v>
      </c>
      <c r="J8" s="10" t="s">
        <v>31</v>
      </c>
      <c r="M8" t="s">
        <v>46</v>
      </c>
      <c r="N8">
        <v>0.47</v>
      </c>
      <c r="O8" t="s">
        <v>38</v>
      </c>
    </row>
    <row r="9" spans="1:26" x14ac:dyDescent="0.25">
      <c r="D9" t="s">
        <v>23</v>
      </c>
      <c r="E9" s="2">
        <f>(B1+E1)/E8-E1+H1</f>
        <v>4.2593786635404456</v>
      </c>
      <c r="F9" t="s">
        <v>5</v>
      </c>
      <c r="H9" t="s">
        <v>28</v>
      </c>
      <c r="I9">
        <f>(B1+E1)*0.42/E4</f>
        <v>2.052</v>
      </c>
      <c r="J9" t="s">
        <v>33</v>
      </c>
    </row>
    <row r="10" spans="1:26" x14ac:dyDescent="0.25">
      <c r="D10" t="s">
        <v>24</v>
      </c>
      <c r="E10" s="2">
        <f>(B1+E1)/E7-E1+H1</f>
        <v>23.51530612244898</v>
      </c>
      <c r="F10" t="s">
        <v>5</v>
      </c>
      <c r="H10" s="10" t="s">
        <v>29</v>
      </c>
      <c r="I10" s="10">
        <f>(1-E7)*(B1+E1)/(I4*E4)</f>
        <v>0.88670516717325221</v>
      </c>
      <c r="J10" t="s">
        <v>7</v>
      </c>
      <c r="M10" t="s">
        <v>47</v>
      </c>
    </row>
    <row r="11" spans="1:26" x14ac:dyDescent="0.25">
      <c r="D11" s="5">
        <v>0.15</v>
      </c>
      <c r="E11" s="6">
        <v>164</v>
      </c>
      <c r="H11" s="10" t="s">
        <v>30</v>
      </c>
      <c r="I11">
        <f>B2+I10/2</f>
        <v>0.9433525835866261</v>
      </c>
      <c r="J11" t="s">
        <v>7</v>
      </c>
    </row>
    <row r="12" spans="1:26" x14ac:dyDescent="0.25">
      <c r="D12" s="5">
        <v>0.2</v>
      </c>
      <c r="E12" s="6">
        <v>117</v>
      </c>
    </row>
    <row r="13" spans="1:26" x14ac:dyDescent="0.25">
      <c r="D13" s="5">
        <v>0.3</v>
      </c>
      <c r="E13" s="6">
        <v>72.900000000000006</v>
      </c>
    </row>
    <row r="14" spans="1:26" x14ac:dyDescent="0.25">
      <c r="D14" s="5">
        <v>0.4</v>
      </c>
      <c r="E14" s="6">
        <v>52.2</v>
      </c>
    </row>
    <row r="15" spans="1:26" x14ac:dyDescent="0.25">
      <c r="D15" s="5">
        <v>0.5</v>
      </c>
      <c r="E15" s="6">
        <v>40.200000000000003</v>
      </c>
    </row>
    <row r="16" spans="1:26" x14ac:dyDescent="0.25">
      <c r="D16" s="5">
        <v>0.6</v>
      </c>
      <c r="E16" s="6">
        <v>32.4</v>
      </c>
    </row>
    <row r="17" spans="4:12" x14ac:dyDescent="0.25">
      <c r="D17" s="5">
        <v>0.7</v>
      </c>
      <c r="E17" s="6">
        <v>26.8</v>
      </c>
    </row>
    <row r="18" spans="4:12" x14ac:dyDescent="0.25">
      <c r="D18" s="5">
        <v>0.8</v>
      </c>
      <c r="E18" s="6">
        <v>22.7</v>
      </c>
      <c r="K18" s="1"/>
      <c r="L18" s="1"/>
    </row>
    <row r="19" spans="4:12" x14ac:dyDescent="0.25">
      <c r="D19" s="5">
        <v>0.9</v>
      </c>
      <c r="E19" s="6">
        <v>19.600000000000001</v>
      </c>
    </row>
    <row r="20" spans="4:12" x14ac:dyDescent="0.25">
      <c r="D20" s="5">
        <v>1</v>
      </c>
      <c r="E20" s="6">
        <v>17</v>
      </c>
    </row>
    <row r="21" spans="4:12" x14ac:dyDescent="0.25">
      <c r="D21" s="5">
        <v>1.1000000000000001</v>
      </c>
      <c r="E21" s="6">
        <v>15</v>
      </c>
    </row>
    <row r="22" spans="4:12" x14ac:dyDescent="0.25">
      <c r="D22" s="5">
        <v>1.2</v>
      </c>
      <c r="E22" s="6">
        <v>13.3</v>
      </c>
    </row>
    <row r="23" spans="4:12" x14ac:dyDescent="0.25">
      <c r="D23" s="5">
        <v>1.3</v>
      </c>
      <c r="E23" s="6">
        <v>11.8</v>
      </c>
    </row>
    <row r="24" spans="4:12" x14ac:dyDescent="0.25">
      <c r="D24" s="5">
        <v>1.4</v>
      </c>
      <c r="E24" s="6">
        <v>10.6</v>
      </c>
    </row>
    <row r="25" spans="4:12" x14ac:dyDescent="0.25">
      <c r="D25" s="5">
        <v>1.5</v>
      </c>
      <c r="E25" s="6">
        <v>9.59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Z3" sqref="Z3:Z11"/>
    </sheetView>
  </sheetViews>
  <sheetFormatPr defaultRowHeight="15" x14ac:dyDescent="0.25"/>
  <sheetData>
    <row r="1" spans="1:26" x14ac:dyDescent="0.25">
      <c r="A1" t="s">
        <v>52</v>
      </c>
      <c r="G1" t="s">
        <v>9</v>
      </c>
      <c r="H1">
        <v>4.7</v>
      </c>
      <c r="I1" t="s">
        <v>8</v>
      </c>
      <c r="M1" t="s">
        <v>9</v>
      </c>
      <c r="N1">
        <v>4.7</v>
      </c>
      <c r="O1" t="s">
        <v>8</v>
      </c>
    </row>
    <row r="2" spans="1:26" x14ac:dyDescent="0.25">
      <c r="G2" t="s">
        <v>48</v>
      </c>
      <c r="H2">
        <v>33</v>
      </c>
      <c r="I2" t="s">
        <v>38</v>
      </c>
      <c r="M2" t="s">
        <v>48</v>
      </c>
      <c r="N2">
        <v>100</v>
      </c>
      <c r="O2" t="s">
        <v>38</v>
      </c>
    </row>
    <row r="3" spans="1:26" x14ac:dyDescent="0.25">
      <c r="A3" t="s">
        <v>6</v>
      </c>
      <c r="G3" t="s">
        <v>4</v>
      </c>
      <c r="H3">
        <v>16.899999999999999</v>
      </c>
      <c r="I3" t="s">
        <v>45</v>
      </c>
      <c r="M3" t="s">
        <v>4</v>
      </c>
      <c r="N3">
        <v>26.7</v>
      </c>
      <c r="O3" t="s">
        <v>45</v>
      </c>
      <c r="Z3" t="s">
        <v>76</v>
      </c>
    </row>
    <row r="4" spans="1:26" x14ac:dyDescent="0.25">
      <c r="A4">
        <v>3.9</v>
      </c>
      <c r="B4" t="s">
        <v>8</v>
      </c>
      <c r="G4" t="s">
        <v>0</v>
      </c>
      <c r="H4">
        <v>56.2</v>
      </c>
      <c r="I4" t="s">
        <v>45</v>
      </c>
      <c r="J4" t="s">
        <v>54</v>
      </c>
      <c r="K4">
        <v>52.3</v>
      </c>
      <c r="L4" t="s">
        <v>45</v>
      </c>
      <c r="M4" t="s">
        <v>0</v>
      </c>
      <c r="N4">
        <v>34.799999999999997</v>
      </c>
      <c r="O4" t="s">
        <v>45</v>
      </c>
      <c r="P4" t="s">
        <v>54</v>
      </c>
      <c r="Q4">
        <v>31.2</v>
      </c>
      <c r="R4" t="s">
        <v>45</v>
      </c>
      <c r="U4" t="s">
        <v>6</v>
      </c>
      <c r="V4" s="11">
        <v>1547038</v>
      </c>
      <c r="W4" t="s">
        <v>70</v>
      </c>
    </row>
    <row r="5" spans="1:26" x14ac:dyDescent="0.25">
      <c r="A5" t="s">
        <v>39</v>
      </c>
      <c r="G5" t="s">
        <v>43</v>
      </c>
      <c r="H5">
        <v>442</v>
      </c>
      <c r="I5" t="s">
        <v>45</v>
      </c>
      <c r="J5" t="s">
        <v>55</v>
      </c>
      <c r="K5">
        <v>634</v>
      </c>
      <c r="L5" t="s">
        <v>45</v>
      </c>
      <c r="M5" t="s">
        <v>43</v>
      </c>
      <c r="N5">
        <v>348</v>
      </c>
      <c r="O5" t="s">
        <v>45</v>
      </c>
      <c r="P5" t="s">
        <v>55</v>
      </c>
      <c r="Q5">
        <v>348</v>
      </c>
      <c r="R5" t="s">
        <v>45</v>
      </c>
      <c r="U5" t="s">
        <v>60</v>
      </c>
      <c r="V5" s="11">
        <v>1601821</v>
      </c>
      <c r="Z5" t="s">
        <v>77</v>
      </c>
    </row>
    <row r="6" spans="1:26" x14ac:dyDescent="0.25">
      <c r="A6">
        <v>100</v>
      </c>
      <c r="B6" t="s">
        <v>38</v>
      </c>
      <c r="G6" t="s">
        <v>51</v>
      </c>
      <c r="H6">
        <v>82.5</v>
      </c>
      <c r="I6" t="s">
        <v>45</v>
      </c>
      <c r="J6" t="s">
        <v>56</v>
      </c>
      <c r="K6">
        <v>117</v>
      </c>
      <c r="L6" t="s">
        <v>45</v>
      </c>
      <c r="M6" t="s">
        <v>51</v>
      </c>
      <c r="N6">
        <v>64.900000000000006</v>
      </c>
      <c r="O6" t="s">
        <v>45</v>
      </c>
      <c r="P6" t="s">
        <v>56</v>
      </c>
      <c r="Q6">
        <v>64.900000000000006</v>
      </c>
      <c r="R6" t="s">
        <v>45</v>
      </c>
      <c r="U6" t="s">
        <v>49</v>
      </c>
      <c r="V6" s="11">
        <v>1601815</v>
      </c>
      <c r="Z6" t="s">
        <v>78</v>
      </c>
    </row>
    <row r="7" spans="1:26" x14ac:dyDescent="0.25">
      <c r="A7">
        <v>33</v>
      </c>
      <c r="B7" t="s">
        <v>38</v>
      </c>
      <c r="U7" t="s">
        <v>61</v>
      </c>
      <c r="V7" s="11">
        <v>1810623</v>
      </c>
      <c r="Z7" t="s">
        <v>79</v>
      </c>
    </row>
    <row r="8" spans="1:26" x14ac:dyDescent="0.25">
      <c r="A8">
        <v>10</v>
      </c>
      <c r="B8" t="s">
        <v>38</v>
      </c>
      <c r="G8" t="s">
        <v>57</v>
      </c>
      <c r="U8" t="s">
        <v>62</v>
      </c>
      <c r="V8" s="11">
        <v>1810643</v>
      </c>
    </row>
    <row r="9" spans="1:26" x14ac:dyDescent="0.25">
      <c r="A9">
        <v>0.47</v>
      </c>
      <c r="B9" t="s">
        <v>38</v>
      </c>
      <c r="G9" t="s">
        <v>58</v>
      </c>
      <c r="U9" t="s">
        <v>63</v>
      </c>
      <c r="V9" s="11">
        <v>1810678</v>
      </c>
      <c r="Z9" t="s">
        <v>49</v>
      </c>
    </row>
    <row r="10" spans="1:26" x14ac:dyDescent="0.25">
      <c r="A10">
        <v>0.68</v>
      </c>
      <c r="B10" t="s">
        <v>38</v>
      </c>
      <c r="U10" t="s">
        <v>64</v>
      </c>
      <c r="V10" s="11">
        <v>1810656</v>
      </c>
      <c r="Z10" t="s">
        <v>80</v>
      </c>
    </row>
    <row r="11" spans="1:26" x14ac:dyDescent="0.25">
      <c r="A11">
        <v>0.1</v>
      </c>
      <c r="B11" t="s">
        <v>38</v>
      </c>
      <c r="G11">
        <v>15</v>
      </c>
      <c r="H11" t="s">
        <v>45</v>
      </c>
      <c r="U11" t="s">
        <v>65</v>
      </c>
      <c r="V11" s="11">
        <v>1810675</v>
      </c>
      <c r="Z11" t="s">
        <v>81</v>
      </c>
    </row>
    <row r="12" spans="1:26" x14ac:dyDescent="0.25">
      <c r="A12" t="s">
        <v>53</v>
      </c>
      <c r="G12">
        <v>22</v>
      </c>
      <c r="H12" t="s">
        <v>45</v>
      </c>
      <c r="U12" t="s">
        <v>66</v>
      </c>
      <c r="V12" s="11">
        <v>1108866</v>
      </c>
    </row>
    <row r="13" spans="1:26" x14ac:dyDescent="0.25">
      <c r="G13">
        <v>680</v>
      </c>
      <c r="H13" t="s">
        <v>59</v>
      </c>
      <c r="U13" t="s">
        <v>67</v>
      </c>
      <c r="V13" s="11">
        <v>1810764</v>
      </c>
    </row>
    <row r="14" spans="1:26" x14ac:dyDescent="0.25">
      <c r="U14" t="s">
        <v>68</v>
      </c>
      <c r="V14" s="11">
        <v>1810783</v>
      </c>
    </row>
    <row r="15" spans="1:26" x14ac:dyDescent="0.25">
      <c r="U15" t="s">
        <v>69</v>
      </c>
      <c r="V15" s="11">
        <v>1810756</v>
      </c>
      <c r="W15" t="s">
        <v>70</v>
      </c>
    </row>
    <row r="16" spans="1:26" x14ac:dyDescent="0.25">
      <c r="A16" t="s">
        <v>9</v>
      </c>
      <c r="B16">
        <v>3.9</v>
      </c>
      <c r="C16" t="s">
        <v>8</v>
      </c>
      <c r="G16" t="s">
        <v>9</v>
      </c>
      <c r="H16">
        <v>3.9</v>
      </c>
      <c r="I16" t="s">
        <v>8</v>
      </c>
      <c r="U16" t="s">
        <v>71</v>
      </c>
      <c r="V16" s="11">
        <v>1810756</v>
      </c>
    </row>
    <row r="17" spans="1:23" x14ac:dyDescent="0.25">
      <c r="A17" t="s">
        <v>48</v>
      </c>
      <c r="B17">
        <v>33</v>
      </c>
      <c r="C17" t="s">
        <v>38</v>
      </c>
      <c r="G17" t="s">
        <v>48</v>
      </c>
      <c r="H17">
        <v>100</v>
      </c>
      <c r="I17" t="s">
        <v>38</v>
      </c>
      <c r="U17" t="s">
        <v>72</v>
      </c>
      <c r="V17" s="11">
        <v>1810709</v>
      </c>
    </row>
    <row r="18" spans="1:23" x14ac:dyDescent="0.25">
      <c r="A18" t="s">
        <v>4</v>
      </c>
      <c r="B18">
        <v>16.899999999999999</v>
      </c>
      <c r="C18" t="s">
        <v>45</v>
      </c>
      <c r="G18" t="s">
        <v>4</v>
      </c>
      <c r="H18">
        <v>26.8</v>
      </c>
      <c r="I18" t="s">
        <v>45</v>
      </c>
      <c r="U18" t="s">
        <v>73</v>
      </c>
      <c r="V18" s="11">
        <v>1810684</v>
      </c>
    </row>
    <row r="19" spans="1:23" x14ac:dyDescent="0.25">
      <c r="A19" t="s">
        <v>0</v>
      </c>
      <c r="B19">
        <v>56.2</v>
      </c>
      <c r="C19" t="s">
        <v>45</v>
      </c>
      <c r="D19" t="s">
        <v>54</v>
      </c>
      <c r="E19">
        <v>52.3</v>
      </c>
      <c r="F19" t="s">
        <v>45</v>
      </c>
      <c r="G19" t="s">
        <v>0</v>
      </c>
      <c r="H19">
        <v>34.799999999999997</v>
      </c>
      <c r="I19" t="s">
        <v>45</v>
      </c>
      <c r="J19" t="s">
        <v>54</v>
      </c>
      <c r="K19">
        <v>31.2</v>
      </c>
      <c r="L19" t="s">
        <v>45</v>
      </c>
      <c r="U19" t="s">
        <v>57</v>
      </c>
      <c r="V19" s="11">
        <v>1740673</v>
      </c>
      <c r="W19" t="s">
        <v>70</v>
      </c>
    </row>
    <row r="20" spans="1:23" x14ac:dyDescent="0.25">
      <c r="A20" t="s">
        <v>43</v>
      </c>
      <c r="B20">
        <v>442</v>
      </c>
      <c r="C20" t="s">
        <v>45</v>
      </c>
      <c r="D20" t="s">
        <v>55</v>
      </c>
      <c r="E20">
        <v>634</v>
      </c>
      <c r="F20" t="s">
        <v>45</v>
      </c>
      <c r="G20" t="s">
        <v>43</v>
      </c>
      <c r="H20">
        <v>348</v>
      </c>
      <c r="I20" t="s">
        <v>45</v>
      </c>
      <c r="J20" t="s">
        <v>55</v>
      </c>
      <c r="K20">
        <v>348</v>
      </c>
      <c r="L20" t="s">
        <v>45</v>
      </c>
      <c r="U20" t="s">
        <v>58</v>
      </c>
      <c r="V20" s="11">
        <v>1414702</v>
      </c>
      <c r="W20" t="s">
        <v>70</v>
      </c>
    </row>
    <row r="21" spans="1:23" x14ac:dyDescent="0.25">
      <c r="A21" t="s">
        <v>51</v>
      </c>
      <c r="B21">
        <v>82.5</v>
      </c>
      <c r="C21" t="s">
        <v>45</v>
      </c>
      <c r="D21" t="s">
        <v>56</v>
      </c>
      <c r="E21">
        <v>117</v>
      </c>
      <c r="F21" t="s">
        <v>45</v>
      </c>
      <c r="G21" t="s">
        <v>51</v>
      </c>
      <c r="H21">
        <v>64.900000000000006</v>
      </c>
      <c r="I21" t="s">
        <v>45</v>
      </c>
      <c r="J21" t="s">
        <v>56</v>
      </c>
      <c r="K21">
        <v>64.900000000000006</v>
      </c>
      <c r="L21" t="s">
        <v>45</v>
      </c>
      <c r="U21" t="s">
        <v>74</v>
      </c>
      <c r="V21" s="11">
        <v>1414699</v>
      </c>
    </row>
    <row r="23" spans="1:23" x14ac:dyDescent="0.25">
      <c r="A23" t="s">
        <v>57</v>
      </c>
      <c r="R23" t="s">
        <v>75</v>
      </c>
    </row>
    <row r="24" spans="1:23" x14ac:dyDescent="0.25">
      <c r="A24" t="s">
        <v>58</v>
      </c>
    </row>
    <row r="26" spans="1:23" x14ac:dyDescent="0.25">
      <c r="A26">
        <v>15</v>
      </c>
      <c r="B26" t="s">
        <v>45</v>
      </c>
    </row>
    <row r="27" spans="1:23" x14ac:dyDescent="0.25">
      <c r="A27">
        <v>22</v>
      </c>
      <c r="B27" t="s">
        <v>45</v>
      </c>
    </row>
    <row r="28" spans="1:23" x14ac:dyDescent="0.25">
      <c r="A28">
        <v>680</v>
      </c>
      <c r="B28" t="s">
        <v>59</v>
      </c>
    </row>
  </sheetData>
  <hyperlinks>
    <hyperlink ref="V4" r:id="rId1" display="http://au.element14.com/vishay-dale/ihlp4040dzer4r7m01/inductor-4-7uh-20-17a/dp/1547038"/>
    <hyperlink ref="V5" r:id="rId2" display="http://au.element14.com/kemet/c1206c476m8pac-tu/capacitor-ceramic-47uf-10v-x5r/dp/1601821"/>
    <hyperlink ref="V6" r:id="rId3" display="http://au.element14.com/kemet/c1206c107m9pac-tu/capacitor-ceramic-100uf-6-3v-x5r/dp/1601815"/>
    <hyperlink ref="V7" r:id="rId4" display="http://au.element14.com/panasonic/era6aeb1692v/resistor-0805-16k9-0-1-0-125w/dp/1810623"/>
    <hyperlink ref="V8" r:id="rId5" display="http://au.element14.com/panasonic/era6aeb2672v/resistor-0805-26k7-0-1-0-125w/dp/1810643"/>
    <hyperlink ref="V9" r:id="rId6" display="http://au.element14.com/panasonic/era6aeb5622v/resistor-0805-56k2-0-1-0-125w/dp/1810678"/>
    <hyperlink ref="V10" r:id="rId7" display="http://au.element14.com/panasonic/era6aeb3482v/resistor-0805-34k8-0-1-0-125w/dp/1810656"/>
    <hyperlink ref="V11" r:id="rId8" display="http://au.element14.com/panasonic/era6aeb5232v/resistor-0805-52k3-0-1-0-125w/dp/1810675"/>
    <hyperlink ref="V12" r:id="rId9" display="http://au.element14.com/welwyn/pcf0805-13-1k2-b-t1/resistor-1k2-0805-5ppm/dp/1108866"/>
    <hyperlink ref="V13" r:id="rId10" display="http://au.element14.com/panasonic/era6aeb4223v/resistor-0805-422k-0-1-0-125w/dp/1810764"/>
    <hyperlink ref="V14" r:id="rId11" display="http://au.element14.com/panasonic/era6aeb6343v/resistor-0805-634k-0-1-0-125w/dp/1810783"/>
    <hyperlink ref="V15" r:id="rId12" display="http://au.element14.com/panasonic/era6aeb3483v/resistor-0805-348k-0-1-0-125w/dp/1810756"/>
    <hyperlink ref="V16" r:id="rId13" display="http://au.element14.com/panasonic/era6aeb3483v/resistor-0805-348k-0-1-0-125w/dp/1810756"/>
    <hyperlink ref="V17" r:id="rId14" display="http://au.element14.com/panasonic/era6aeb1183v/resistor-0805-118k-0-1-0-125w/dp/1810709"/>
    <hyperlink ref="V18" r:id="rId15" display="http://au.element14.com/panasonic/era6aeb6492v/resistor-0805-64k9-0-1-0-125w/dp/1810684"/>
    <hyperlink ref="V19" r:id="rId16" display="http://au.element14.com/avx/08055c104jat2a/capacitor-mlcc-0805-50v-100nf/dp/1740673"/>
    <hyperlink ref="V20" r:id="rId17" display="http://au.element14.com/kemet/c0805c684k5ractu/capacitor-0805-680nf-50v-x7r/dp/1414702"/>
    <hyperlink ref="V21" r:id="rId18" display="http://au.element14.com/kemet/c0805c681j5gactu/capacitor-0805-680pf-50v-np0/dp/14146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ashaw</dc:creator>
  <cp:lastModifiedBy>ashaw</cp:lastModifiedBy>
  <dcterms:created xsi:type="dcterms:W3CDTF">2011-11-23T02:37:53Z</dcterms:created>
  <dcterms:modified xsi:type="dcterms:W3CDTF">2012-01-13T04:42:41Z</dcterms:modified>
</cp:coreProperties>
</file>