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760" yWindow="3160" windowWidth="2560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5" i="1" l="1"/>
  <c r="C45" i="1"/>
  <c r="D45" i="1"/>
  <c r="E45" i="1"/>
  <c r="F45" i="1"/>
  <c r="G45" i="1"/>
  <c r="H45" i="1"/>
  <c r="I45" i="1"/>
  <c r="J45" i="1"/>
  <c r="K45" i="1"/>
  <c r="L45" i="1"/>
  <c r="Y45" i="1"/>
  <c r="B46" i="1"/>
  <c r="C46" i="1"/>
  <c r="D46" i="1"/>
  <c r="E46" i="1"/>
  <c r="F46" i="1"/>
  <c r="G46" i="1"/>
  <c r="H46" i="1"/>
  <c r="I46" i="1"/>
  <c r="J46" i="1"/>
  <c r="K46" i="1"/>
  <c r="L46" i="1"/>
  <c r="Y46" i="1"/>
  <c r="Y44" i="1"/>
  <c r="W45" i="1"/>
  <c r="W46" i="1"/>
  <c r="W44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M44" i="1"/>
  <c r="N44" i="1"/>
  <c r="O44" i="1"/>
  <c r="M45" i="1"/>
  <c r="N45" i="1"/>
  <c r="O45" i="1"/>
  <c r="M46" i="1"/>
  <c r="N46" i="1"/>
  <c r="O46" i="1"/>
  <c r="C44" i="1"/>
  <c r="D44" i="1"/>
  <c r="E44" i="1"/>
  <c r="F44" i="1"/>
  <c r="G44" i="1"/>
  <c r="H44" i="1"/>
  <c r="I44" i="1"/>
  <c r="J44" i="1"/>
  <c r="K44" i="1"/>
  <c r="L44" i="1"/>
  <c r="B44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B148" i="1"/>
  <c r="C148" i="1"/>
  <c r="D148" i="1"/>
  <c r="B149" i="1"/>
  <c r="C149" i="1"/>
  <c r="D149" i="1"/>
  <c r="B150" i="1"/>
  <c r="C150" i="1"/>
  <c r="D150" i="1"/>
  <c r="B151" i="1"/>
  <c r="C151" i="1"/>
  <c r="D151" i="1"/>
  <c r="B152" i="1"/>
  <c r="C152" i="1"/>
  <c r="D152" i="1"/>
  <c r="B153" i="1"/>
  <c r="C153" i="1"/>
  <c r="D153" i="1"/>
  <c r="B154" i="1"/>
  <c r="C154" i="1"/>
  <c r="D154" i="1"/>
  <c r="B155" i="1"/>
  <c r="C155" i="1"/>
  <c r="D155" i="1"/>
  <c r="B156" i="1"/>
  <c r="C156" i="1"/>
  <c r="D156" i="1"/>
  <c r="B157" i="1"/>
  <c r="C157" i="1"/>
  <c r="D157" i="1"/>
  <c r="B158" i="1"/>
  <c r="C158" i="1"/>
  <c r="D158" i="1"/>
  <c r="B159" i="1"/>
  <c r="C159" i="1"/>
  <c r="D159" i="1"/>
  <c r="B160" i="1"/>
  <c r="C160" i="1"/>
  <c r="D160" i="1"/>
  <c r="B161" i="1"/>
  <c r="C161" i="1"/>
  <c r="D161" i="1"/>
  <c r="B162" i="1"/>
  <c r="C162" i="1"/>
  <c r="D162" i="1"/>
  <c r="B163" i="1"/>
  <c r="C163" i="1"/>
  <c r="D163" i="1"/>
  <c r="B164" i="1"/>
  <c r="C164" i="1"/>
  <c r="D164" i="1"/>
  <c r="B165" i="1"/>
  <c r="C165" i="1"/>
  <c r="D165" i="1"/>
  <c r="B166" i="1"/>
  <c r="C166" i="1"/>
  <c r="D166" i="1"/>
  <c r="B167" i="1"/>
  <c r="C167" i="1"/>
  <c r="D167" i="1"/>
  <c r="B168" i="1"/>
  <c r="C168" i="1"/>
  <c r="D168" i="1"/>
  <c r="B169" i="1"/>
  <c r="C169" i="1"/>
  <c r="D169" i="1"/>
  <c r="B170" i="1"/>
  <c r="C170" i="1"/>
  <c r="D170" i="1"/>
  <c r="B171" i="1"/>
  <c r="C171" i="1"/>
  <c r="D171" i="1"/>
  <c r="B172" i="1"/>
  <c r="C172" i="1"/>
  <c r="D172" i="1"/>
  <c r="B173" i="1"/>
  <c r="C173" i="1"/>
  <c r="D173" i="1"/>
  <c r="B174" i="1"/>
  <c r="C174" i="1"/>
  <c r="D174" i="1"/>
  <c r="B175" i="1"/>
  <c r="C175" i="1"/>
  <c r="D175" i="1"/>
  <c r="B176" i="1"/>
  <c r="C176" i="1"/>
  <c r="D176" i="1"/>
  <c r="B177" i="1"/>
  <c r="C177" i="1"/>
  <c r="D177" i="1"/>
  <c r="B178" i="1"/>
  <c r="C178" i="1"/>
  <c r="D178" i="1"/>
  <c r="B179" i="1"/>
  <c r="C179" i="1"/>
  <c r="D179" i="1"/>
  <c r="B180" i="1"/>
  <c r="C180" i="1"/>
  <c r="D180" i="1"/>
  <c r="B181" i="1"/>
  <c r="C181" i="1"/>
  <c r="D181" i="1"/>
  <c r="B182" i="1"/>
  <c r="C182" i="1"/>
  <c r="D182" i="1"/>
  <c r="B183" i="1"/>
  <c r="C183" i="1"/>
  <c r="D183" i="1"/>
  <c r="B184" i="1"/>
  <c r="C184" i="1"/>
  <c r="D184" i="1"/>
  <c r="B185" i="1"/>
  <c r="C185" i="1"/>
  <c r="D185" i="1"/>
  <c r="B186" i="1"/>
  <c r="C186" i="1"/>
  <c r="D186" i="1"/>
  <c r="B187" i="1"/>
  <c r="C187" i="1"/>
  <c r="D187" i="1"/>
  <c r="B188" i="1"/>
  <c r="C188" i="1"/>
  <c r="D188" i="1"/>
  <c r="B189" i="1"/>
  <c r="C189" i="1"/>
  <c r="D189" i="1"/>
  <c r="B190" i="1"/>
  <c r="C190" i="1"/>
  <c r="D190" i="1"/>
  <c r="B191" i="1"/>
  <c r="C191" i="1"/>
  <c r="D191" i="1"/>
  <c r="B192" i="1"/>
  <c r="C192" i="1"/>
  <c r="D192" i="1"/>
  <c r="B193" i="1"/>
  <c r="C193" i="1"/>
  <c r="D193" i="1"/>
  <c r="B194" i="1"/>
  <c r="C194" i="1"/>
  <c r="D194" i="1"/>
  <c r="B195" i="1"/>
  <c r="C195" i="1"/>
  <c r="D195" i="1"/>
  <c r="B196" i="1"/>
  <c r="C196" i="1"/>
  <c r="D196" i="1"/>
  <c r="B197" i="1"/>
  <c r="C197" i="1"/>
  <c r="D197" i="1"/>
  <c r="B198" i="1"/>
  <c r="C198" i="1"/>
  <c r="D198" i="1"/>
  <c r="B199" i="1"/>
  <c r="C199" i="1"/>
  <c r="D199" i="1"/>
  <c r="B200" i="1"/>
  <c r="C200" i="1"/>
  <c r="D200" i="1"/>
  <c r="B201" i="1"/>
  <c r="C201" i="1"/>
  <c r="D201" i="1"/>
  <c r="B202" i="1"/>
  <c r="C202" i="1"/>
  <c r="D202" i="1"/>
  <c r="B203" i="1"/>
  <c r="C203" i="1"/>
  <c r="D203" i="1"/>
  <c r="B204" i="1"/>
  <c r="C204" i="1"/>
  <c r="D204" i="1"/>
  <c r="B205" i="1"/>
  <c r="C205" i="1"/>
  <c r="D205" i="1"/>
  <c r="B206" i="1"/>
  <c r="C206" i="1"/>
  <c r="D206" i="1"/>
  <c r="B207" i="1"/>
  <c r="C207" i="1"/>
  <c r="D207" i="1"/>
  <c r="B208" i="1"/>
  <c r="C208" i="1"/>
  <c r="D208" i="1"/>
  <c r="B128" i="1"/>
  <c r="C128" i="1"/>
  <c r="D128" i="1"/>
  <c r="X87" i="1"/>
  <c r="X88" i="1"/>
  <c r="X86" i="1"/>
  <c r="Y87" i="1"/>
  <c r="Y88" i="1"/>
  <c r="Y86" i="1"/>
  <c r="V88" i="1"/>
  <c r="W67" i="1"/>
  <c r="W88" i="1"/>
  <c r="V87" i="1"/>
  <c r="W66" i="1"/>
  <c r="W87" i="1"/>
  <c r="V86" i="1"/>
  <c r="W65" i="1"/>
  <c r="W86" i="1"/>
  <c r="T109" i="1"/>
  <c r="T108" i="1"/>
  <c r="T107" i="1"/>
  <c r="U109" i="1"/>
  <c r="S109" i="1"/>
  <c r="S108" i="1"/>
  <c r="S107" i="1"/>
  <c r="U108" i="1"/>
  <c r="R109" i="1"/>
  <c r="R108" i="1"/>
  <c r="R107" i="1"/>
  <c r="U107" i="1"/>
  <c r="Q109" i="1"/>
  <c r="Q108" i="1"/>
  <c r="Q107" i="1"/>
  <c r="O109" i="1"/>
  <c r="O108" i="1"/>
  <c r="O107" i="1"/>
  <c r="P109" i="1"/>
  <c r="N109" i="1"/>
  <c r="N108" i="1"/>
  <c r="N107" i="1"/>
  <c r="P108" i="1"/>
  <c r="M109" i="1"/>
  <c r="M108" i="1"/>
  <c r="M107" i="1"/>
  <c r="P107" i="1"/>
  <c r="L109" i="1"/>
  <c r="L108" i="1"/>
  <c r="L107" i="1"/>
  <c r="J109" i="1"/>
  <c r="J108" i="1"/>
  <c r="K109" i="1"/>
  <c r="I109" i="1"/>
  <c r="I108" i="1"/>
  <c r="K108" i="1"/>
  <c r="H109" i="1"/>
  <c r="H108" i="1"/>
  <c r="H107" i="1"/>
  <c r="G109" i="1"/>
  <c r="G108" i="1"/>
  <c r="G107" i="1"/>
  <c r="E109" i="1"/>
  <c r="E108" i="1"/>
  <c r="E107" i="1"/>
  <c r="F109" i="1"/>
  <c r="D109" i="1"/>
  <c r="D108" i="1"/>
  <c r="D107" i="1"/>
  <c r="F108" i="1"/>
  <c r="C109" i="1"/>
  <c r="C108" i="1"/>
  <c r="C107" i="1"/>
  <c r="F107" i="1"/>
  <c r="B109" i="1"/>
  <c r="B108" i="1"/>
  <c r="B107" i="1"/>
  <c r="W108" i="1"/>
  <c r="X108" i="1"/>
  <c r="Y108" i="1"/>
  <c r="W109" i="1"/>
  <c r="X109" i="1"/>
  <c r="Y109" i="1"/>
  <c r="Y107" i="1"/>
  <c r="X107" i="1"/>
  <c r="W107" i="1"/>
  <c r="Y24" i="1"/>
  <c r="Y25" i="1"/>
  <c r="Y23" i="1"/>
  <c r="Y66" i="1"/>
  <c r="Y67" i="1"/>
  <c r="Y65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Y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Y4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Y2" i="1"/>
  <c r="X25" i="1"/>
  <c r="X24" i="1"/>
  <c r="X23" i="1"/>
  <c r="V24" i="1"/>
  <c r="W24" i="1"/>
  <c r="V25" i="1"/>
  <c r="W25" i="1"/>
  <c r="V23" i="1"/>
  <c r="W23" i="1"/>
  <c r="X67" i="1"/>
  <c r="X66" i="1"/>
  <c r="X65" i="1"/>
  <c r="X3" i="1"/>
  <c r="X4" i="1"/>
  <c r="X2" i="1"/>
  <c r="W3" i="1"/>
  <c r="W4" i="1"/>
  <c r="W2" i="1"/>
</calcChain>
</file>

<file path=xl/sharedStrings.xml><?xml version="1.0" encoding="utf-8"?>
<sst xmlns="http://schemas.openxmlformats.org/spreadsheetml/2006/main" count="149" uniqueCount="135">
  <si>
    <t>TF [pM]</t>
  </si>
  <si>
    <t>Peak 14488</t>
  </si>
  <si>
    <t>Peak 14492</t>
  </si>
  <si>
    <t>Peak 14489</t>
  </si>
  <si>
    <t>Peak 14490</t>
  </si>
  <si>
    <t>Peak 14491</t>
  </si>
  <si>
    <t>AVG PEAK, P [uM]</t>
  </si>
  <si>
    <t>Peak 14493</t>
  </si>
  <si>
    <t>Peak 14494</t>
  </si>
  <si>
    <t>Peak 14495</t>
  </si>
  <si>
    <t>Peak 14496</t>
  </si>
  <si>
    <t>Peak 14497</t>
  </si>
  <si>
    <t>Peak 14498</t>
  </si>
  <si>
    <t>Peak 14499</t>
  </si>
  <si>
    <t>Peak 14500</t>
  </si>
  <si>
    <t>Peak 14501</t>
  </si>
  <si>
    <t>Peak 14502</t>
  </si>
  <si>
    <t>Peak 14503</t>
  </si>
  <si>
    <t>Peak 14504</t>
  </si>
  <si>
    <t>Peak 14505</t>
  </si>
  <si>
    <t>Peak 14506</t>
  </si>
  <si>
    <t>Peak 14507</t>
  </si>
  <si>
    <t>SE</t>
  </si>
  <si>
    <t>Lag 14488</t>
  </si>
  <si>
    <t>Lag 14489</t>
  </si>
  <si>
    <t>Lag 14490</t>
  </si>
  <si>
    <t>Lag 14491</t>
  </si>
  <si>
    <t>Lag 14492</t>
  </si>
  <si>
    <t>Lag 14493</t>
  </si>
  <si>
    <t>Lag 14494</t>
  </si>
  <si>
    <t>Lag 14495</t>
  </si>
  <si>
    <t>Lag 14496</t>
  </si>
  <si>
    <t>Lag 14497</t>
  </si>
  <si>
    <t>Lag 14498</t>
  </si>
  <si>
    <t>Lag 14499</t>
  </si>
  <si>
    <t>Lag 14500</t>
  </si>
  <si>
    <t>Lag 14501</t>
  </si>
  <si>
    <t>Lag 14502</t>
  </si>
  <si>
    <t>Lag 14503</t>
  </si>
  <si>
    <t>Lag 14504</t>
  </si>
  <si>
    <t>Lag 14505</t>
  </si>
  <si>
    <t>Lag 14506</t>
  </si>
  <si>
    <t>Lag 14507</t>
  </si>
  <si>
    <t>AVG T [min]</t>
  </si>
  <si>
    <t>ttPeak 14488</t>
  </si>
  <si>
    <t>ttPeak 14489</t>
  </si>
  <si>
    <t>ttPeak 14490</t>
  </si>
  <si>
    <t>ttPeak 14491</t>
  </si>
  <si>
    <t>ttPeak 14492</t>
  </si>
  <si>
    <t>ttPeak 14493</t>
  </si>
  <si>
    <t>ttPeak 14494</t>
  </si>
  <si>
    <t>ttPeak 14495</t>
  </si>
  <si>
    <t>ttPeak 14496</t>
  </si>
  <si>
    <t>ttPeak 14497</t>
  </si>
  <si>
    <t>ttPeak 14498</t>
  </si>
  <si>
    <t>ttPeak 14499</t>
  </si>
  <si>
    <t>ttPeak 14500</t>
  </si>
  <si>
    <t>ttPeak 14501</t>
  </si>
  <si>
    <t>ttPeak 14502</t>
  </si>
  <si>
    <t>ttPeak 14503</t>
  </si>
  <si>
    <t>ttPeak 14504</t>
  </si>
  <si>
    <t>ttPeak 14505</t>
  </si>
  <si>
    <t>ttPeak 14506</t>
  </si>
  <si>
    <t>ttPeak 14507</t>
  </si>
  <si>
    <t>Avg ttPeak</t>
  </si>
  <si>
    <t>AVG T_P - AVG T [min]</t>
  </si>
  <si>
    <t>STDEV</t>
  </si>
  <si>
    <t>ETP 14488</t>
  </si>
  <si>
    <t>ETP 14489</t>
  </si>
  <si>
    <t>ETP 14490</t>
  </si>
  <si>
    <t>ETP 14491</t>
  </si>
  <si>
    <t>ETP 14492</t>
  </si>
  <si>
    <t>ETP 14493</t>
  </si>
  <si>
    <t>ETP 14494</t>
  </si>
  <si>
    <t>ETP 14495</t>
  </si>
  <si>
    <t>ETP 14496</t>
  </si>
  <si>
    <t>ETP 14497</t>
  </si>
  <si>
    <t>ETP 14498</t>
  </si>
  <si>
    <t>ETP 14499</t>
  </si>
  <si>
    <t>ETP 14500</t>
  </si>
  <si>
    <t>ETP 14501</t>
  </si>
  <si>
    <t>ETP 14502</t>
  </si>
  <si>
    <t>ETP 14503</t>
  </si>
  <si>
    <t>ETP 14504</t>
  </si>
  <si>
    <t>ETP 14505</t>
  </si>
  <si>
    <t>ETP 14506</t>
  </si>
  <si>
    <t>ETP 14507</t>
  </si>
  <si>
    <t>AVG ETP [um min]</t>
  </si>
  <si>
    <t>StartTail 14488</t>
  </si>
  <si>
    <t>StartTail 14489</t>
  </si>
  <si>
    <t>StartTail 14490</t>
  </si>
  <si>
    <t>StartTail 14491</t>
  </si>
  <si>
    <t>StartTail 14492</t>
  </si>
  <si>
    <t>StartTail 14493</t>
  </si>
  <si>
    <t>StartTail 14494</t>
  </si>
  <si>
    <t>StartTail 14495</t>
  </si>
  <si>
    <t>StartTail 14496</t>
  </si>
  <si>
    <t>StartTail 14497</t>
  </si>
  <si>
    <t>StartTail 14498</t>
  </si>
  <si>
    <t>StartTail 14499</t>
  </si>
  <si>
    <t>StartTail 14500</t>
  </si>
  <si>
    <t>StartTail 14501</t>
  </si>
  <si>
    <t>StartTail 14502</t>
  </si>
  <si>
    <t>StartTail 14503</t>
  </si>
  <si>
    <t>StartTail 14504</t>
  </si>
  <si>
    <t>StartTail 14505</t>
  </si>
  <si>
    <t>StartTail 14506</t>
  </si>
  <si>
    <t>StartTail 14507</t>
  </si>
  <si>
    <t>Avg StartTail</t>
  </si>
  <si>
    <t>AVG ST-AVG T</t>
  </si>
  <si>
    <t>TF</t>
  </si>
  <si>
    <t>Pred. Height</t>
  </si>
  <si>
    <t>Pred. Base</t>
  </si>
  <si>
    <t>Pred. Rectangular Area * 0.305</t>
  </si>
  <si>
    <t>ttPeak-Lag 14488</t>
  </si>
  <si>
    <t>ttPeak-Lag 14489</t>
  </si>
  <si>
    <t>ttPeak-Lag 14490</t>
  </si>
  <si>
    <t>ttPeak-Lag 14491</t>
  </si>
  <si>
    <t>ttPeak-Lag 14492</t>
  </si>
  <si>
    <t>ttPeak-Lag 14493</t>
  </si>
  <si>
    <t>ttPeak-Lag 14494</t>
  </si>
  <si>
    <t>ttPeak-Lag 14495</t>
  </si>
  <si>
    <t>ttPeak-Lag 14496</t>
  </si>
  <si>
    <t>ttPeak-Lag 14497</t>
  </si>
  <si>
    <t>ttPeak-Lag 14498</t>
  </si>
  <si>
    <t>ttPeak-Lag 14499</t>
  </si>
  <si>
    <t>ttPeak-Lag 14500</t>
  </si>
  <si>
    <t>ttPeak-Lag 14501</t>
  </si>
  <si>
    <t>ttPeak-Lag 14502</t>
  </si>
  <si>
    <t>ttPeak-Lag 14503</t>
  </si>
  <si>
    <t>ttPeak-Lag 14504</t>
  </si>
  <si>
    <t>ttPeak-Lag 14505</t>
  </si>
  <si>
    <t>ttPeak-Lag 14506</t>
  </si>
  <si>
    <t>ttPeak-Lag 14507</t>
  </si>
  <si>
    <t>Avg ttPeak-Lag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</si>
</sst>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Sheet1!$Y$2:$Y$4</c:f>
                <c:numCache>
                  <c:formatCode>General</c:formatCode>
                  <c:ptCount val="3"/>
                  <c:pt idx="0">
                    <c:v>0.0146689170482494</c:v>
                  </c:pt>
                  <c:pt idx="1">
                    <c:v>0.0409997629614458</c:v>
                  </c:pt>
                  <c:pt idx="2">
                    <c:v>0.0552920866708889</c:v>
                  </c:pt>
                </c:numCache>
              </c:numRef>
            </c:plus>
            <c:minus>
              <c:numRef>
                <c:f>Sheet1!$Y$2:$Y$4</c:f>
                <c:numCache>
                  <c:formatCode>General</c:formatCode>
                  <c:ptCount val="3"/>
                  <c:pt idx="0">
                    <c:v>0.0146689170482494</c:v>
                  </c:pt>
                  <c:pt idx="1">
                    <c:v>0.0409997629614458</c:v>
                  </c:pt>
                  <c:pt idx="2">
                    <c:v>0.0552920866708889</c:v>
                  </c:pt>
                </c:numCache>
              </c:numRef>
            </c:minus>
          </c:errBars>
          <c:xVal>
            <c:numRef>
              <c:f>Sheet1!$A$2:$A$4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20.0</c:v>
                </c:pt>
              </c:numCache>
            </c:numRef>
          </c:xVal>
          <c:yVal>
            <c:numRef>
              <c:f>Sheet1!$W$2:$W$4</c:f>
              <c:numCache>
                <c:formatCode>General</c:formatCode>
                <c:ptCount val="3"/>
                <c:pt idx="0">
                  <c:v>0.042163</c:v>
                </c:pt>
                <c:pt idx="1">
                  <c:v>0.1287055</c:v>
                </c:pt>
                <c:pt idx="2">
                  <c:v>0.306928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407496"/>
        <c:axId val="-2076401784"/>
      </c:scatterChart>
      <c:valAx>
        <c:axId val="-2076407496"/>
        <c:scaling>
          <c:orientation val="minMax"/>
          <c:max val="2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Tissue Factor</a:t>
                </a:r>
                <a:r>
                  <a:rPr lang="en-US" baseline="0"/>
                  <a:t> [pM]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401784"/>
        <c:crosses val="autoZero"/>
        <c:crossBetween val="midCat"/>
      </c:valAx>
      <c:valAx>
        <c:axId val="-2076401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CAT Peak, P [uM]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4074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1"/>
            <c:dispEq val="1"/>
            <c:trendlineLbl>
              <c:layout>
                <c:manualLayout>
                  <c:x val="0.0141251093613298"/>
                  <c:y val="-0.170748396033829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Sheet1!$Y$65:$Y$67</c:f>
                <c:numCache>
                  <c:formatCode>General</c:formatCode>
                  <c:ptCount val="3"/>
                  <c:pt idx="0">
                    <c:v>1.209470958725343</c:v>
                  </c:pt>
                  <c:pt idx="1">
                    <c:v>0.583956333983972</c:v>
                  </c:pt>
                  <c:pt idx="2">
                    <c:v>0.275480441563844</c:v>
                  </c:pt>
                </c:numCache>
              </c:numRef>
            </c:plus>
            <c:minus>
              <c:numRef>
                <c:f>Sheet1!$Y$65:$Y$67</c:f>
                <c:numCache>
                  <c:formatCode>General</c:formatCode>
                  <c:ptCount val="3"/>
                  <c:pt idx="0">
                    <c:v>1.209470958725343</c:v>
                  </c:pt>
                  <c:pt idx="1">
                    <c:v>0.583956333983972</c:v>
                  </c:pt>
                  <c:pt idx="2">
                    <c:v>0.275480441563844</c:v>
                  </c:pt>
                </c:numCache>
              </c:numRef>
            </c:minus>
          </c:errBars>
          <c:xVal>
            <c:numRef>
              <c:f>Sheet1!$A$65:$A$67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20.0</c:v>
                </c:pt>
              </c:numCache>
            </c:numRef>
          </c:xVal>
          <c:yVal>
            <c:numRef>
              <c:f>Sheet1!$W$65:$W$67</c:f>
              <c:numCache>
                <c:formatCode>General</c:formatCode>
                <c:ptCount val="3"/>
                <c:pt idx="0">
                  <c:v>5.781</c:v>
                </c:pt>
                <c:pt idx="1">
                  <c:v>3.2645</c:v>
                </c:pt>
                <c:pt idx="2">
                  <c:v>1.675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369576"/>
        <c:axId val="-2076363880"/>
      </c:scatterChart>
      <c:valAx>
        <c:axId val="-2076369576"/>
        <c:scaling>
          <c:orientation val="minMax"/>
          <c:max val="2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Tissue Factor</a:t>
                </a:r>
                <a:r>
                  <a:rPr lang="en-US" baseline="0"/>
                  <a:t> [pM]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363880"/>
        <c:crosses val="autoZero"/>
        <c:crossBetween val="midCat"/>
      </c:valAx>
      <c:valAx>
        <c:axId val="-2076363880"/>
        <c:scaling>
          <c:orientation val="minMax"/>
          <c:max val="1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Lag Time, T [min]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3695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285424321959755"/>
                  <c:y val="-0.194815179352581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Sheet1!$Y$23:$Y$25</c:f>
                <c:numCache>
                  <c:formatCode>General</c:formatCode>
                  <c:ptCount val="3"/>
                  <c:pt idx="0">
                    <c:v>1.737363095704474</c:v>
                  </c:pt>
                  <c:pt idx="1">
                    <c:v>1.292276958257051</c:v>
                  </c:pt>
                  <c:pt idx="2">
                    <c:v>0.600531343675621</c:v>
                  </c:pt>
                </c:numCache>
              </c:numRef>
            </c:plus>
            <c:minus>
              <c:numRef>
                <c:f>Sheet1!$Y$23:$Y$25</c:f>
                <c:numCache>
                  <c:formatCode>General</c:formatCode>
                  <c:ptCount val="3"/>
                  <c:pt idx="0">
                    <c:v>1.737363095704474</c:v>
                  </c:pt>
                  <c:pt idx="1">
                    <c:v>1.292276958257051</c:v>
                  </c:pt>
                  <c:pt idx="2">
                    <c:v>0.600531343675621</c:v>
                  </c:pt>
                </c:numCache>
              </c:numRef>
            </c:minus>
          </c:errBars>
          <c:xVal>
            <c:numRef>
              <c:f>Sheet1!$A$23:$A$25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20.0</c:v>
                </c:pt>
              </c:numCache>
            </c:numRef>
          </c:xVal>
          <c:yVal>
            <c:numRef>
              <c:f>Sheet1!$W$23:$W$25</c:f>
              <c:numCache>
                <c:formatCode>General</c:formatCode>
                <c:ptCount val="3"/>
                <c:pt idx="0">
                  <c:v>6.008999999999999</c:v>
                </c:pt>
                <c:pt idx="1">
                  <c:v>4.1875</c:v>
                </c:pt>
                <c:pt idx="2">
                  <c:v>2.168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7009144"/>
        <c:axId val="-2076843528"/>
      </c:scatterChart>
      <c:valAx>
        <c:axId val="-2077009144"/>
        <c:scaling>
          <c:orientation val="minMax"/>
          <c:max val="2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Tissue Factor [pM]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843528"/>
        <c:crosses val="autoZero"/>
        <c:crossBetween val="midCat"/>
      </c:valAx>
      <c:valAx>
        <c:axId val="-2076843528"/>
        <c:scaling>
          <c:orientation val="minMax"/>
          <c:max val="8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T_P - Avg.</a:t>
                </a:r>
                <a:r>
                  <a:rPr lang="en-US" baseline="0"/>
                  <a:t> T [min]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70091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errBars>
            <c:errDir val="y"/>
            <c:errBarType val="both"/>
            <c:errValType val="cust"/>
            <c:noEndCap val="0"/>
            <c:plus>
              <c:numRef>
                <c:f>Sheet1!$Y$107:$Y$109</c:f>
                <c:numCache>
                  <c:formatCode>General</c:formatCode>
                  <c:ptCount val="3"/>
                  <c:pt idx="0">
                    <c:v>0.176170832086192</c:v>
                  </c:pt>
                  <c:pt idx="1">
                    <c:v>0.23153774892638</c:v>
                  </c:pt>
                  <c:pt idx="2">
                    <c:v>0.27230974861263</c:v>
                  </c:pt>
                </c:numCache>
              </c:numRef>
            </c:plus>
            <c:minus>
              <c:numRef>
                <c:f>Sheet1!$Y$107:$Y$109</c:f>
                <c:numCache>
                  <c:formatCode>General</c:formatCode>
                  <c:ptCount val="3"/>
                  <c:pt idx="0">
                    <c:v>0.176170832086192</c:v>
                  </c:pt>
                  <c:pt idx="1">
                    <c:v>0.23153774892638</c:v>
                  </c:pt>
                  <c:pt idx="2">
                    <c:v>0.27230974861263</c:v>
                  </c:pt>
                </c:numCache>
              </c:numRef>
            </c:minus>
          </c:errBars>
          <c:xVal>
            <c:numRef>
              <c:f>Sheet1!$A$107:$A$109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20.0</c:v>
                </c:pt>
              </c:numCache>
            </c:numRef>
          </c:xVal>
          <c:yVal>
            <c:numRef>
              <c:f>Sheet1!$W$107:$W$109</c:f>
              <c:numCache>
                <c:formatCode>General</c:formatCode>
                <c:ptCount val="3"/>
                <c:pt idx="0">
                  <c:v>0.496911764705882</c:v>
                </c:pt>
                <c:pt idx="1">
                  <c:v>1.080049</c:v>
                </c:pt>
                <c:pt idx="2">
                  <c:v>1.4168</c:v>
                </c:pt>
              </c:numCache>
            </c:numRef>
          </c:yVal>
          <c:smooth val="0"/>
        </c:ser>
        <c:ser>
          <c:idx val="1"/>
          <c:order val="1"/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Sheet1!$A$128:$A$208</c:f>
              <c:numCache>
                <c:formatCode>General</c:formatCode>
                <c:ptCount val="81"/>
                <c:pt idx="0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6.0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7.0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8.0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9.0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10.0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11.0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12.0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13.0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14.0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15.0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16.0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17.0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18.0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19.0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20.0</c:v>
                </c:pt>
              </c:numCache>
            </c:numRef>
          </c:xVal>
          <c:yVal>
            <c:numRef>
              <c:f>Sheet1!$D$128:$D$208</c:f>
              <c:numCache>
                <c:formatCode>General</c:formatCode>
                <c:ptCount val="81"/>
                <c:pt idx="0">
                  <c:v>0.371867041</c:v>
                </c:pt>
                <c:pt idx="1">
                  <c:v>0.39873061559375</c:v>
                </c:pt>
                <c:pt idx="2">
                  <c:v>0.425330425425</c:v>
                </c:pt>
                <c:pt idx="3">
                  <c:v>0.45166647049375</c:v>
                </c:pt>
                <c:pt idx="4">
                  <c:v>0.4777387508</c:v>
                </c:pt>
                <c:pt idx="5">
                  <c:v>0.50354726634375</c:v>
                </c:pt>
                <c:pt idx="6">
                  <c:v>0.529092017125</c:v>
                </c:pt>
                <c:pt idx="7">
                  <c:v>0.55437300314375</c:v>
                </c:pt>
                <c:pt idx="8">
                  <c:v>0.5793902244</c:v>
                </c:pt>
                <c:pt idx="9">
                  <c:v>0.60414368089375</c:v>
                </c:pt>
                <c:pt idx="10">
                  <c:v>0.628633372625</c:v>
                </c:pt>
                <c:pt idx="11">
                  <c:v>0.65285929959375</c:v>
                </c:pt>
                <c:pt idx="12">
                  <c:v>0.6768214618</c:v>
                </c:pt>
                <c:pt idx="13">
                  <c:v>0.70051985924375</c:v>
                </c:pt>
                <c:pt idx="14">
                  <c:v>0.723954491925</c:v>
                </c:pt>
                <c:pt idx="15">
                  <c:v>0.74712535984375</c:v>
                </c:pt>
                <c:pt idx="16">
                  <c:v>0.770032463</c:v>
                </c:pt>
                <c:pt idx="17">
                  <c:v>0.79267580139375</c:v>
                </c:pt>
                <c:pt idx="18">
                  <c:v>0.815055375025</c:v>
                </c:pt>
                <c:pt idx="19">
                  <c:v>0.83717118389375</c:v>
                </c:pt>
                <c:pt idx="20">
                  <c:v>0.859023228</c:v>
                </c:pt>
                <c:pt idx="21">
                  <c:v>0.88061150734375</c:v>
                </c:pt>
                <c:pt idx="22">
                  <c:v>0.901936021925</c:v>
                </c:pt>
                <c:pt idx="23">
                  <c:v>0.92299677174375</c:v>
                </c:pt>
                <c:pt idx="24">
                  <c:v>0.9437937568</c:v>
                </c:pt>
                <c:pt idx="25">
                  <c:v>0.96432697709375</c:v>
                </c:pt>
                <c:pt idx="26">
                  <c:v>0.984596432625</c:v>
                </c:pt>
                <c:pt idx="27">
                  <c:v>1.00460212339375</c:v>
                </c:pt>
                <c:pt idx="28">
                  <c:v>1.0243440494</c:v>
                </c:pt>
                <c:pt idx="29">
                  <c:v>1.04382221064375</c:v>
                </c:pt>
                <c:pt idx="30">
                  <c:v>1.063036607125</c:v>
                </c:pt>
                <c:pt idx="31">
                  <c:v>1.08198723884375</c:v>
                </c:pt>
                <c:pt idx="32">
                  <c:v>1.1006741058</c:v>
                </c:pt>
                <c:pt idx="33">
                  <c:v>1.11909720799375</c:v>
                </c:pt>
                <c:pt idx="34">
                  <c:v>1.137256545425</c:v>
                </c:pt>
                <c:pt idx="35">
                  <c:v>1.15515211809375</c:v>
                </c:pt>
                <c:pt idx="36">
                  <c:v>1.172783926</c:v>
                </c:pt>
                <c:pt idx="37">
                  <c:v>1.19015196914375</c:v>
                </c:pt>
                <c:pt idx="38">
                  <c:v>1.207256247525</c:v>
                </c:pt>
                <c:pt idx="39">
                  <c:v>1.22409676114375</c:v>
                </c:pt>
                <c:pt idx="40">
                  <c:v>1.24067351</c:v>
                </c:pt>
                <c:pt idx="41">
                  <c:v>1.25698649409375</c:v>
                </c:pt>
                <c:pt idx="42">
                  <c:v>1.273035713425</c:v>
                </c:pt>
                <c:pt idx="43">
                  <c:v>1.28882116799375</c:v>
                </c:pt>
                <c:pt idx="44">
                  <c:v>1.3043428578</c:v>
                </c:pt>
                <c:pt idx="45">
                  <c:v>1.31960078284375</c:v>
                </c:pt>
                <c:pt idx="46">
                  <c:v>1.334594943125</c:v>
                </c:pt>
                <c:pt idx="47">
                  <c:v>1.34932533864375</c:v>
                </c:pt>
                <c:pt idx="48">
                  <c:v>1.3637919694</c:v>
                </c:pt>
                <c:pt idx="49">
                  <c:v>1.37799483539375</c:v>
                </c:pt>
                <c:pt idx="50">
                  <c:v>1.391933936625</c:v>
                </c:pt>
                <c:pt idx="51">
                  <c:v>1.40560927309375</c:v>
                </c:pt>
                <c:pt idx="52">
                  <c:v>1.4190208448</c:v>
                </c:pt>
                <c:pt idx="53">
                  <c:v>1.43216865174375</c:v>
                </c:pt>
                <c:pt idx="54">
                  <c:v>1.445052693925</c:v>
                </c:pt>
                <c:pt idx="55">
                  <c:v>1.45767297134375</c:v>
                </c:pt>
                <c:pt idx="56">
                  <c:v>1.470029484</c:v>
                </c:pt>
                <c:pt idx="57">
                  <c:v>1.48212223189375</c:v>
                </c:pt>
                <c:pt idx="58">
                  <c:v>1.493951215025</c:v>
                </c:pt>
                <c:pt idx="59">
                  <c:v>1.50551643339375</c:v>
                </c:pt>
                <c:pt idx="60">
                  <c:v>1.516817887</c:v>
                </c:pt>
                <c:pt idx="61">
                  <c:v>1.52785557584375</c:v>
                </c:pt>
                <c:pt idx="62">
                  <c:v>1.538629499925</c:v>
                </c:pt>
                <c:pt idx="63">
                  <c:v>1.54913965924375</c:v>
                </c:pt>
                <c:pt idx="64">
                  <c:v>1.5593860538</c:v>
                </c:pt>
                <c:pt idx="65">
                  <c:v>1.56936868359375</c:v>
                </c:pt>
                <c:pt idx="66">
                  <c:v>1.579087548625</c:v>
                </c:pt>
                <c:pt idx="67">
                  <c:v>1.58854264889375</c:v>
                </c:pt>
                <c:pt idx="68">
                  <c:v>1.5977339844</c:v>
                </c:pt>
                <c:pt idx="69">
                  <c:v>1.60666155514375</c:v>
                </c:pt>
                <c:pt idx="70">
                  <c:v>1.615325361125</c:v>
                </c:pt>
                <c:pt idx="71">
                  <c:v>1.62372540234375</c:v>
                </c:pt>
                <c:pt idx="72">
                  <c:v>1.6318616788</c:v>
                </c:pt>
                <c:pt idx="73">
                  <c:v>1.63973419049375</c:v>
                </c:pt>
                <c:pt idx="74">
                  <c:v>1.647342937425</c:v>
                </c:pt>
                <c:pt idx="75">
                  <c:v>1.65468791959375</c:v>
                </c:pt>
                <c:pt idx="76">
                  <c:v>1.661769137</c:v>
                </c:pt>
                <c:pt idx="77">
                  <c:v>1.66858658964375</c:v>
                </c:pt>
                <c:pt idx="78">
                  <c:v>1.675140277525</c:v>
                </c:pt>
                <c:pt idx="79">
                  <c:v>1.68143020064375</c:v>
                </c:pt>
                <c:pt idx="80">
                  <c:v>1.687456359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921976"/>
        <c:axId val="-2077117864"/>
      </c:scatterChart>
      <c:valAx>
        <c:axId val="-2076921976"/>
        <c:scaling>
          <c:orientation val="minMax"/>
          <c:max val="2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Tissue Factor [pM]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7117864"/>
        <c:crosses val="autoZero"/>
        <c:crossBetween val="midCat"/>
      </c:valAx>
      <c:valAx>
        <c:axId val="-2077117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ETP</a:t>
                </a:r>
                <a:r>
                  <a:rPr lang="en-US" baseline="0"/>
                  <a:t>, IIa_tot [um min]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921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0229129483814523"/>
                  <c:y val="0.0510702828813065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Sheet1!$Y$86:$Y$88</c:f>
                <c:numCache>
                  <c:formatCode>General</c:formatCode>
                  <c:ptCount val="3"/>
                  <c:pt idx="0">
                    <c:v>3.055486170038104</c:v>
                  </c:pt>
                  <c:pt idx="1">
                    <c:v>3.742741677321296</c:v>
                  </c:pt>
                  <c:pt idx="2">
                    <c:v>1.593257503884482</c:v>
                  </c:pt>
                </c:numCache>
              </c:numRef>
            </c:plus>
            <c:minus>
              <c:numRef>
                <c:f>Sheet1!$Y$86:$Y$88</c:f>
                <c:numCache>
                  <c:formatCode>General</c:formatCode>
                  <c:ptCount val="3"/>
                  <c:pt idx="0">
                    <c:v>3.055486170038104</c:v>
                  </c:pt>
                  <c:pt idx="1">
                    <c:v>3.742741677321296</c:v>
                  </c:pt>
                  <c:pt idx="2">
                    <c:v>1.593257503884482</c:v>
                  </c:pt>
                </c:numCache>
              </c:numRef>
            </c:minus>
          </c:errBars>
          <c:xVal>
            <c:numRef>
              <c:f>Sheet1!$A$86:$A$88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20.0</c:v>
                </c:pt>
              </c:numCache>
            </c:numRef>
          </c:xVal>
          <c:yVal>
            <c:numRef>
              <c:f>Sheet1!$W$86:$W$88</c:f>
              <c:numCache>
                <c:formatCode>General</c:formatCode>
                <c:ptCount val="3"/>
                <c:pt idx="0">
                  <c:v>26.54311764705882</c:v>
                </c:pt>
                <c:pt idx="1">
                  <c:v>26.82</c:v>
                </c:pt>
                <c:pt idx="2">
                  <c:v>17.492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6293320"/>
        <c:axId val="-2076287944"/>
      </c:scatterChart>
      <c:valAx>
        <c:axId val="-207629332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Tissue Factor [pM]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287944"/>
        <c:crosses val="autoZero"/>
        <c:crossBetween val="midCat"/>
      </c:valAx>
      <c:valAx>
        <c:axId val="-2076287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Start</a:t>
                </a:r>
                <a:r>
                  <a:rPr lang="en-US" baseline="0"/>
                  <a:t> Tail - Avg. Lag [min]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6293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0285424321959755"/>
                  <c:y val="-0.194815179352581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Sheet1!$Y$44:$Y$46</c:f>
                <c:numCache>
                  <c:formatCode>General</c:formatCode>
                  <c:ptCount val="3"/>
                  <c:pt idx="0">
                    <c:v>0.881469466886195</c:v>
                  </c:pt>
                  <c:pt idx="1">
                    <c:v>0.704256793775503</c:v>
                  </c:pt>
                  <c:pt idx="2">
                    <c:v>0.313848773506569</c:v>
                  </c:pt>
                </c:numCache>
              </c:numRef>
            </c:plus>
            <c:minus>
              <c:numRef>
                <c:f>Sheet1!$Y$44:$Y$46</c:f>
                <c:numCache>
                  <c:formatCode>General</c:formatCode>
                  <c:ptCount val="3"/>
                  <c:pt idx="0">
                    <c:v>0.881469466886195</c:v>
                  </c:pt>
                  <c:pt idx="1">
                    <c:v>0.704256793775503</c:v>
                  </c:pt>
                  <c:pt idx="2">
                    <c:v>0.313848773506569</c:v>
                  </c:pt>
                </c:numCache>
              </c:numRef>
            </c:minus>
          </c:errBars>
          <c:xVal>
            <c:numRef>
              <c:f>Sheet1!$A$44:$A$46</c:f>
              <c:numCache>
                <c:formatCode>General</c:formatCode>
                <c:ptCount val="3"/>
                <c:pt idx="0">
                  <c:v>1.0</c:v>
                </c:pt>
                <c:pt idx="1">
                  <c:v>5.0</c:v>
                </c:pt>
                <c:pt idx="2">
                  <c:v>20.0</c:v>
                </c:pt>
              </c:numCache>
            </c:numRef>
          </c:xVal>
          <c:yVal>
            <c:numRef>
              <c:f>Sheet1!$W$44:$W$46</c:f>
              <c:numCache>
                <c:formatCode>General</c:formatCode>
                <c:ptCount val="3"/>
                <c:pt idx="0">
                  <c:v>6.009</c:v>
                </c:pt>
                <c:pt idx="1">
                  <c:v>4.1875</c:v>
                </c:pt>
                <c:pt idx="2">
                  <c:v>2.168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8770168"/>
        <c:axId val="-2079275272"/>
      </c:scatterChart>
      <c:valAx>
        <c:axId val="-2078770168"/>
        <c:scaling>
          <c:orientation val="minMax"/>
          <c:max val="20.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Tissue Factor [pM]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9275272"/>
        <c:crosses val="autoZero"/>
        <c:crossBetween val="midCat"/>
      </c:valAx>
      <c:valAx>
        <c:axId val="-2079275272"/>
        <c:scaling>
          <c:orientation val="minMax"/>
          <c:max val="8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Avg. (T_P -</a:t>
                </a:r>
                <a:r>
                  <a:rPr lang="en-US" baseline="0"/>
                  <a:t> T) [min]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78770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101600</xdr:colOff>
      <xdr:row>5</xdr:row>
      <xdr:rowOff>88900</xdr:rowOff>
    </xdr:from>
    <xdr:to>
      <xdr:col>5</xdr:col>
      <xdr:colOff>762000</xdr:colOff>
      <xdr:row>19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88900</xdr:colOff>
      <xdr:row>68</xdr:row>
      <xdr:rowOff>95250</xdr:rowOff>
    </xdr:from>
    <xdr:to>
      <xdr:col>5</xdr:col>
      <xdr:colOff>749300</xdr:colOff>
      <xdr:row>82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88900</xdr:colOff>
      <xdr:row>26</xdr:row>
      <xdr:rowOff>120650</xdr:rowOff>
    </xdr:from>
    <xdr:to>
      <xdr:col>5</xdr:col>
      <xdr:colOff>749300</xdr:colOff>
      <xdr:row>41</xdr:row>
      <xdr:rowOff>6350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88900</xdr:colOff>
      <xdr:row>110</xdr:row>
      <xdr:rowOff>107950</xdr:rowOff>
    </xdr:from>
    <xdr:to>
      <xdr:col>5</xdr:col>
      <xdr:colOff>749300</xdr:colOff>
      <xdr:row>124</xdr:row>
      <xdr:rowOff>184150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12700</xdr:colOff>
      <xdr:row>89</xdr:row>
      <xdr:rowOff>0</xdr:rowOff>
    </xdr:from>
    <xdr:to>
      <xdr:col>5</xdr:col>
      <xdr:colOff>673100</xdr:colOff>
      <xdr:row>103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114300</xdr:colOff>
      <xdr:row>47</xdr:row>
      <xdr:rowOff>139700</xdr:rowOff>
    </xdr:from>
    <xdr:to>
      <xdr:col>5</xdr:col>
      <xdr:colOff>774700</xdr:colOff>
      <xdr:row>62</xdr:row>
      <xdr:rowOff>25400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"/>
  <sheetViews>
    <sheetView tabSelected="1" topLeftCell="A55" workbookViewId="0">
      <selection activeCell="G74" sqref="G74"/>
    </sheetView>
  </sheetViews>
  <sheetFormatPr baseColWidth="10" defaultColWidth="12.83203125" defaultRowHeight="15" x14ac:dyDescent="0"/>
  <sheetData>
    <row r="1" spans="1: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W1" t="s">
        <v>6</v>
      </c>
      <c r="X1" t="s">
        <v>22</v>
      </c>
      <c r="Y1" t="s">
        <v>66</v>
      </c>
    </row>
    <row r="2" spans="1:25">
      <c r="A2">
        <v>1</v>
      </c>
      <c r="B2">
        <f>47.29/1000</f>
        <v>4.7289999999999999E-2</v>
      </c>
      <c r="C2">
        <f>41.05/1000</f>
        <v>4.1049999999999996E-2</v>
      </c>
      <c r="D2">
        <f>39.17/1000</f>
        <v>3.9170000000000003E-2</v>
      </c>
      <c r="E2">
        <f>61.92/1000</f>
        <v>6.1920000000000003E-2</v>
      </c>
      <c r="F2">
        <f>26.23/1000</f>
        <v>2.623E-2</v>
      </c>
      <c r="G2">
        <f>80.81/1000</f>
        <v>8.0810000000000007E-2</v>
      </c>
      <c r="H2">
        <f>45.07/1000</f>
        <v>4.5069999999999999E-2</v>
      </c>
      <c r="I2">
        <f>44/1000</f>
        <v>4.3999999999999997E-2</v>
      </c>
      <c r="J2">
        <f>38.43/1000</f>
        <v>3.8429999999999999E-2</v>
      </c>
      <c r="K2">
        <f>38.01/1000</f>
        <v>3.8009999999999995E-2</v>
      </c>
      <c r="L2">
        <f>48.94/1000</f>
        <v>4.8939999999999997E-2</v>
      </c>
      <c r="M2">
        <f>30.28/1000</f>
        <v>3.0280000000000001E-2</v>
      </c>
      <c r="N2">
        <f>58.12/1000</f>
        <v>5.8119999999999998E-2</v>
      </c>
      <c r="O2">
        <f>63.2/1000</f>
        <v>6.3200000000000006E-2</v>
      </c>
      <c r="P2">
        <f>25.44/1000</f>
        <v>2.5440000000000001E-2</v>
      </c>
      <c r="Q2">
        <f>34.51/1000</f>
        <v>3.4509999999999999E-2</v>
      </c>
      <c r="R2">
        <f>37.63/1000</f>
        <v>3.7630000000000004E-2</v>
      </c>
      <c r="S2">
        <f>28.04/1000</f>
        <v>2.8039999999999999E-2</v>
      </c>
      <c r="T2">
        <f>26.55/1000</f>
        <v>2.6550000000000001E-2</v>
      </c>
      <c r="U2">
        <f>28.57/1000</f>
        <v>2.8570000000000002E-2</v>
      </c>
      <c r="W2">
        <f>AVERAGE(B2:U2)</f>
        <v>4.2162999999999999E-2</v>
      </c>
      <c r="X2">
        <f>STDEV(B2:U2)/SQRT(20)</f>
        <v>3.2800695676191171E-3</v>
      </c>
      <c r="Y2">
        <f>STDEV(B2:U2)</f>
        <v>1.4668917048249379E-2</v>
      </c>
    </row>
    <row r="3" spans="1:25">
      <c r="A3">
        <v>5</v>
      </c>
      <c r="B3">
        <f>179.13/1000</f>
        <v>0.17912999999999998</v>
      </c>
      <c r="C3">
        <f>151.4/1000</f>
        <v>0.15140000000000001</v>
      </c>
      <c r="D3">
        <f>129.55/1000</f>
        <v>0.12955</v>
      </c>
      <c r="E3">
        <f>170.4/1000</f>
        <v>0.1704</v>
      </c>
      <c r="F3">
        <f>65.68/1000</f>
        <v>6.5680000000000002E-2</v>
      </c>
      <c r="G3">
        <f>193.17/1000</f>
        <v>0.19316999999999998</v>
      </c>
      <c r="H3">
        <f>209.66/1000</f>
        <v>0.20965999999999999</v>
      </c>
      <c r="I3">
        <f>173.95/1000</f>
        <v>0.17394999999999999</v>
      </c>
      <c r="J3">
        <f>138.74/1000</f>
        <v>0.13874</v>
      </c>
      <c r="K3">
        <f>129.06/1000</f>
        <v>0.12906000000000001</v>
      </c>
      <c r="L3">
        <f>104.51/1000</f>
        <v>0.10451000000000001</v>
      </c>
      <c r="M3">
        <f>72.13/1000</f>
        <v>7.213E-2</v>
      </c>
      <c r="N3">
        <f>93.38/1000</f>
        <v>9.3379999999999991E-2</v>
      </c>
      <c r="O3">
        <f>128.85/1000</f>
        <v>0.12884999999999999</v>
      </c>
      <c r="P3">
        <f>91.37/1000</f>
        <v>9.1370000000000007E-2</v>
      </c>
      <c r="Q3">
        <f>114.68/1000</f>
        <v>0.11468</v>
      </c>
      <c r="R3">
        <f>131.1/1000</f>
        <v>0.13109999999999999</v>
      </c>
      <c r="S3">
        <f>93.06/1000</f>
        <v>9.3060000000000004E-2</v>
      </c>
      <c r="T3">
        <f>124.51/1000</f>
        <v>0.12451000000000001</v>
      </c>
      <c r="U3">
        <f>79.78/1000</f>
        <v>7.9780000000000004E-2</v>
      </c>
      <c r="W3">
        <f t="shared" ref="W3:W4" si="0">AVERAGE(B3:U3)</f>
        <v>0.12870549999999997</v>
      </c>
      <c r="X3">
        <f t="shared" ref="X3:X4" si="1">STDEV(B3:U3)/SQRT(20)</f>
        <v>9.1678257043170917E-3</v>
      </c>
      <c r="Y3">
        <f t="shared" ref="Y3:Y4" si="2">STDEV(B3:U3)</f>
        <v>4.0999762961445814E-2</v>
      </c>
    </row>
    <row r="4" spans="1:25">
      <c r="A4">
        <v>20</v>
      </c>
      <c r="B4">
        <f>340.69/1000</f>
        <v>0.34068999999999999</v>
      </c>
      <c r="C4">
        <f>371.2/1000</f>
        <v>0.37119999999999997</v>
      </c>
      <c r="D4">
        <f>372.68/1000</f>
        <v>0.37268000000000001</v>
      </c>
      <c r="E4">
        <f>268.76/1000</f>
        <v>0.26876</v>
      </c>
      <c r="F4">
        <f>171.58/1000</f>
        <v>0.17158000000000001</v>
      </c>
      <c r="G4">
        <f>337.35/1000</f>
        <v>0.33735000000000004</v>
      </c>
      <c r="H4">
        <f>336.6/1000</f>
        <v>0.33660000000000001</v>
      </c>
      <c r="I4">
        <f>339.9/1000</f>
        <v>0.33989999999999998</v>
      </c>
      <c r="J4">
        <f>287.14/1000</f>
        <v>0.28714000000000001</v>
      </c>
      <c r="K4">
        <f>306.92/1000</f>
        <v>0.30692000000000003</v>
      </c>
      <c r="L4">
        <f>314.97/1000</f>
        <v>0.31497000000000003</v>
      </c>
      <c r="M4">
        <f>189.08/1000</f>
        <v>0.18908000000000003</v>
      </c>
      <c r="N4">
        <f>270.18/1000</f>
        <v>0.27018000000000003</v>
      </c>
      <c r="O4">
        <f>270.33/1000</f>
        <v>0.27032999999999996</v>
      </c>
      <c r="P4">
        <f>268.95/1000</f>
        <v>0.26894999999999997</v>
      </c>
      <c r="Q4">
        <f>359.94/1000</f>
        <v>0.35993999999999998</v>
      </c>
      <c r="R4">
        <f>320.77/1000</f>
        <v>0.32077</v>
      </c>
      <c r="S4">
        <f>369.06/1000</f>
        <v>0.36906</v>
      </c>
      <c r="T4">
        <f>327.4/1000</f>
        <v>0.32739999999999997</v>
      </c>
      <c r="U4">
        <f>315.06/1000</f>
        <v>0.31506000000000001</v>
      </c>
      <c r="W4">
        <f t="shared" si="0"/>
        <v>0.30692799999999998</v>
      </c>
      <c r="X4">
        <f t="shared" si="1"/>
        <v>1.2363686441391771E-2</v>
      </c>
      <c r="Y4">
        <f t="shared" si="2"/>
        <v>5.5292086670888939E-2</v>
      </c>
    </row>
    <row r="22" spans="1:25">
      <c r="A22" t="s">
        <v>0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53</v>
      </c>
      <c r="L22" t="s">
        <v>54</v>
      </c>
      <c r="M22" t="s">
        <v>55</v>
      </c>
      <c r="N22" t="s">
        <v>56</v>
      </c>
      <c r="O22" t="s">
        <v>57</v>
      </c>
      <c r="P22" t="s">
        <v>58</v>
      </c>
      <c r="Q22" t="s">
        <v>59</v>
      </c>
      <c r="R22" t="s">
        <v>60</v>
      </c>
      <c r="S22" t="s">
        <v>61</v>
      </c>
      <c r="T22" t="s">
        <v>62</v>
      </c>
      <c r="U22" t="s">
        <v>63</v>
      </c>
      <c r="V22" t="s">
        <v>64</v>
      </c>
      <c r="W22" t="s">
        <v>65</v>
      </c>
      <c r="X22" t="s">
        <v>22</v>
      </c>
      <c r="Y22" t="s">
        <v>66</v>
      </c>
    </row>
    <row r="23" spans="1:25">
      <c r="A23">
        <v>1</v>
      </c>
      <c r="B23">
        <v>10</v>
      </c>
      <c r="C23">
        <v>11.17</v>
      </c>
      <c r="D23">
        <v>12.78</v>
      </c>
      <c r="E23">
        <v>10.11</v>
      </c>
      <c r="F23">
        <v>11.83</v>
      </c>
      <c r="G23">
        <v>9.67</v>
      </c>
      <c r="H23">
        <v>10.17</v>
      </c>
      <c r="I23">
        <v>12.67</v>
      </c>
      <c r="J23">
        <v>10.67</v>
      </c>
      <c r="K23">
        <v>13.17</v>
      </c>
      <c r="L23">
        <v>12.55</v>
      </c>
      <c r="M23">
        <v>12.77</v>
      </c>
      <c r="N23">
        <v>12.21</v>
      </c>
      <c r="O23">
        <v>12.77</v>
      </c>
      <c r="P23">
        <v>11.32</v>
      </c>
      <c r="Q23">
        <v>11.92</v>
      </c>
      <c r="R23">
        <v>11.75</v>
      </c>
      <c r="S23">
        <v>14.59</v>
      </c>
      <c r="T23">
        <v>11.42</v>
      </c>
      <c r="U23">
        <v>12.26</v>
      </c>
      <c r="V23">
        <f>AVERAGE(B23:U23)</f>
        <v>11.79</v>
      </c>
      <c r="W23">
        <f>V23-W65</f>
        <v>6.0089999999999986</v>
      </c>
      <c r="X23">
        <f>SQRT(STDEV(B23:U23)^2+STDEV(B65:U65)^2)/SQRT(20)</f>
        <v>0.38848619835946763</v>
      </c>
      <c r="Y23">
        <f>SQRT(STDEV(B23:U23)^2+STDEV(B65:U65)^2)</f>
        <v>1.7373630957044739</v>
      </c>
    </row>
    <row r="24" spans="1:25">
      <c r="A24">
        <v>5</v>
      </c>
      <c r="B24">
        <v>6</v>
      </c>
      <c r="C24">
        <v>6.44</v>
      </c>
      <c r="D24">
        <v>8.2200000000000006</v>
      </c>
      <c r="E24">
        <v>6.44</v>
      </c>
      <c r="F24">
        <v>7.22</v>
      </c>
      <c r="G24">
        <v>5.89</v>
      </c>
      <c r="H24">
        <v>5.78</v>
      </c>
      <c r="I24">
        <v>7</v>
      </c>
      <c r="J24">
        <v>6.33</v>
      </c>
      <c r="K24">
        <v>6.67</v>
      </c>
      <c r="L24">
        <v>8.65</v>
      </c>
      <c r="M24">
        <v>8.65</v>
      </c>
      <c r="N24">
        <v>9.2100000000000009</v>
      </c>
      <c r="O24">
        <v>9.1</v>
      </c>
      <c r="P24">
        <v>7.32</v>
      </c>
      <c r="Q24">
        <v>7.58</v>
      </c>
      <c r="R24">
        <v>7.8</v>
      </c>
      <c r="S24">
        <v>9.14</v>
      </c>
      <c r="T24">
        <v>7.02</v>
      </c>
      <c r="U24">
        <v>8.58</v>
      </c>
      <c r="V24">
        <f t="shared" ref="V24:V25" si="3">AVERAGE(B24:U24)</f>
        <v>7.4520000000000008</v>
      </c>
      <c r="W24">
        <f>V24-W66</f>
        <v>4.1875</v>
      </c>
      <c r="X24">
        <f>SQRT(STDEV(B24:U24)^2+STDEV(B66:U66)^2)/SQRT(20)</f>
        <v>0.28896191244194241</v>
      </c>
      <c r="Y24">
        <f>SQRT(STDEV(B24:U24)^2+STDEV(B66:U66)^2)</f>
        <v>1.292276958257051</v>
      </c>
    </row>
    <row r="25" spans="1:25">
      <c r="A25">
        <v>20</v>
      </c>
      <c r="B25">
        <v>3.33</v>
      </c>
      <c r="C25">
        <v>3.33</v>
      </c>
      <c r="D25">
        <v>4</v>
      </c>
      <c r="E25">
        <v>3.56</v>
      </c>
      <c r="F25">
        <v>3.67</v>
      </c>
      <c r="G25">
        <v>3</v>
      </c>
      <c r="H25">
        <v>3.33</v>
      </c>
      <c r="I25">
        <v>4</v>
      </c>
      <c r="J25">
        <v>3.33</v>
      </c>
      <c r="K25">
        <v>3.33</v>
      </c>
      <c r="L25">
        <v>4.3099999999999996</v>
      </c>
      <c r="M25">
        <v>4.6500000000000004</v>
      </c>
      <c r="N25">
        <v>4.6500000000000004</v>
      </c>
      <c r="O25">
        <v>4.9800000000000004</v>
      </c>
      <c r="P25">
        <v>3.98</v>
      </c>
      <c r="Q25">
        <v>3.68</v>
      </c>
      <c r="R25">
        <v>3.79</v>
      </c>
      <c r="S25">
        <v>4.0199999999999996</v>
      </c>
      <c r="T25">
        <v>3.57</v>
      </c>
      <c r="U25">
        <v>4.3499999999999996</v>
      </c>
      <c r="V25">
        <f t="shared" si="3"/>
        <v>3.8429999999999991</v>
      </c>
      <c r="W25">
        <f>V25-W67</f>
        <v>2.1679999999999993</v>
      </c>
      <c r="X25">
        <f>SQRT(STDEV(B25:U25)^2+STDEV(B67:U67)^2)/SQRT(20)</f>
        <v>0.13428289070779773</v>
      </c>
      <c r="Y25">
        <f>SQRT(STDEV(B25:U25)^2+STDEV(B67:U67)^2)</f>
        <v>0.60053134367562111</v>
      </c>
    </row>
    <row r="43" spans="1:25">
      <c r="A43" t="s">
        <v>0</v>
      </c>
      <c r="B43" t="s">
        <v>114</v>
      </c>
      <c r="C43" t="s">
        <v>115</v>
      </c>
      <c r="D43" t="s">
        <v>116</v>
      </c>
      <c r="E43" t="s">
        <v>117</v>
      </c>
      <c r="F43" t="s">
        <v>118</v>
      </c>
      <c r="G43" t="s">
        <v>119</v>
      </c>
      <c r="H43" t="s">
        <v>120</v>
      </c>
      <c r="I43" t="s">
        <v>121</v>
      </c>
      <c r="J43" t="s">
        <v>122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  <c r="R43" t="s">
        <v>130</v>
      </c>
      <c r="S43" t="s">
        <v>131</v>
      </c>
      <c r="T43" t="s">
        <v>132</v>
      </c>
      <c r="U43" t="s">
        <v>133</v>
      </c>
      <c r="W43" t="s">
        <v>134</v>
      </c>
      <c r="Y43" t="s">
        <v>66</v>
      </c>
    </row>
    <row r="44" spans="1:25">
      <c r="A44">
        <v>1</v>
      </c>
      <c r="B44">
        <f>B23-B65</f>
        <v>6.17</v>
      </c>
      <c r="C44">
        <f t="shared" ref="C44:L44" si="4">C23-C65</f>
        <v>6.34</v>
      </c>
      <c r="D44">
        <f t="shared" si="4"/>
        <v>5.9999999999999991</v>
      </c>
      <c r="E44">
        <f t="shared" si="4"/>
        <v>4.7799999999999994</v>
      </c>
      <c r="F44">
        <f t="shared" si="4"/>
        <v>5.5</v>
      </c>
      <c r="G44">
        <f t="shared" si="4"/>
        <v>5.34</v>
      </c>
      <c r="H44">
        <f t="shared" si="4"/>
        <v>5.5</v>
      </c>
      <c r="I44">
        <f t="shared" si="4"/>
        <v>6.89</v>
      </c>
      <c r="J44">
        <f t="shared" si="4"/>
        <v>6.34</v>
      </c>
      <c r="K44">
        <f t="shared" si="4"/>
        <v>9.17</v>
      </c>
      <c r="L44">
        <f t="shared" si="4"/>
        <v>5.23</v>
      </c>
      <c r="M44">
        <f>M23-M65</f>
        <v>5.8999999999999995</v>
      </c>
      <c r="N44">
        <f t="shared" ref="N44:O44" si="5">N23-N65</f>
        <v>5.6700000000000008</v>
      </c>
      <c r="O44">
        <f t="shared" si="5"/>
        <v>6.1199999999999992</v>
      </c>
      <c r="P44">
        <f>P23-P65</f>
        <v>5.67</v>
      </c>
      <c r="Q44">
        <f t="shared" ref="Q44:U44" si="6">Q23-Q65</f>
        <v>6.18</v>
      </c>
      <c r="R44">
        <f t="shared" si="6"/>
        <v>5.67</v>
      </c>
      <c r="S44">
        <f t="shared" si="6"/>
        <v>6.18</v>
      </c>
      <c r="T44">
        <f t="shared" si="6"/>
        <v>6.01</v>
      </c>
      <c r="U44">
        <f t="shared" si="6"/>
        <v>5.52</v>
      </c>
      <c r="W44">
        <f>AVERAGE(B44:U44)</f>
        <v>6.0090000000000003</v>
      </c>
      <c r="Y44">
        <f>STDEV(B44:U44)</f>
        <v>0.88146946688619487</v>
      </c>
    </row>
    <row r="45" spans="1:25">
      <c r="A45">
        <v>5</v>
      </c>
      <c r="B45">
        <f>B24-B66</f>
        <v>3.56</v>
      </c>
      <c r="C45">
        <f>C24-C66</f>
        <v>4</v>
      </c>
      <c r="D45">
        <f>D24-D66</f>
        <v>4.5500000000000007</v>
      </c>
      <c r="E45">
        <f>E24-E66</f>
        <v>3.1100000000000003</v>
      </c>
      <c r="F45">
        <f>F24-F66</f>
        <v>4.1099999999999994</v>
      </c>
      <c r="G45">
        <f>G24-G66</f>
        <v>3.4499999999999997</v>
      </c>
      <c r="H45">
        <f>H24-H66</f>
        <v>3.1100000000000003</v>
      </c>
      <c r="I45">
        <f>I24-I66</f>
        <v>3.44</v>
      </c>
      <c r="J45">
        <f>J24-J66</f>
        <v>3.5500000000000003</v>
      </c>
      <c r="K45">
        <f>K24-K66</f>
        <v>4.2300000000000004</v>
      </c>
      <c r="L45">
        <f>L24-L66</f>
        <v>4.3400000000000007</v>
      </c>
      <c r="M45">
        <f t="shared" ref="M45:U45" si="7">M24-M66</f>
        <v>5.01</v>
      </c>
      <c r="N45">
        <f t="shared" si="7"/>
        <v>5.57</v>
      </c>
      <c r="O45">
        <f t="shared" si="7"/>
        <v>5.2299999999999995</v>
      </c>
      <c r="P45">
        <f t="shared" si="7"/>
        <v>4.34</v>
      </c>
      <c r="Q45">
        <f t="shared" si="7"/>
        <v>4.34</v>
      </c>
      <c r="R45">
        <f t="shared" si="7"/>
        <v>4.2300000000000004</v>
      </c>
      <c r="S45">
        <f t="shared" si="7"/>
        <v>5.120000000000001</v>
      </c>
      <c r="T45">
        <f t="shared" si="7"/>
        <v>3.7799999999999994</v>
      </c>
      <c r="U45">
        <f t="shared" si="7"/>
        <v>4.68</v>
      </c>
      <c r="W45">
        <f t="shared" ref="W45:W46" si="8">AVERAGE(B45:U45)</f>
        <v>4.1875</v>
      </c>
      <c r="Y45">
        <f t="shared" ref="Y45:Y46" si="9">STDEV(B45:U45)</f>
        <v>0.70425679377550332</v>
      </c>
    </row>
    <row r="46" spans="1:25">
      <c r="A46">
        <v>20</v>
      </c>
      <c r="B46">
        <f>B25-B67</f>
        <v>2</v>
      </c>
      <c r="C46">
        <f>C25-C67</f>
        <v>2</v>
      </c>
      <c r="D46">
        <f>D25-D67</f>
        <v>2.1100000000000003</v>
      </c>
      <c r="E46">
        <f>E25-E67</f>
        <v>1.8900000000000001</v>
      </c>
      <c r="F46">
        <f>F25-F67</f>
        <v>2</v>
      </c>
      <c r="G46">
        <f>G25-G67</f>
        <v>1.67</v>
      </c>
      <c r="H46">
        <f>H25-H67</f>
        <v>2</v>
      </c>
      <c r="I46">
        <f>I25-I67</f>
        <v>2</v>
      </c>
      <c r="J46">
        <f>J25-J67</f>
        <v>2</v>
      </c>
      <c r="K46">
        <f>K25-K67</f>
        <v>2</v>
      </c>
      <c r="L46">
        <f>L25-L67</f>
        <v>2.2199999999999998</v>
      </c>
      <c r="M46">
        <f t="shared" ref="M46:U46" si="10">M25-M67</f>
        <v>2.6700000000000004</v>
      </c>
      <c r="N46">
        <f t="shared" si="10"/>
        <v>2.6700000000000004</v>
      </c>
      <c r="O46">
        <f t="shared" si="10"/>
        <v>3.0000000000000004</v>
      </c>
      <c r="P46">
        <f t="shared" si="10"/>
        <v>2.34</v>
      </c>
      <c r="Q46">
        <f t="shared" si="10"/>
        <v>2.1100000000000003</v>
      </c>
      <c r="R46">
        <f t="shared" si="10"/>
        <v>2.1100000000000003</v>
      </c>
      <c r="S46">
        <f t="shared" si="10"/>
        <v>2.1199999999999997</v>
      </c>
      <c r="T46">
        <f t="shared" si="10"/>
        <v>1.9999999999999998</v>
      </c>
      <c r="U46">
        <f t="shared" si="10"/>
        <v>2.4499999999999997</v>
      </c>
      <c r="W46">
        <f t="shared" si="8"/>
        <v>2.1680000000000001</v>
      </c>
      <c r="Y46">
        <f t="shared" si="9"/>
        <v>0.31384877350656903</v>
      </c>
    </row>
    <row r="64" spans="1:25">
      <c r="A64" t="s">
        <v>0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41</v>
      </c>
      <c r="U64" t="s">
        <v>42</v>
      </c>
      <c r="W64" t="s">
        <v>43</v>
      </c>
      <c r="X64" t="s">
        <v>22</v>
      </c>
      <c r="Y64" t="s">
        <v>66</v>
      </c>
    </row>
    <row r="65" spans="1:25">
      <c r="A65">
        <v>1</v>
      </c>
      <c r="B65">
        <v>3.83</v>
      </c>
      <c r="C65">
        <v>4.83</v>
      </c>
      <c r="D65">
        <v>6.78</v>
      </c>
      <c r="E65">
        <v>5.33</v>
      </c>
      <c r="F65">
        <v>6.33</v>
      </c>
      <c r="G65">
        <v>4.33</v>
      </c>
      <c r="H65">
        <v>4.67</v>
      </c>
      <c r="I65">
        <v>5.78</v>
      </c>
      <c r="J65">
        <v>4.33</v>
      </c>
      <c r="K65">
        <v>4</v>
      </c>
      <c r="L65">
        <v>7.32</v>
      </c>
      <c r="M65">
        <v>6.87</v>
      </c>
      <c r="N65">
        <v>6.54</v>
      </c>
      <c r="O65">
        <v>6.65</v>
      </c>
      <c r="P65">
        <v>5.65</v>
      </c>
      <c r="Q65">
        <v>5.74</v>
      </c>
      <c r="R65">
        <v>6.08</v>
      </c>
      <c r="S65">
        <v>8.41</v>
      </c>
      <c r="T65">
        <v>5.41</v>
      </c>
      <c r="U65">
        <v>6.74</v>
      </c>
      <c r="W65">
        <f>AVERAGE(B65:U65)</f>
        <v>5.7810000000000006</v>
      </c>
      <c r="X65">
        <f>STDEV(B65:U65)/SQRT(20)</f>
        <v>0.27044592805217099</v>
      </c>
      <c r="Y65">
        <f>STDEV(B65:U65)</f>
        <v>1.2094709587253434</v>
      </c>
    </row>
    <row r="66" spans="1:25">
      <c r="A66">
        <v>5</v>
      </c>
      <c r="B66">
        <v>2.44</v>
      </c>
      <c r="C66">
        <v>2.44</v>
      </c>
      <c r="D66">
        <v>3.67</v>
      </c>
      <c r="E66">
        <v>3.33</v>
      </c>
      <c r="F66">
        <v>3.11</v>
      </c>
      <c r="G66">
        <v>2.44</v>
      </c>
      <c r="H66">
        <v>2.67</v>
      </c>
      <c r="I66">
        <v>3.56</v>
      </c>
      <c r="J66">
        <v>2.78</v>
      </c>
      <c r="K66">
        <v>2.44</v>
      </c>
      <c r="L66">
        <v>4.3099999999999996</v>
      </c>
      <c r="M66">
        <v>3.64</v>
      </c>
      <c r="N66">
        <v>3.64</v>
      </c>
      <c r="O66">
        <v>3.87</v>
      </c>
      <c r="P66">
        <v>2.98</v>
      </c>
      <c r="Q66">
        <v>3.24</v>
      </c>
      <c r="R66">
        <v>3.57</v>
      </c>
      <c r="S66">
        <v>4.0199999999999996</v>
      </c>
      <c r="T66">
        <v>3.24</v>
      </c>
      <c r="U66">
        <v>3.9</v>
      </c>
      <c r="W66">
        <f t="shared" ref="W66:W67" si="11">AVERAGE(B66:U66)</f>
        <v>3.2645000000000004</v>
      </c>
      <c r="X66">
        <f t="shared" ref="X66:X67" si="12">STDEV(B66:U66)/SQRT(20)</f>
        <v>0.13057660586797315</v>
      </c>
      <c r="Y66">
        <f t="shared" ref="Y66:Y67" si="13">STDEV(B66:U66)</f>
        <v>0.58395633398397184</v>
      </c>
    </row>
    <row r="67" spans="1:25">
      <c r="A67">
        <v>20</v>
      </c>
      <c r="B67">
        <v>1.33</v>
      </c>
      <c r="C67">
        <v>1.33</v>
      </c>
      <c r="D67">
        <v>1.89</v>
      </c>
      <c r="E67">
        <v>1.67</v>
      </c>
      <c r="F67">
        <v>1.67</v>
      </c>
      <c r="G67">
        <v>1.33</v>
      </c>
      <c r="H67">
        <v>1.33</v>
      </c>
      <c r="I67">
        <v>2</v>
      </c>
      <c r="J67">
        <v>1.33</v>
      </c>
      <c r="K67">
        <v>1.33</v>
      </c>
      <c r="L67">
        <v>2.09</v>
      </c>
      <c r="M67">
        <v>1.98</v>
      </c>
      <c r="N67">
        <v>1.98</v>
      </c>
      <c r="O67">
        <v>1.98</v>
      </c>
      <c r="P67">
        <v>1.64</v>
      </c>
      <c r="Q67">
        <v>1.57</v>
      </c>
      <c r="R67">
        <v>1.68</v>
      </c>
      <c r="S67">
        <v>1.9</v>
      </c>
      <c r="T67">
        <v>1.57</v>
      </c>
      <c r="U67">
        <v>1.9</v>
      </c>
      <c r="W67">
        <f t="shared" si="11"/>
        <v>1.675</v>
      </c>
      <c r="X67">
        <f t="shared" si="12"/>
        <v>6.1599299380841313E-2</v>
      </c>
      <c r="Y67">
        <f t="shared" si="13"/>
        <v>0.27548044156384377</v>
      </c>
    </row>
    <row r="85" spans="1:25">
      <c r="A85" t="s">
        <v>0</v>
      </c>
      <c r="B85" t="s">
        <v>88</v>
      </c>
      <c r="C85" t="s">
        <v>89</v>
      </c>
      <c r="D85" t="s">
        <v>90</v>
      </c>
      <c r="E85" t="s">
        <v>91</v>
      </c>
      <c r="F85" t="s">
        <v>92</v>
      </c>
      <c r="G85" t="s">
        <v>93</v>
      </c>
      <c r="H85" t="s">
        <v>94</v>
      </c>
      <c r="I85" t="s">
        <v>95</v>
      </c>
      <c r="J85" t="s">
        <v>96</v>
      </c>
      <c r="K85" t="s">
        <v>97</v>
      </c>
      <c r="L85" t="s">
        <v>98</v>
      </c>
      <c r="M85" t="s">
        <v>99</v>
      </c>
      <c r="N85" t="s">
        <v>100</v>
      </c>
      <c r="O85" t="s">
        <v>101</v>
      </c>
      <c r="P85" t="s">
        <v>102</v>
      </c>
      <c r="Q85" t="s">
        <v>103</v>
      </c>
      <c r="R85" t="s">
        <v>104</v>
      </c>
      <c r="S85" t="s">
        <v>105</v>
      </c>
      <c r="T85" t="s">
        <v>106</v>
      </c>
      <c r="U85" t="s">
        <v>107</v>
      </c>
      <c r="V85" t="s">
        <v>108</v>
      </c>
      <c r="W85" t="s">
        <v>109</v>
      </c>
      <c r="X85" t="s">
        <v>22</v>
      </c>
      <c r="Y85" t="s">
        <v>66</v>
      </c>
    </row>
    <row r="86" spans="1:25">
      <c r="A86">
        <v>1</v>
      </c>
      <c r="B86">
        <v>29.5</v>
      </c>
      <c r="C86">
        <v>27.5</v>
      </c>
      <c r="D86">
        <v>29.67</v>
      </c>
      <c r="E86">
        <v>36</v>
      </c>
      <c r="F86">
        <v>32</v>
      </c>
      <c r="G86">
        <v>35.67</v>
      </c>
      <c r="H86">
        <v>30.5</v>
      </c>
      <c r="L86">
        <v>36</v>
      </c>
      <c r="M86">
        <v>31.67</v>
      </c>
      <c r="N86">
        <v>36</v>
      </c>
      <c r="O86">
        <v>36</v>
      </c>
      <c r="P86">
        <v>32</v>
      </c>
      <c r="Q86">
        <v>33</v>
      </c>
      <c r="R86">
        <v>33.5</v>
      </c>
      <c r="S86">
        <v>29.5</v>
      </c>
      <c r="T86">
        <v>29.5</v>
      </c>
      <c r="U86">
        <v>31.5</v>
      </c>
      <c r="V86">
        <f>AVERAGE(B86:U86)</f>
        <v>32.32411764705882</v>
      </c>
      <c r="W86">
        <f>V86-W65</f>
        <v>26.543117647058821</v>
      </c>
      <c r="X86">
        <f>SQRT(STDEV(B86:U86)^2+STDEV(B65:U65)^2)/SQRT(20)</f>
        <v>0.68322747805156814</v>
      </c>
      <c r="Y86">
        <f>SQRT(STDEV(B86:U86)^2+STDEV(B65:U65)^2)</f>
        <v>3.0554861700381037</v>
      </c>
    </row>
    <row r="87" spans="1:25">
      <c r="A87">
        <v>5</v>
      </c>
      <c r="B87">
        <v>24.67</v>
      </c>
      <c r="C87">
        <v>28.67</v>
      </c>
      <c r="D87">
        <v>36</v>
      </c>
      <c r="E87">
        <v>25.67</v>
      </c>
      <c r="F87">
        <v>32.33</v>
      </c>
      <c r="G87">
        <v>24.33</v>
      </c>
      <c r="H87">
        <v>22.67</v>
      </c>
      <c r="I87">
        <v>29.67</v>
      </c>
      <c r="J87">
        <v>26.67</v>
      </c>
      <c r="K87">
        <v>31</v>
      </c>
      <c r="L87">
        <v>34</v>
      </c>
      <c r="M87">
        <v>31.67</v>
      </c>
      <c r="N87">
        <v>33.67</v>
      </c>
      <c r="O87">
        <v>32</v>
      </c>
      <c r="P87">
        <v>31</v>
      </c>
      <c r="Q87">
        <v>31</v>
      </c>
      <c r="R87">
        <v>29</v>
      </c>
      <c r="S87">
        <v>35</v>
      </c>
      <c r="T87">
        <v>30</v>
      </c>
      <c r="U87">
        <v>32.67</v>
      </c>
      <c r="V87">
        <f t="shared" ref="V87:V88" si="14">AVERAGE(B87:U87)</f>
        <v>30.084500000000002</v>
      </c>
      <c r="W87">
        <f>V87-W66</f>
        <v>26.82</v>
      </c>
      <c r="X87">
        <f t="shared" ref="X87:X88" si="15">SQRT(STDEV(B87:U87)^2+STDEV(B66:U66)^2)/SQRT(20)</f>
        <v>0.83690248127119993</v>
      </c>
      <c r="Y87">
        <f t="shared" ref="Y87:Y88" si="16">SQRT(STDEV(B87:U87)^2+STDEV(B66:U66)^2)</f>
        <v>3.7427416773212956</v>
      </c>
    </row>
    <row r="88" spans="1:25">
      <c r="A88">
        <v>20</v>
      </c>
      <c r="B88">
        <v>18.670000000000002</v>
      </c>
      <c r="C88">
        <v>20.329999999999998</v>
      </c>
      <c r="D88">
        <v>22.67</v>
      </c>
      <c r="E88">
        <v>18.329999999999998</v>
      </c>
      <c r="F88">
        <v>18</v>
      </c>
      <c r="G88">
        <v>18.670000000000002</v>
      </c>
      <c r="H88">
        <v>17</v>
      </c>
      <c r="I88">
        <v>20.67</v>
      </c>
      <c r="J88">
        <v>17.670000000000002</v>
      </c>
      <c r="K88">
        <v>19.329999999999998</v>
      </c>
      <c r="L88">
        <v>20.67</v>
      </c>
      <c r="M88">
        <v>20.329999999999998</v>
      </c>
      <c r="N88">
        <v>20</v>
      </c>
      <c r="O88">
        <v>22</v>
      </c>
      <c r="P88">
        <v>17</v>
      </c>
      <c r="Q88">
        <v>19</v>
      </c>
      <c r="R88">
        <v>19</v>
      </c>
      <c r="S88">
        <v>18.329999999999998</v>
      </c>
      <c r="T88">
        <v>17.670000000000002</v>
      </c>
      <c r="U88">
        <v>18</v>
      </c>
      <c r="V88">
        <f t="shared" si="14"/>
        <v>19.167000000000002</v>
      </c>
      <c r="W88">
        <f>V88-W67</f>
        <v>17.492000000000001</v>
      </c>
      <c r="X88">
        <f t="shared" si="15"/>
        <v>0.35626320843473369</v>
      </c>
      <c r="Y88">
        <f t="shared" si="16"/>
        <v>1.5932575038844821</v>
      </c>
    </row>
    <row r="106" spans="1:25">
      <c r="A106" t="s">
        <v>0</v>
      </c>
      <c r="B106" t="s">
        <v>67</v>
      </c>
      <c r="C106" t="s">
        <v>68</v>
      </c>
      <c r="D106" t="s">
        <v>69</v>
      </c>
      <c r="E106" t="s">
        <v>70</v>
      </c>
      <c r="F106" t="s">
        <v>71</v>
      </c>
      <c r="G106" t="s">
        <v>72</v>
      </c>
      <c r="H106" t="s">
        <v>73</v>
      </c>
      <c r="I106" t="s">
        <v>74</v>
      </c>
      <c r="J106" t="s">
        <v>75</v>
      </c>
      <c r="K106" t="s">
        <v>76</v>
      </c>
      <c r="L106" t="s">
        <v>77</v>
      </c>
      <c r="M106" t="s">
        <v>78</v>
      </c>
      <c r="N106" t="s">
        <v>79</v>
      </c>
      <c r="O106" t="s">
        <v>80</v>
      </c>
      <c r="P106" t="s">
        <v>81</v>
      </c>
      <c r="Q106" t="s">
        <v>82</v>
      </c>
      <c r="R106" t="s">
        <v>83</v>
      </c>
      <c r="S106" t="s">
        <v>84</v>
      </c>
      <c r="T106" t="s">
        <v>85</v>
      </c>
      <c r="U106" t="s">
        <v>86</v>
      </c>
      <c r="W106" t="s">
        <v>87</v>
      </c>
      <c r="X106" t="s">
        <v>22</v>
      </c>
      <c r="Y106" t="s">
        <v>66</v>
      </c>
    </row>
    <row r="107" spans="1:25">
      <c r="A107">
        <v>1</v>
      </c>
      <c r="B107">
        <f>596/1000</f>
        <v>0.59599999999999997</v>
      </c>
      <c r="C107">
        <f>487.5/1000</f>
        <v>0.48749999999999999</v>
      </c>
      <c r="D107">
        <f>445.33/1000</f>
        <v>0.44533</v>
      </c>
      <c r="E107">
        <f>720/1000</f>
        <v>0.72</v>
      </c>
      <c r="F107">
        <f>301.5/1000</f>
        <v>0.30149999999999999</v>
      </c>
      <c r="G107">
        <f>858.33/1000</f>
        <v>0.85833000000000004</v>
      </c>
      <c r="H107">
        <f>532/1000</f>
        <v>0.53200000000000003</v>
      </c>
      <c r="L107">
        <f>550.67/1000</f>
        <v>0.55066999999999999</v>
      </c>
      <c r="M107">
        <f>360/1000</f>
        <v>0.36</v>
      </c>
      <c r="N107">
        <f>633/1000</f>
        <v>0.63300000000000001</v>
      </c>
      <c r="O107">
        <f>782.67/1000</f>
        <v>0.78266999999999998</v>
      </c>
      <c r="P107">
        <f>306/1000</f>
        <v>0.30599999999999999</v>
      </c>
      <c r="Q107">
        <f>440.5/1000</f>
        <v>0.4405</v>
      </c>
      <c r="R107">
        <f>498/1000</f>
        <v>0.498</v>
      </c>
      <c r="S107">
        <f>301/1000</f>
        <v>0.30099999999999999</v>
      </c>
      <c r="T107">
        <f>317/1000</f>
        <v>0.317</v>
      </c>
      <c r="U107">
        <f>318/1000</f>
        <v>0.318</v>
      </c>
      <c r="W107">
        <f>AVERAGE(B107:U107)</f>
        <v>0.49691176470588233</v>
      </c>
      <c r="X107">
        <f>STDEV(B107:U107)/SQRT(20)</f>
        <v>3.9392995619742632E-2</v>
      </c>
      <c r="Y107">
        <f>STDEV(B107:U107)</f>
        <v>0.17617083208619197</v>
      </c>
    </row>
    <row r="108" spans="1:25">
      <c r="A108">
        <v>5</v>
      </c>
      <c r="B108">
        <f>1198.33/1000</f>
        <v>1.1983299999999999</v>
      </c>
      <c r="C108">
        <f>1296.67/1000</f>
        <v>1.29667</v>
      </c>
      <c r="D108">
        <f>1429.67/1000</f>
        <v>1.42967</v>
      </c>
      <c r="E108">
        <f>1151.33/1000</f>
        <v>1.15133</v>
      </c>
      <c r="F108">
        <f>586.67/1000</f>
        <v>0.58666999999999991</v>
      </c>
      <c r="G108">
        <f>1273/1000</f>
        <v>1.2729999999999999</v>
      </c>
      <c r="H108">
        <f>1201.33/1000</f>
        <v>1.20133</v>
      </c>
      <c r="I108">
        <f>1424/1000</f>
        <v>1.4239999999999999</v>
      </c>
      <c r="J108">
        <f>990.33/1000</f>
        <v>0.99033000000000004</v>
      </c>
      <c r="K108">
        <f>1234/1000</f>
        <v>1.234</v>
      </c>
      <c r="L108">
        <f>1002/1000</f>
        <v>1.002</v>
      </c>
      <c r="M108">
        <f>692.33/1000</f>
        <v>0.69233</v>
      </c>
      <c r="N108">
        <f>986.33/1000</f>
        <v>0.98633000000000004</v>
      </c>
      <c r="O108">
        <f>1322.33/1000</f>
        <v>1.32233</v>
      </c>
      <c r="P108">
        <f>841.33/1000</f>
        <v>0.84133000000000002</v>
      </c>
      <c r="Q108">
        <f>1061.67/1000</f>
        <v>1.0616700000000001</v>
      </c>
      <c r="R108">
        <f>1128.67/1000</f>
        <v>1.1286700000000001</v>
      </c>
      <c r="S108">
        <f>950.33/1000</f>
        <v>0.95033000000000001</v>
      </c>
      <c r="T108">
        <f>1038.33/1000</f>
        <v>1.03833</v>
      </c>
      <c r="U108">
        <f>792.33/1000</f>
        <v>0.79233000000000009</v>
      </c>
      <c r="W108">
        <f t="shared" ref="W108:W109" si="17">AVERAGE(B108:U108)</f>
        <v>1.0800489999999998</v>
      </c>
      <c r="X108">
        <f t="shared" ref="X108:X109" si="18">STDEV(B108:U108)/SQRT(20)</f>
        <v>5.1773414595666374E-2</v>
      </c>
      <c r="Y108">
        <f t="shared" ref="Y108:Y109" si="19">STDEV(B108:U108)</f>
        <v>0.23153774892637963</v>
      </c>
    </row>
    <row r="109" spans="1:25">
      <c r="A109">
        <v>20</v>
      </c>
      <c r="B109">
        <f>1555.33/1000</f>
        <v>1.5553299999999999</v>
      </c>
      <c r="C109">
        <f>1749.67/1000</f>
        <v>1.7496700000000001</v>
      </c>
      <c r="D109">
        <f>1877/1000</f>
        <v>1.877</v>
      </c>
      <c r="E109">
        <f>1088.33/1000</f>
        <v>1.08833</v>
      </c>
      <c r="F109">
        <f>757/1000</f>
        <v>0.75700000000000001</v>
      </c>
      <c r="G109">
        <f>1442.33/1000</f>
        <v>1.4423299999999999</v>
      </c>
      <c r="H109">
        <f>1307.33/1000</f>
        <v>1.3073299999999999</v>
      </c>
      <c r="I109">
        <f>1588.33/1000</f>
        <v>1.58833</v>
      </c>
      <c r="J109">
        <f>1201.67/1000</f>
        <v>1.20167</v>
      </c>
      <c r="K109">
        <f>1362.67/1000</f>
        <v>1.36267</v>
      </c>
      <c r="L109">
        <f>1485/1000</f>
        <v>1.4850000000000001</v>
      </c>
      <c r="M109">
        <f>988.33/1000</f>
        <v>0.98833000000000004</v>
      </c>
      <c r="N109">
        <f>1451.67/1000</f>
        <v>1.45167</v>
      </c>
      <c r="O109">
        <f>1593.67/1000</f>
        <v>1.5936700000000001</v>
      </c>
      <c r="P109">
        <f>1158/1000</f>
        <v>1.1579999999999999</v>
      </c>
      <c r="Q109">
        <f>1657.67/1000</f>
        <v>1.65767</v>
      </c>
      <c r="R109">
        <f>1452.67/1000</f>
        <v>1.4526700000000001</v>
      </c>
      <c r="S109">
        <f>1688/1000</f>
        <v>1.6879999999999999</v>
      </c>
      <c r="T109">
        <f>1405.33/1000</f>
        <v>1.40533</v>
      </c>
      <c r="U109">
        <f>1526/1000</f>
        <v>1.526</v>
      </c>
      <c r="W109">
        <f t="shared" si="17"/>
        <v>1.4167999999999998</v>
      </c>
      <c r="X109">
        <f t="shared" si="18"/>
        <v>6.0890310883372052E-2</v>
      </c>
      <c r="Y109">
        <f t="shared" si="19"/>
        <v>0.27230974861263035</v>
      </c>
    </row>
    <row r="127" spans="1:4">
      <c r="A127" t="s">
        <v>110</v>
      </c>
      <c r="B127" t="s">
        <v>111</v>
      </c>
      <c r="C127" t="s">
        <v>112</v>
      </c>
      <c r="D127" t="s">
        <v>113</v>
      </c>
    </row>
    <row r="128" spans="1:4">
      <c r="A128">
        <v>0</v>
      </c>
      <c r="B128">
        <f>0.0134*A128 + 0.0434</f>
        <v>4.3400000000000001E-2</v>
      </c>
      <c r="C128">
        <f>-0.5163*A128 + 28.093</f>
        <v>28.093</v>
      </c>
      <c r="D128">
        <f>0.305*B128*C128</f>
        <v>0.37186704100000001</v>
      </c>
    </row>
    <row r="129" spans="1:4">
      <c r="A129">
        <v>0.25</v>
      </c>
      <c r="B129">
        <f t="shared" ref="B129:B192" si="20">0.0134*A129 + 0.0434</f>
        <v>4.675E-2</v>
      </c>
      <c r="C129">
        <f t="shared" ref="C129:C148" si="21">-0.5163*A129 + 28.093</f>
        <v>27.963925</v>
      </c>
      <c r="D129">
        <f t="shared" ref="D129:D192" si="22">0.305*B129*C129</f>
        <v>0.39873061559374995</v>
      </c>
    </row>
    <row r="130" spans="1:4">
      <c r="A130">
        <v>0.5</v>
      </c>
      <c r="B130">
        <f t="shared" si="20"/>
        <v>5.0099999999999999E-2</v>
      </c>
      <c r="C130">
        <f t="shared" si="21"/>
        <v>27.834849999999999</v>
      </c>
      <c r="D130">
        <f t="shared" si="22"/>
        <v>0.42533042542499994</v>
      </c>
    </row>
    <row r="131" spans="1:4">
      <c r="A131">
        <v>0.75</v>
      </c>
      <c r="B131">
        <f t="shared" si="20"/>
        <v>5.3449999999999998E-2</v>
      </c>
      <c r="C131">
        <f t="shared" si="21"/>
        <v>27.705774999999999</v>
      </c>
      <c r="D131">
        <f t="shared" si="22"/>
        <v>0.45166647049374992</v>
      </c>
    </row>
    <row r="132" spans="1:4">
      <c r="A132">
        <v>1</v>
      </c>
      <c r="B132">
        <f t="shared" si="20"/>
        <v>5.6800000000000003E-2</v>
      </c>
      <c r="C132">
        <f t="shared" si="21"/>
        <v>27.576699999999999</v>
      </c>
      <c r="D132">
        <f t="shared" si="22"/>
        <v>0.47773875079999994</v>
      </c>
    </row>
    <row r="133" spans="1:4">
      <c r="A133">
        <v>1.25</v>
      </c>
      <c r="B133">
        <f t="shared" si="20"/>
        <v>6.0150000000000002E-2</v>
      </c>
      <c r="C133">
        <f t="shared" si="21"/>
        <v>27.447624999999999</v>
      </c>
      <c r="D133">
        <f t="shared" si="22"/>
        <v>0.50354726634375002</v>
      </c>
    </row>
    <row r="134" spans="1:4">
      <c r="A134">
        <v>1.5</v>
      </c>
      <c r="B134">
        <f t="shared" si="20"/>
        <v>6.3500000000000001E-2</v>
      </c>
      <c r="C134">
        <f t="shared" si="21"/>
        <v>27.318549999999998</v>
      </c>
      <c r="D134">
        <f t="shared" si="22"/>
        <v>0.52909201712499998</v>
      </c>
    </row>
    <row r="135" spans="1:4">
      <c r="A135">
        <v>1.75</v>
      </c>
      <c r="B135">
        <f t="shared" si="20"/>
        <v>6.6850000000000007E-2</v>
      </c>
      <c r="C135">
        <f t="shared" si="21"/>
        <v>27.189475000000002</v>
      </c>
      <c r="D135">
        <f t="shared" si="22"/>
        <v>0.55437300314375004</v>
      </c>
    </row>
    <row r="136" spans="1:4">
      <c r="A136">
        <v>2</v>
      </c>
      <c r="B136">
        <f t="shared" si="20"/>
        <v>7.0199999999999999E-2</v>
      </c>
      <c r="C136">
        <f t="shared" si="21"/>
        <v>27.060400000000001</v>
      </c>
      <c r="D136">
        <f t="shared" si="22"/>
        <v>0.57939022439999999</v>
      </c>
    </row>
    <row r="137" spans="1:4">
      <c r="A137">
        <v>2.25</v>
      </c>
      <c r="B137">
        <f t="shared" si="20"/>
        <v>7.3550000000000004E-2</v>
      </c>
      <c r="C137">
        <f t="shared" si="21"/>
        <v>26.931325000000001</v>
      </c>
      <c r="D137">
        <f t="shared" si="22"/>
        <v>0.60414368089375003</v>
      </c>
    </row>
    <row r="138" spans="1:4">
      <c r="A138">
        <v>2.5</v>
      </c>
      <c r="B138">
        <f t="shared" si="20"/>
        <v>7.6899999999999996E-2</v>
      </c>
      <c r="C138">
        <f t="shared" si="21"/>
        <v>26.802250000000001</v>
      </c>
      <c r="D138">
        <f t="shared" si="22"/>
        <v>0.62863337262499996</v>
      </c>
    </row>
    <row r="139" spans="1:4">
      <c r="A139">
        <v>2.75</v>
      </c>
      <c r="B139">
        <f t="shared" si="20"/>
        <v>8.0250000000000002E-2</v>
      </c>
      <c r="C139">
        <f t="shared" si="21"/>
        <v>26.673175000000001</v>
      </c>
      <c r="D139">
        <f t="shared" si="22"/>
        <v>0.65285929959375</v>
      </c>
    </row>
    <row r="140" spans="1:4">
      <c r="A140">
        <v>3</v>
      </c>
      <c r="B140">
        <f t="shared" si="20"/>
        <v>8.3600000000000008E-2</v>
      </c>
      <c r="C140">
        <f t="shared" si="21"/>
        <v>26.5441</v>
      </c>
      <c r="D140">
        <f t="shared" si="22"/>
        <v>0.67682146180000013</v>
      </c>
    </row>
    <row r="141" spans="1:4">
      <c r="A141">
        <v>3.25</v>
      </c>
      <c r="B141">
        <f t="shared" si="20"/>
        <v>8.695E-2</v>
      </c>
      <c r="C141">
        <f t="shared" si="21"/>
        <v>26.415025</v>
      </c>
      <c r="D141">
        <f t="shared" si="22"/>
        <v>0.70051985924374993</v>
      </c>
    </row>
    <row r="142" spans="1:4">
      <c r="A142">
        <v>3.5</v>
      </c>
      <c r="B142">
        <f t="shared" si="20"/>
        <v>9.0300000000000005E-2</v>
      </c>
      <c r="C142">
        <f t="shared" si="21"/>
        <v>26.28595</v>
      </c>
      <c r="D142">
        <f t="shared" si="22"/>
        <v>0.72395449192499994</v>
      </c>
    </row>
    <row r="143" spans="1:4">
      <c r="A143">
        <v>3.75</v>
      </c>
      <c r="B143">
        <f t="shared" si="20"/>
        <v>9.3650000000000011E-2</v>
      </c>
      <c r="C143">
        <f t="shared" si="21"/>
        <v>26.156874999999999</v>
      </c>
      <c r="D143">
        <f t="shared" si="22"/>
        <v>0.74712535984375006</v>
      </c>
    </row>
    <row r="144" spans="1:4">
      <c r="A144">
        <v>4</v>
      </c>
      <c r="B144">
        <f t="shared" si="20"/>
        <v>9.7000000000000003E-2</v>
      </c>
      <c r="C144">
        <f t="shared" si="21"/>
        <v>26.027799999999999</v>
      </c>
      <c r="D144">
        <f t="shared" si="22"/>
        <v>0.77003246299999994</v>
      </c>
    </row>
    <row r="145" spans="1:4">
      <c r="A145">
        <v>4.25</v>
      </c>
      <c r="B145">
        <f t="shared" si="20"/>
        <v>0.10034999999999999</v>
      </c>
      <c r="C145">
        <f t="shared" si="21"/>
        <v>25.898724999999999</v>
      </c>
      <c r="D145">
        <f t="shared" si="22"/>
        <v>0.79267580139374993</v>
      </c>
    </row>
    <row r="146" spans="1:4">
      <c r="A146">
        <v>4.5</v>
      </c>
      <c r="B146">
        <f t="shared" si="20"/>
        <v>0.1037</v>
      </c>
      <c r="C146">
        <f t="shared" si="21"/>
        <v>25.769649999999999</v>
      </c>
      <c r="D146">
        <f t="shared" si="22"/>
        <v>0.81505537502499992</v>
      </c>
    </row>
    <row r="147" spans="1:4">
      <c r="A147">
        <v>4.75</v>
      </c>
      <c r="B147">
        <f t="shared" si="20"/>
        <v>0.10705000000000001</v>
      </c>
      <c r="C147">
        <f t="shared" si="21"/>
        <v>25.640574999999998</v>
      </c>
      <c r="D147">
        <f t="shared" si="22"/>
        <v>0.83717118389374989</v>
      </c>
    </row>
    <row r="148" spans="1:4">
      <c r="A148">
        <v>5</v>
      </c>
      <c r="B148">
        <f t="shared" si="20"/>
        <v>0.1104</v>
      </c>
      <c r="C148">
        <f t="shared" si="21"/>
        <v>25.511499999999998</v>
      </c>
      <c r="D148">
        <f t="shared" si="22"/>
        <v>0.85902322799999997</v>
      </c>
    </row>
    <row r="149" spans="1:4">
      <c r="A149">
        <v>5.25</v>
      </c>
      <c r="B149">
        <f>0.0134*A149 + 0.0434</f>
        <v>0.11374999999999999</v>
      </c>
      <c r="C149">
        <f>-0.5163*A149 + 28.093</f>
        <v>25.382425000000001</v>
      </c>
      <c r="D149">
        <f t="shared" si="22"/>
        <v>0.88061150734374993</v>
      </c>
    </row>
    <row r="150" spans="1:4">
      <c r="A150">
        <v>5.5</v>
      </c>
      <c r="B150">
        <f t="shared" si="20"/>
        <v>0.11710000000000001</v>
      </c>
      <c r="C150">
        <f t="shared" ref="C150:C159" si="23">-0.5163*A150 + 28.093</f>
        <v>25.253350000000001</v>
      </c>
      <c r="D150">
        <f t="shared" si="22"/>
        <v>0.90193602192500011</v>
      </c>
    </row>
    <row r="151" spans="1:4">
      <c r="A151">
        <v>5.75</v>
      </c>
      <c r="B151">
        <f t="shared" si="20"/>
        <v>0.12045</v>
      </c>
      <c r="C151">
        <f t="shared" si="23"/>
        <v>25.124275000000001</v>
      </c>
      <c r="D151">
        <f t="shared" si="22"/>
        <v>0.92299677174375006</v>
      </c>
    </row>
    <row r="152" spans="1:4">
      <c r="A152">
        <v>6</v>
      </c>
      <c r="B152">
        <f t="shared" si="20"/>
        <v>0.12379999999999999</v>
      </c>
      <c r="C152">
        <f t="shared" si="23"/>
        <v>24.995200000000001</v>
      </c>
      <c r="D152">
        <f t="shared" si="22"/>
        <v>0.94379375679999988</v>
      </c>
    </row>
    <row r="153" spans="1:4">
      <c r="A153">
        <v>6.25</v>
      </c>
      <c r="B153">
        <f t="shared" si="20"/>
        <v>0.12715000000000001</v>
      </c>
      <c r="C153">
        <f t="shared" si="23"/>
        <v>24.866125</v>
      </c>
      <c r="D153">
        <f t="shared" si="22"/>
        <v>0.96432697709375004</v>
      </c>
    </row>
    <row r="154" spans="1:4">
      <c r="A154">
        <v>6.5</v>
      </c>
      <c r="B154">
        <f t="shared" si="20"/>
        <v>0.1305</v>
      </c>
      <c r="C154">
        <f t="shared" si="23"/>
        <v>24.73705</v>
      </c>
      <c r="D154">
        <f t="shared" si="22"/>
        <v>0.98459643262499996</v>
      </c>
    </row>
    <row r="155" spans="1:4">
      <c r="A155">
        <v>6.75</v>
      </c>
      <c r="B155">
        <f t="shared" si="20"/>
        <v>0.13385</v>
      </c>
      <c r="C155">
        <f t="shared" si="23"/>
        <v>24.607975</v>
      </c>
      <c r="D155">
        <f t="shared" si="22"/>
        <v>1.0046021233937499</v>
      </c>
    </row>
    <row r="156" spans="1:4">
      <c r="A156">
        <v>7</v>
      </c>
      <c r="B156">
        <f t="shared" si="20"/>
        <v>0.13720000000000002</v>
      </c>
      <c r="C156">
        <f t="shared" si="23"/>
        <v>24.478899999999999</v>
      </c>
      <c r="D156">
        <f t="shared" si="22"/>
        <v>1.0243440494</v>
      </c>
    </row>
    <row r="157" spans="1:4">
      <c r="A157">
        <v>7.25</v>
      </c>
      <c r="B157">
        <f t="shared" si="20"/>
        <v>0.14055000000000001</v>
      </c>
      <c r="C157">
        <f t="shared" si="23"/>
        <v>24.349824999999999</v>
      </c>
      <c r="D157">
        <f t="shared" si="22"/>
        <v>1.04382221064375</v>
      </c>
    </row>
    <row r="158" spans="1:4">
      <c r="A158">
        <v>7.5</v>
      </c>
      <c r="B158">
        <f t="shared" si="20"/>
        <v>0.1439</v>
      </c>
      <c r="C158">
        <f t="shared" si="23"/>
        <v>24.220749999999999</v>
      </c>
      <c r="D158">
        <f t="shared" si="22"/>
        <v>1.0630366071249999</v>
      </c>
    </row>
    <row r="159" spans="1:4">
      <c r="A159">
        <v>7.75</v>
      </c>
      <c r="B159">
        <f t="shared" si="20"/>
        <v>0.14724999999999999</v>
      </c>
      <c r="C159">
        <f t="shared" si="23"/>
        <v>24.091675000000002</v>
      </c>
      <c r="D159">
        <f t="shared" si="22"/>
        <v>1.0819872388437501</v>
      </c>
    </row>
    <row r="160" spans="1:4">
      <c r="A160">
        <v>8</v>
      </c>
      <c r="B160">
        <f>0.0134*A160 + 0.0434</f>
        <v>0.15060000000000001</v>
      </c>
      <c r="C160">
        <f>-0.5163*A160 + 28.093</f>
        <v>23.962600000000002</v>
      </c>
      <c r="D160">
        <f t="shared" si="22"/>
        <v>1.1006741058</v>
      </c>
    </row>
    <row r="161" spans="1:4">
      <c r="A161">
        <v>8.25</v>
      </c>
      <c r="B161">
        <f t="shared" si="20"/>
        <v>0.15395</v>
      </c>
      <c r="C161">
        <f t="shared" ref="C161:C168" si="24">-0.5163*A161 + 28.093</f>
        <v>23.833525000000002</v>
      </c>
      <c r="D161">
        <f t="shared" si="22"/>
        <v>1.1190972079937502</v>
      </c>
    </row>
    <row r="162" spans="1:4">
      <c r="A162">
        <v>8.5</v>
      </c>
      <c r="B162">
        <f t="shared" si="20"/>
        <v>0.1573</v>
      </c>
      <c r="C162">
        <f t="shared" si="24"/>
        <v>23.704450000000001</v>
      </c>
      <c r="D162">
        <f t="shared" si="22"/>
        <v>1.1372565454250001</v>
      </c>
    </row>
    <row r="163" spans="1:4">
      <c r="A163">
        <v>8.75</v>
      </c>
      <c r="B163">
        <f t="shared" si="20"/>
        <v>0.16065000000000002</v>
      </c>
      <c r="C163">
        <f t="shared" si="24"/>
        <v>23.575375000000001</v>
      </c>
      <c r="D163">
        <f t="shared" si="22"/>
        <v>1.1551521180937501</v>
      </c>
    </row>
    <row r="164" spans="1:4">
      <c r="A164">
        <v>9</v>
      </c>
      <c r="B164">
        <f t="shared" si="20"/>
        <v>0.16400000000000001</v>
      </c>
      <c r="C164">
        <f t="shared" si="24"/>
        <v>23.446300000000001</v>
      </c>
      <c r="D164">
        <f t="shared" si="22"/>
        <v>1.1727839260000001</v>
      </c>
    </row>
    <row r="165" spans="1:4">
      <c r="A165">
        <v>9.25</v>
      </c>
      <c r="B165">
        <f t="shared" si="20"/>
        <v>0.16735</v>
      </c>
      <c r="C165">
        <f t="shared" si="24"/>
        <v>23.317225000000001</v>
      </c>
      <c r="D165">
        <f t="shared" si="22"/>
        <v>1.1901519691437499</v>
      </c>
    </row>
    <row r="166" spans="1:4">
      <c r="A166">
        <v>9.5</v>
      </c>
      <c r="B166">
        <f t="shared" si="20"/>
        <v>0.17069999999999999</v>
      </c>
      <c r="C166">
        <f t="shared" si="24"/>
        <v>23.18815</v>
      </c>
      <c r="D166">
        <f t="shared" si="22"/>
        <v>1.2072562475249999</v>
      </c>
    </row>
    <row r="167" spans="1:4">
      <c r="A167">
        <v>9.75</v>
      </c>
      <c r="B167">
        <f t="shared" si="20"/>
        <v>0.17405000000000001</v>
      </c>
      <c r="C167">
        <f t="shared" si="24"/>
        <v>23.059075</v>
      </c>
      <c r="D167">
        <f t="shared" si="22"/>
        <v>1.2240967611437501</v>
      </c>
    </row>
    <row r="168" spans="1:4">
      <c r="A168">
        <v>10</v>
      </c>
      <c r="B168">
        <f t="shared" si="20"/>
        <v>0.1774</v>
      </c>
      <c r="C168">
        <f t="shared" si="24"/>
        <v>22.93</v>
      </c>
      <c r="D168">
        <f t="shared" si="22"/>
        <v>1.2406735100000001</v>
      </c>
    </row>
    <row r="169" spans="1:4">
      <c r="A169">
        <v>10.25</v>
      </c>
      <c r="B169">
        <f>0.0134*A169 + 0.0434</f>
        <v>0.18074999999999999</v>
      </c>
      <c r="C169">
        <f>-0.5163*A169 + 28.093</f>
        <v>22.800924999999999</v>
      </c>
      <c r="D169">
        <f t="shared" si="22"/>
        <v>1.2569864940937499</v>
      </c>
    </row>
    <row r="170" spans="1:4">
      <c r="A170">
        <v>10.5</v>
      </c>
      <c r="B170">
        <f t="shared" si="20"/>
        <v>0.18409999999999999</v>
      </c>
      <c r="C170">
        <f t="shared" ref="C170:C187" si="25">-0.5163*A170 + 28.093</f>
        <v>22.671849999999999</v>
      </c>
      <c r="D170">
        <f t="shared" si="22"/>
        <v>1.2730357134249999</v>
      </c>
    </row>
    <row r="171" spans="1:4">
      <c r="A171">
        <v>10.75</v>
      </c>
      <c r="B171">
        <f t="shared" si="20"/>
        <v>0.18745000000000001</v>
      </c>
      <c r="C171">
        <f t="shared" si="25"/>
        <v>22.542774999999999</v>
      </c>
      <c r="D171">
        <f t="shared" si="22"/>
        <v>1.28882116799375</v>
      </c>
    </row>
    <row r="172" spans="1:4">
      <c r="A172">
        <v>11</v>
      </c>
      <c r="B172">
        <f t="shared" si="20"/>
        <v>0.1908</v>
      </c>
      <c r="C172">
        <f t="shared" si="25"/>
        <v>22.413699999999999</v>
      </c>
      <c r="D172">
        <f t="shared" si="22"/>
        <v>1.3043428577999998</v>
      </c>
    </row>
    <row r="173" spans="1:4">
      <c r="A173">
        <v>11.25</v>
      </c>
      <c r="B173">
        <f t="shared" si="20"/>
        <v>0.19414999999999999</v>
      </c>
      <c r="C173">
        <f t="shared" si="25"/>
        <v>22.284624999999998</v>
      </c>
      <c r="D173">
        <f t="shared" si="22"/>
        <v>1.3196007828437499</v>
      </c>
    </row>
    <row r="174" spans="1:4">
      <c r="A174">
        <v>11.5</v>
      </c>
      <c r="B174">
        <f t="shared" si="20"/>
        <v>0.19750000000000001</v>
      </c>
      <c r="C174">
        <f t="shared" si="25"/>
        <v>22.155549999999998</v>
      </c>
      <c r="D174">
        <f t="shared" si="22"/>
        <v>1.3345949431249999</v>
      </c>
    </row>
    <row r="175" spans="1:4">
      <c r="A175">
        <v>11.75</v>
      </c>
      <c r="B175">
        <f t="shared" si="20"/>
        <v>0.20085</v>
      </c>
      <c r="C175">
        <f t="shared" si="25"/>
        <v>22.026475000000001</v>
      </c>
      <c r="D175">
        <f t="shared" si="22"/>
        <v>1.34932533864375</v>
      </c>
    </row>
    <row r="176" spans="1:4">
      <c r="A176">
        <v>12</v>
      </c>
      <c r="B176">
        <f t="shared" si="20"/>
        <v>0.20419999999999999</v>
      </c>
      <c r="C176">
        <f t="shared" si="25"/>
        <v>21.897400000000001</v>
      </c>
      <c r="D176">
        <f t="shared" si="22"/>
        <v>1.3637919694</v>
      </c>
    </row>
    <row r="177" spans="1:4">
      <c r="A177">
        <v>12.25</v>
      </c>
      <c r="B177">
        <f t="shared" si="20"/>
        <v>0.20755000000000001</v>
      </c>
      <c r="C177">
        <f t="shared" si="25"/>
        <v>21.768325000000001</v>
      </c>
      <c r="D177">
        <f t="shared" si="22"/>
        <v>1.3779948353937501</v>
      </c>
    </row>
    <row r="178" spans="1:4">
      <c r="A178">
        <v>12.5</v>
      </c>
      <c r="B178">
        <f t="shared" si="20"/>
        <v>0.2109</v>
      </c>
      <c r="C178">
        <f t="shared" si="25"/>
        <v>21.639250000000001</v>
      </c>
      <c r="D178">
        <f t="shared" si="22"/>
        <v>1.3919339366250001</v>
      </c>
    </row>
    <row r="179" spans="1:4">
      <c r="A179">
        <v>12.75</v>
      </c>
      <c r="B179">
        <f t="shared" si="20"/>
        <v>0.21425</v>
      </c>
      <c r="C179">
        <f t="shared" si="25"/>
        <v>21.510175</v>
      </c>
      <c r="D179">
        <f t="shared" si="22"/>
        <v>1.4056092730937499</v>
      </c>
    </row>
    <row r="180" spans="1:4">
      <c r="A180">
        <v>13</v>
      </c>
      <c r="B180">
        <f t="shared" si="20"/>
        <v>0.21759999999999999</v>
      </c>
      <c r="C180">
        <f t="shared" si="25"/>
        <v>21.3811</v>
      </c>
      <c r="D180">
        <f t="shared" si="22"/>
        <v>1.4190208447999999</v>
      </c>
    </row>
    <row r="181" spans="1:4">
      <c r="A181">
        <v>13.25</v>
      </c>
      <c r="B181">
        <f t="shared" si="20"/>
        <v>0.22095000000000001</v>
      </c>
      <c r="C181">
        <f t="shared" si="25"/>
        <v>21.252025</v>
      </c>
      <c r="D181">
        <f t="shared" si="22"/>
        <v>1.43216865174375</v>
      </c>
    </row>
    <row r="182" spans="1:4">
      <c r="A182">
        <v>13.5</v>
      </c>
      <c r="B182">
        <f t="shared" si="20"/>
        <v>0.2243</v>
      </c>
      <c r="C182">
        <f t="shared" si="25"/>
        <v>21.122949999999999</v>
      </c>
      <c r="D182">
        <f t="shared" si="22"/>
        <v>1.4450526939249999</v>
      </c>
    </row>
    <row r="183" spans="1:4">
      <c r="A183">
        <v>13.75</v>
      </c>
      <c r="B183">
        <f t="shared" si="20"/>
        <v>0.22764999999999999</v>
      </c>
      <c r="C183">
        <f t="shared" si="25"/>
        <v>20.993874999999999</v>
      </c>
      <c r="D183">
        <f t="shared" si="22"/>
        <v>1.45767297134375</v>
      </c>
    </row>
    <row r="184" spans="1:4">
      <c r="A184">
        <v>14</v>
      </c>
      <c r="B184">
        <f t="shared" si="20"/>
        <v>0.23100000000000001</v>
      </c>
      <c r="C184">
        <f t="shared" si="25"/>
        <v>20.864800000000002</v>
      </c>
      <c r="D184">
        <f t="shared" si="22"/>
        <v>1.4700294840000003</v>
      </c>
    </row>
    <row r="185" spans="1:4">
      <c r="A185">
        <v>14.25</v>
      </c>
      <c r="B185">
        <f t="shared" si="20"/>
        <v>0.23435</v>
      </c>
      <c r="C185">
        <f t="shared" si="25"/>
        <v>20.735725000000002</v>
      </c>
      <c r="D185">
        <f t="shared" si="22"/>
        <v>1.4821222318937504</v>
      </c>
    </row>
    <row r="186" spans="1:4">
      <c r="A186">
        <v>14.5</v>
      </c>
      <c r="B186">
        <f t="shared" si="20"/>
        <v>0.23769999999999999</v>
      </c>
      <c r="C186">
        <f t="shared" si="25"/>
        <v>20.606650000000002</v>
      </c>
      <c r="D186">
        <f t="shared" si="22"/>
        <v>1.4939512150250001</v>
      </c>
    </row>
    <row r="187" spans="1:4">
      <c r="A187">
        <v>14.75</v>
      </c>
      <c r="B187">
        <f t="shared" si="20"/>
        <v>0.24105000000000001</v>
      </c>
      <c r="C187">
        <f t="shared" si="25"/>
        <v>20.477575000000002</v>
      </c>
      <c r="D187">
        <f t="shared" si="22"/>
        <v>1.5055164333937503</v>
      </c>
    </row>
    <row r="188" spans="1:4">
      <c r="A188">
        <v>15</v>
      </c>
      <c r="B188">
        <f>0.0134*A188 + 0.0434</f>
        <v>0.24440000000000001</v>
      </c>
      <c r="C188">
        <f>-0.5163*A188 + 28.093</f>
        <v>20.348500000000001</v>
      </c>
      <c r="D188">
        <f t="shared" si="22"/>
        <v>1.516817887</v>
      </c>
    </row>
    <row r="189" spans="1:4">
      <c r="A189">
        <v>15.25</v>
      </c>
      <c r="B189">
        <f t="shared" si="20"/>
        <v>0.24775</v>
      </c>
      <c r="C189">
        <f t="shared" ref="C189:C208" si="26">-0.5163*A189 + 28.093</f>
        <v>20.219425000000001</v>
      </c>
      <c r="D189">
        <f t="shared" si="22"/>
        <v>1.52785557584375</v>
      </c>
    </row>
    <row r="190" spans="1:4">
      <c r="A190">
        <v>15.5</v>
      </c>
      <c r="B190">
        <f t="shared" si="20"/>
        <v>0.25109999999999999</v>
      </c>
      <c r="C190">
        <f t="shared" si="26"/>
        <v>20.090350000000001</v>
      </c>
      <c r="D190">
        <f t="shared" si="22"/>
        <v>1.5386294999250001</v>
      </c>
    </row>
    <row r="191" spans="1:4">
      <c r="A191">
        <v>15.75</v>
      </c>
      <c r="B191">
        <f t="shared" si="20"/>
        <v>0.25445000000000001</v>
      </c>
      <c r="C191">
        <f t="shared" si="26"/>
        <v>19.961275000000001</v>
      </c>
      <c r="D191">
        <f t="shared" si="22"/>
        <v>1.5491396592437501</v>
      </c>
    </row>
    <row r="192" spans="1:4">
      <c r="A192">
        <v>16</v>
      </c>
      <c r="B192">
        <f t="shared" si="20"/>
        <v>0.25780000000000003</v>
      </c>
      <c r="C192">
        <f t="shared" si="26"/>
        <v>19.8322</v>
      </c>
      <c r="D192">
        <f t="shared" si="22"/>
        <v>1.5593860538000002</v>
      </c>
    </row>
    <row r="193" spans="1:4">
      <c r="A193">
        <v>16.25</v>
      </c>
      <c r="B193">
        <f t="shared" ref="B193:B208" si="27">0.0134*A193 + 0.0434</f>
        <v>0.26114999999999999</v>
      </c>
      <c r="C193">
        <f t="shared" si="26"/>
        <v>19.703125</v>
      </c>
      <c r="D193">
        <f t="shared" ref="D193:D208" si="28">0.305*B193*C193</f>
        <v>1.5693686835937499</v>
      </c>
    </row>
    <row r="194" spans="1:4">
      <c r="A194">
        <v>16.5</v>
      </c>
      <c r="B194">
        <f t="shared" si="27"/>
        <v>0.26450000000000001</v>
      </c>
      <c r="C194">
        <f t="shared" si="26"/>
        <v>19.57405</v>
      </c>
      <c r="D194">
        <f t="shared" si="28"/>
        <v>1.5790875486250002</v>
      </c>
    </row>
    <row r="195" spans="1:4">
      <c r="A195">
        <v>16.75</v>
      </c>
      <c r="B195">
        <f t="shared" si="27"/>
        <v>0.26785000000000003</v>
      </c>
      <c r="C195">
        <f t="shared" si="26"/>
        <v>19.444974999999999</v>
      </c>
      <c r="D195">
        <f t="shared" si="28"/>
        <v>1.5885426488937502</v>
      </c>
    </row>
    <row r="196" spans="1:4">
      <c r="A196">
        <v>17</v>
      </c>
      <c r="B196">
        <f t="shared" si="27"/>
        <v>0.2712</v>
      </c>
      <c r="C196">
        <f t="shared" si="26"/>
        <v>19.315899999999999</v>
      </c>
      <c r="D196">
        <f t="shared" si="28"/>
        <v>1.5977339843999998</v>
      </c>
    </row>
    <row r="197" spans="1:4">
      <c r="A197">
        <v>17.25</v>
      </c>
      <c r="B197">
        <f t="shared" si="27"/>
        <v>0.27455000000000002</v>
      </c>
      <c r="C197">
        <f t="shared" si="26"/>
        <v>19.186824999999999</v>
      </c>
      <c r="D197">
        <f t="shared" si="28"/>
        <v>1.60666155514375</v>
      </c>
    </row>
    <row r="198" spans="1:4">
      <c r="A198">
        <v>17.5</v>
      </c>
      <c r="B198">
        <f t="shared" si="27"/>
        <v>0.27790000000000004</v>
      </c>
      <c r="C198">
        <f t="shared" si="26"/>
        <v>19.057749999999999</v>
      </c>
      <c r="D198">
        <f t="shared" si="28"/>
        <v>1.6153253611250002</v>
      </c>
    </row>
    <row r="199" spans="1:4">
      <c r="A199">
        <v>17.75</v>
      </c>
      <c r="B199">
        <f t="shared" si="27"/>
        <v>0.28125</v>
      </c>
      <c r="C199">
        <f t="shared" si="26"/>
        <v>18.928674999999998</v>
      </c>
      <c r="D199">
        <f t="shared" si="28"/>
        <v>1.62372540234375</v>
      </c>
    </row>
    <row r="200" spans="1:4">
      <c r="A200">
        <v>18</v>
      </c>
      <c r="B200">
        <f t="shared" si="27"/>
        <v>0.28460000000000002</v>
      </c>
      <c r="C200">
        <f t="shared" si="26"/>
        <v>18.799599999999998</v>
      </c>
      <c r="D200">
        <f t="shared" si="28"/>
        <v>1.6318616788</v>
      </c>
    </row>
    <row r="201" spans="1:4">
      <c r="A201">
        <v>18.25</v>
      </c>
      <c r="B201">
        <f t="shared" si="27"/>
        <v>0.28795000000000004</v>
      </c>
      <c r="C201">
        <f t="shared" si="26"/>
        <v>18.670524999999998</v>
      </c>
      <c r="D201">
        <f t="shared" si="28"/>
        <v>1.6397341904937499</v>
      </c>
    </row>
    <row r="202" spans="1:4">
      <c r="A202">
        <v>18.5</v>
      </c>
      <c r="B202">
        <f t="shared" si="27"/>
        <v>0.2913</v>
      </c>
      <c r="C202">
        <f t="shared" si="26"/>
        <v>18.541450000000001</v>
      </c>
      <c r="D202">
        <f t="shared" si="28"/>
        <v>1.6473429374249999</v>
      </c>
    </row>
    <row r="203" spans="1:4">
      <c r="A203">
        <v>18.75</v>
      </c>
      <c r="B203">
        <f t="shared" si="27"/>
        <v>0.29465000000000002</v>
      </c>
      <c r="C203">
        <f t="shared" si="26"/>
        <v>18.412375000000001</v>
      </c>
      <c r="D203">
        <f t="shared" si="28"/>
        <v>1.6546879195937503</v>
      </c>
    </row>
    <row r="204" spans="1:4">
      <c r="A204">
        <v>19</v>
      </c>
      <c r="B204">
        <f t="shared" si="27"/>
        <v>0.29799999999999999</v>
      </c>
      <c r="C204">
        <f t="shared" si="26"/>
        <v>18.283300000000001</v>
      </c>
      <c r="D204">
        <f t="shared" si="28"/>
        <v>1.6617691370000001</v>
      </c>
    </row>
    <row r="205" spans="1:4">
      <c r="A205">
        <v>19.25</v>
      </c>
      <c r="B205">
        <f t="shared" si="27"/>
        <v>0.30135000000000001</v>
      </c>
      <c r="C205">
        <f t="shared" si="26"/>
        <v>18.154225</v>
      </c>
      <c r="D205">
        <f t="shared" si="28"/>
        <v>1.66858658964375</v>
      </c>
    </row>
    <row r="206" spans="1:4">
      <c r="A206">
        <v>19.5</v>
      </c>
      <c r="B206">
        <f t="shared" si="27"/>
        <v>0.30470000000000003</v>
      </c>
      <c r="C206">
        <f t="shared" si="26"/>
        <v>18.02515</v>
      </c>
      <c r="D206">
        <f t="shared" si="28"/>
        <v>1.6751402775249999</v>
      </c>
    </row>
    <row r="207" spans="1:4">
      <c r="A207">
        <v>19.75</v>
      </c>
      <c r="B207">
        <f t="shared" si="27"/>
        <v>0.30804999999999999</v>
      </c>
      <c r="C207">
        <f t="shared" si="26"/>
        <v>17.896075</v>
      </c>
      <c r="D207">
        <f t="shared" si="28"/>
        <v>1.6814302006437498</v>
      </c>
    </row>
    <row r="208" spans="1:4">
      <c r="A208">
        <v>20</v>
      </c>
      <c r="B208">
        <f t="shared" si="27"/>
        <v>0.31140000000000001</v>
      </c>
      <c r="C208">
        <f t="shared" si="26"/>
        <v>17.766999999999999</v>
      </c>
      <c r="D208">
        <f t="shared" si="28"/>
        <v>1.687456359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 Menezes</dc:creator>
  <cp:lastModifiedBy>Amor Menezes</cp:lastModifiedBy>
  <dcterms:created xsi:type="dcterms:W3CDTF">2014-04-11T22:38:28Z</dcterms:created>
  <dcterms:modified xsi:type="dcterms:W3CDTF">2014-11-17T13:43:19Z</dcterms:modified>
</cp:coreProperties>
</file>