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f>IF(G3="","",G3-IF(H3="",0,H3))</f>
        <v/>
      </c>
      <c r="J3" s="15" t="inlineStr">
        <is>
          <t>正常</t>
        </is>
      </c>
      <c r="K3" s="15" t="n"/>
      <c r="L3" s="15" t="n"/>
      <c r="M3" s="15" t="n"/>
      <c r="N3" s="15" t="n"/>
      <c r="O3" s="15" t="n"/>
      <c r="P3" s="15" t="n"/>
      <c r="Q3" s="15">
        <f>IF(I3="","",IF(I3&lt;=0,"断货",IF(I3&lt;=IF(O3="",2,O3),"低库存","无预警")))</f>
        <v/>
      </c>
      <c r="R3" s="15">
        <f>IF(L3="","正常",IF(TODAY()-L3&gt;IF(P3="",90,P3),"滞销","正常"))</f>
        <v/>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f>IF(G4="","",G4-IF(H4="",0,H4))</f>
        <v/>
      </c>
      <c r="J4" s="16" t="inlineStr">
        <is>
          <t>正常</t>
        </is>
      </c>
      <c r="K4" s="16" t="n"/>
      <c r="L4" s="16" t="n"/>
      <c r="M4" s="16" t="n"/>
      <c r="N4" s="16" t="n"/>
      <c r="O4" s="16" t="n"/>
      <c r="P4" s="16" t="n"/>
      <c r="Q4" s="16">
        <f>IF(I4="","",IF(I4&lt;=0,"断货",IF(I4&lt;=IF(O4="",2,O4),"低库存","无预警")))</f>
        <v/>
      </c>
      <c r="R4" s="16">
        <f>IF(L4="","正常",IF(TODAY()-L4&gt;IF(P4="",90,P4),"滞销","正常"))</f>
        <v/>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f>IF(G5="","",G5-IF(H5="",0,H5))</f>
        <v/>
      </c>
      <c r="J5" s="15" t="inlineStr">
        <is>
          <t>正常</t>
        </is>
      </c>
      <c r="K5" s="15" t="n"/>
      <c r="L5" s="15" t="n"/>
      <c r="M5" s="15" t="n"/>
      <c r="N5" s="15" t="n"/>
      <c r="O5" s="15" t="n"/>
      <c r="P5" s="15" t="n"/>
      <c r="Q5" s="15">
        <f>IF(I5="","",IF(I5&lt;=0,"断货",IF(I5&lt;=IF(O5="",2,O5),"低库存","无预警")))</f>
        <v/>
      </c>
      <c r="R5" s="15">
        <f>IF(L5="","正常",IF(TODAY()-L5&gt;IF(P5="",90,P5),"滞销","正常"))</f>
        <v/>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f>IF(G6="","",G6-IF(H6="",0,H6))</f>
        <v/>
      </c>
      <c r="J6" s="16" t="inlineStr">
        <is>
          <t>正常</t>
        </is>
      </c>
      <c r="K6" s="16" t="n"/>
      <c r="L6" s="16" t="n"/>
      <c r="M6" s="16" t="n"/>
      <c r="N6" s="16" t="n"/>
      <c r="O6" s="16" t="n"/>
      <c r="P6" s="16" t="n"/>
      <c r="Q6" s="16">
        <f>IF(I6="","",IF(I6&lt;=0,"断货",IF(I6&lt;=IF(O6="",2,O6),"低库存","无预警")))</f>
        <v/>
      </c>
      <c r="R6" s="16">
        <f>IF(L6="","正常",IF(TODAY()-L6&gt;IF(P6="",90,P6),"滞销","正常"))</f>
        <v/>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f>IF(G7="","",G7-IF(H7="",0,H7))</f>
        <v/>
      </c>
      <c r="J7" s="15" t="inlineStr">
        <is>
          <t>正常</t>
        </is>
      </c>
      <c r="K7" s="15" t="n"/>
      <c r="L7" s="15" t="n"/>
      <c r="M7" s="15" t="n"/>
      <c r="N7" s="15" t="n"/>
      <c r="O7" s="15" t="n"/>
      <c r="P7" s="15" t="n"/>
      <c r="Q7" s="15">
        <f>IF(I7="","",IF(I7&lt;=0,"断货",IF(I7&lt;=IF(O7="",2,O7),"低库存","无预警")))</f>
        <v/>
      </c>
      <c r="R7" s="15">
        <f>IF(L7="","正常",IF(TODAY()-L7&gt;IF(P7="",90,P7),"滞销","正常"))</f>
        <v/>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f>IF(G8="","",G8-IF(H8="",0,H8))</f>
        <v/>
      </c>
      <c r="J8" s="16" t="inlineStr">
        <is>
          <t>正常</t>
        </is>
      </c>
      <c r="K8" s="16" t="n"/>
      <c r="L8" s="16" t="n"/>
      <c r="M8" s="16" t="n"/>
      <c r="N8" s="16" t="n"/>
      <c r="O8" s="16" t="n"/>
      <c r="P8" s="16" t="n"/>
      <c r="Q8" s="16">
        <f>IF(I8="","",IF(I8&lt;=0,"断货",IF(I8&lt;=IF(O8="",2,O8),"低库存","无预警")))</f>
        <v/>
      </c>
      <c r="R8" s="16">
        <f>IF(L8="","正常",IF(TODAY()-L8&gt;IF(P8="",90,P8),"滞销","正常"))</f>
        <v/>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f>IF(G9="","",G9-IF(H9="",0,H9))</f>
        <v/>
      </c>
      <c r="J9" s="15" t="inlineStr">
        <is>
          <t>正常</t>
        </is>
      </c>
      <c r="K9" s="15" t="n"/>
      <c r="L9" s="15" t="n"/>
      <c r="M9" s="15" t="n"/>
      <c r="N9" s="15" t="n"/>
      <c r="O9" s="15" t="n"/>
      <c r="P9" s="15" t="n"/>
      <c r="Q9" s="15">
        <f>IF(I9="","",IF(I9&lt;=0,"断货",IF(I9&lt;=IF(O9="",2,O9),"低库存","无预警")))</f>
        <v/>
      </c>
      <c r="R9" s="15">
        <f>IF(L9="","正常",IF(TODAY()-L9&gt;IF(P9="",90,P9),"滞销","正常"))</f>
        <v/>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f>IF(G10="","",G10-IF(H10="",0,H10))</f>
        <v/>
      </c>
      <c r="J10" s="16" t="inlineStr">
        <is>
          <t>正常</t>
        </is>
      </c>
      <c r="K10" s="16" t="n"/>
      <c r="L10" s="16" t="n"/>
      <c r="M10" s="16" t="n"/>
      <c r="N10" s="16" t="n"/>
      <c r="O10" s="16" t="n"/>
      <c r="P10" s="16" t="n"/>
      <c r="Q10" s="16">
        <f>IF(I10="","",IF(I10&lt;=0,"断货",IF(I10&lt;=IF(O10="",2,O10),"低库存","无预警")))</f>
        <v/>
      </c>
      <c r="R10" s="16">
        <f>IF(L10="","正常",IF(TODAY()-L10&gt;IF(P10="",90,P10),"滞销","正常"))</f>
        <v/>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行数据，745 行未在6-工厂下单表找到对应工厂订单。 这些行的⚠️标注为信息提示: 可能原因包括 (1)现货/库存品无需单独工厂订单; (2)同款批量生产、工厂订单号未逐行关联; (3)历史订单未录入工厂下单表。 如需建立完整溯源链, 请在6-工厂下单表补录对应批次订单并回填订单号。 此表暂无系统直接导入对应, 数据供参考。</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f>IFERROR(INDEX('5-订单总表'!$I$3:$I$805,MATCH(B3,'5-订单总表'!$B$3:$B$805,0)),"")</f>
        <v/>
      </c>
      <c r="H3" s="15">
        <f>IFERROR(IF(INDEX('5-订单总表'!$J$3:$J$805,MATCH(B3,'5-订单总表'!$B$3:$B$805,0))&lt;&gt;"",INDEX('5-订单总表'!$J$3:$J$805,MATCH(B3,'5-订单总表'!$B$3:$B$805,0)),IFERROR(INDEX('1-产品总表'!$C$3:$C$494,MATCH("PPS"&amp;MID(G3,2,99),'1-产品总表'!$A$3:$A$494,0)),"樱桃木 窄柜100（新报价3300")),"樱桃木 窄柜100（新报价3300")</f>
        <v/>
      </c>
      <c r="I3" s="15">
        <f>IFERROR(INDEX('5-订单总表'!$K$3:$K$805,MATCH(B3,'5-订单总表'!$B$3:$B$805,0)),"")</f>
        <v/>
      </c>
      <c r="J3" s="15" t="n">
        <v>1</v>
      </c>
      <c r="K3" s="15">
        <f>IFERROR(SUMPRODUCT(('2-定价总表'!$A$3:$A$493="PPS"&amp;MID(G3,2,99))*('2-定价总表'!$C$3:$C$493=I3)*('2-定价总表'!$T$3:$T$493)),"")</f>
        <v/>
      </c>
      <c r="L3" s="49" t="n">
        <v>3300</v>
      </c>
      <c r="M3" s="28">
        <f>IFERROR(K3*J3,"")</f>
        <v/>
      </c>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f>IFERROR(INDEX('5-订单总表'!$I$3:$I$805,MATCH(B4,'5-订单总表'!$B$3:$B$805,0)),"")</f>
        <v/>
      </c>
      <c r="H4" s="15">
        <f>IFERROR(IF(INDEX('5-订单总表'!$J$3:$J$805,MATCH(B4,'5-订单总表'!$B$3:$B$805,0))&lt;&gt;"",INDEX('5-订单总表'!$J$3:$J$805,MATCH(B4,'5-订单总表'!$B$3:$B$805,0)),IFERROR(INDEX('1-产品总表'!$C$3:$C$494,MATCH("PPS"&amp;MID(G4,2,99),'1-产品总表'!$A$3:$A$494,0)),"樱桃木 窄柜100")),"樱桃木 窄柜100")</f>
        <v/>
      </c>
      <c r="I4" s="16">
        <f>IFERROR(INDEX('5-订单总表'!$K$3:$K$805,MATCH(B4,'5-订单总表'!$B$3:$B$805,0)),"")</f>
        <v/>
      </c>
      <c r="J4" s="15" t="n">
        <v>1</v>
      </c>
      <c r="K4" s="16">
        <f>IFERROR(SUMPRODUCT(('2-定价总表'!$A$3:$A$493="PPS"&amp;MID(G4,2,99))*('2-定价总表'!$C$3:$C$493=I4)*('2-定价总表'!$T$3:$T$493)),"")</f>
        <v/>
      </c>
      <c r="L4" s="49" t="n">
        <v>3300</v>
      </c>
      <c r="M4" s="28">
        <f>IFERROR(K4*J4,"")</f>
        <v/>
      </c>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f>IFERROR(INDEX('5-订单总表'!$I$3:$I$805,MATCH(B5,'5-订单总表'!$B$3:$B$805,0)),"")</f>
        <v/>
      </c>
      <c r="H5" s="15">
        <f>IFERROR(IF(INDEX('5-订单总表'!$J$3:$J$805,MATCH(B5,'5-订单总表'!$B$3:$B$805,0))&lt;&gt;"",INDEX('5-订单总表'!$J$3:$J$805,MATCH(B5,'5-订单总表'!$B$3:$B$805,0)),IFERROR(INDEX('1-产品总表'!$C$3:$C$494,MATCH("PPS"&amp;MID(G5,2,99),'1-产品总表'!$A$3:$A$494,0)),"樱桃木 窄柜100")),"樱桃木 窄柜100")</f>
        <v/>
      </c>
      <c r="I5" s="15">
        <f>IFERROR(INDEX('5-订单总表'!$K$3:$K$805,MATCH(B5,'5-订单总表'!$B$3:$B$805,0)),"")</f>
        <v/>
      </c>
      <c r="J5" s="15" t="n">
        <v>1</v>
      </c>
      <c r="K5" s="15">
        <f>IFERROR(SUMPRODUCT(('2-定价总表'!$A$3:$A$493="PPS"&amp;MID(G5,2,99))*('2-定价总表'!$C$3:$C$493=I5)*('2-定价总表'!$T$3:$T$493)),"")</f>
        <v/>
      </c>
      <c r="L5" s="49" t="n">
        <v>3300</v>
      </c>
      <c r="M5" s="28">
        <f>IFERROR(K5*J5,"")</f>
        <v/>
      </c>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f>IFERROR(INDEX('5-订单总表'!$I$3:$I$805,MATCH(B6,'5-订单总表'!$B$3:$B$805,0)),"")</f>
        <v/>
      </c>
      <c r="H6" s="15">
        <f>IFERROR(IF(INDEX('5-订单总表'!$J$3:$J$805,MATCH(B6,'5-订单总表'!$B$3:$B$805,0))&lt;&gt;"",INDEX('5-订单总表'!$J$3:$J$805,MATCH(B6,'5-订单总表'!$B$3:$B$805,0)),IFERROR(INDEX('1-产品总表'!$C$3:$C$494,MATCH("PPS"&amp;MID(G6,2,99),'1-产品总表'!$A$3:$A$494,0)),"樱桃木 窄柜100（新报价3300，轨道用工厂的")),"樱桃木 窄柜100（新报价3300，轨道用工厂的")</f>
        <v/>
      </c>
      <c r="I6" s="16">
        <f>IFERROR(INDEX('5-订单总表'!$K$3:$K$805,MATCH(B6,'5-订单总表'!$B$3:$B$805,0)),"")</f>
        <v/>
      </c>
      <c r="J6" s="15" t="n">
        <v>1</v>
      </c>
      <c r="K6" s="16">
        <f>IFERROR(SUMPRODUCT(('2-定价总表'!$A$3:$A$493="PPS"&amp;MID(G6,2,99))*('2-定价总表'!$C$3:$C$493=I6)*('2-定价总表'!$T$3:$T$493)),"")</f>
        <v/>
      </c>
      <c r="L6" s="49" t="n">
        <v>3300</v>
      </c>
      <c r="M6" s="28">
        <f>IFERROR(K6*J6,"")</f>
        <v/>
      </c>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f>IFERROR(INDEX('5-订单总表'!$I$3:$I$805,MATCH(B7,'5-订单总表'!$B$3:$B$805,0)),"")</f>
        <v/>
      </c>
      <c r="H7" s="15">
        <f>IFERROR(IF(INDEX('5-订单总表'!$J$3:$J$805,MATCH(B7,'5-订单总表'!$B$3:$B$805,0))&lt;&gt;"",INDEX('5-订单总表'!$J$3:$J$805,MATCH(B7,'5-订单总表'!$B$3:$B$805,0)),IFERROR(INDEX('1-产品总表'!$C$3:$C$494,MATCH("PPS"&amp;MID(G7,2,99),'1-产品总表'!$A$3:$A$494,0)),"黑胡桃 山珀餐边柜180*1950")),"黑胡桃 山珀餐边柜180*1950")</f>
        <v/>
      </c>
      <c r="I7" s="15">
        <f>IFERROR(INDEX('5-订单总表'!$K$3:$K$805,MATCH(B7,'5-订单总表'!$B$3:$B$805,0)),"")</f>
        <v/>
      </c>
      <c r="J7" s="15" t="n">
        <v>1</v>
      </c>
      <c r="K7" s="15">
        <f>IFERROR(SUMPRODUCT(('2-定价总表'!$A$3:$A$493="PPS"&amp;MID(G7,2,99))*('2-定价总表'!$C$3:$C$493=I7)*('2-定价总表'!$T$3:$T$493)),"")</f>
        <v/>
      </c>
      <c r="L7" s="49" t="n">
        <v>8800</v>
      </c>
      <c r="M7" s="28">
        <f>IFERROR(K7*J7,"")</f>
        <v/>
      </c>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f>IFERROR(INDEX('5-订单总表'!$I$3:$I$805,MATCH(B8,'5-订单总表'!$B$3:$B$805,0)),"")</f>
        <v/>
      </c>
      <c r="H8" s="15">
        <f>IFERROR(IF(INDEX('5-订单总表'!$J$3:$J$805,MATCH(B8,'5-订单总表'!$B$3:$B$805,0))&lt;&gt;"",INDEX('5-订单总表'!$J$3:$J$805,MATCH(B8,'5-订单总表'!$B$3:$B$805,0)),IFERROR(INDEX('1-产品总表'!$C$3:$C$494,MATCH("PPS"&amp;MID(G8,2,99),'1-产品总表'!$A$3:$A$494,0)),"樱桃木 一块置物板")),"樱桃木 一块置物板")</f>
        <v/>
      </c>
      <c r="I8" s="16">
        <f>IFERROR(INDEX('5-订单总表'!$K$3:$K$805,MATCH(B8,'5-订单总表'!$B$3:$B$805,0)),"")</f>
        <v/>
      </c>
      <c r="J8" s="15" t="n">
        <v>1</v>
      </c>
      <c r="K8" s="16">
        <f>IFERROR(SUMPRODUCT(('2-定价总表'!$A$3:$A$493="PPS"&amp;MID(G8,2,99))*('2-定价总表'!$C$3:$C$493=I8)*('2-定价总表'!$T$3:$T$493)),"")</f>
        <v/>
      </c>
      <c r="L8" s="49" t="n">
        <v>50</v>
      </c>
      <c r="M8" s="28">
        <f>IFERROR(K8*J8,"")</f>
        <v/>
      </c>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f>IFERROR(INDEX('5-订单总表'!$I$3:$I$805,MATCH(B9,'5-订单总表'!$B$3:$B$805,0)),"")</f>
        <v/>
      </c>
      <c r="H9" s="15">
        <f>IFERROR(IF(INDEX('5-订单总表'!$J$3:$J$805,MATCH(B9,'5-订单总表'!$B$3:$B$805,0))&lt;&gt;"",INDEX('5-订单总表'!$J$3:$J$805,MATCH(B9,'5-订单总表'!$B$3:$B$805,0)),IFERROR(INDEX('1-产品总表'!$C$3:$C$494,MATCH("PPS"&amp;MID(G9,2,99),'1-产品总表'!$A$3:$A$494,0)),"樱桃木 洞石餐边柜180*42*122/180*50*92")),"樱桃木 洞石餐边柜180*42*122/180*50*92")</f>
        <v/>
      </c>
      <c r="I9" s="15">
        <f>IFERROR(INDEX('5-订单总表'!$K$3:$K$805,MATCH(B9,'5-订单总表'!$B$3:$B$805,0)),"")</f>
        <v/>
      </c>
      <c r="J9" s="15" t="n">
        <v>1</v>
      </c>
      <c r="K9" s="15">
        <f>IFERROR(SUMPRODUCT(('2-定价总表'!$A$3:$A$493="PPS"&amp;MID(G9,2,99))*('2-定价总表'!$C$3:$C$493=I9)*('2-定价总表'!$T$3:$T$493)),"")</f>
        <v/>
      </c>
      <c r="L9" s="49" t="n">
        <v>6100</v>
      </c>
      <c r="M9" s="28">
        <f>IFERROR(K9*J9,"")</f>
        <v/>
      </c>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f>IFERROR(INDEX('5-订单总表'!$I$3:$I$805,MATCH(B10,'5-订单总表'!$B$3:$B$805,0)),"")</f>
        <v/>
      </c>
      <c r="H10" s="15">
        <f>IFERROR(IF(INDEX('5-订单总表'!$J$3:$J$805,MATCH(B10,'5-订单总表'!$B$3:$B$805,0))&lt;&gt;"",INDEX('5-订单总表'!$J$3:$J$805,MATCH(B10,'5-订单总表'!$B$3:$B$805,0)),IFERROR(INDEX('1-产品总表'!$C$3:$C$494,MATCH("PPS"&amp;MID(G10,2,99),'1-产品总表'!$A$3:$A$494,0)),"樱桃木 洞石餐边柜180*42*122/180*50*88（单价6080")),"樱桃木 洞石餐边柜180*42*122/180*50*88（单价6080")</f>
        <v/>
      </c>
      <c r="I10" s="16">
        <f>IFERROR(INDEX('5-订单总表'!$K$3:$K$805,MATCH(B10,'5-订单总表'!$B$3:$B$805,0)),"")</f>
        <v/>
      </c>
      <c r="J10" s="15" t="n">
        <v>1</v>
      </c>
      <c r="K10" s="16">
        <f>IFERROR(SUMPRODUCT(('2-定价总表'!$A$3:$A$493="PPS"&amp;MID(G10,2,99))*('2-定价总表'!$C$3:$C$493=I10)*('2-定价总表'!$T$3:$T$493)),"")</f>
        <v/>
      </c>
      <c r="L10" s="49" t="n">
        <v>6080</v>
      </c>
      <c r="M10" s="28">
        <f>IFERROR(K10*J10,"")</f>
        <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f>IFERROR(INDEX('5-订单总表'!$I$3:$I$805,MATCH(B11,'5-订单总表'!$B$3:$B$805,0)),"")</f>
        <v/>
      </c>
      <c r="H11" s="15">
        <f>IFERROR(IF(INDEX('5-订单总表'!$J$3:$J$805,MATCH(B11,'5-订单总表'!$B$3:$B$805,0))&lt;&gt;"",INDEX('5-订单总表'!$J$3:$J$805,MATCH(B11,'5-订单总表'!$B$3:$B$805,0)),IFERROR(INDEX('1-产品总表'!$C$3:$C$494,MATCH("PPS"&amp;MID(G11,2,99),'1-产品总表'!$A$3:$A$494,0)),"樱桃木 鞋柜90*341/220*2080【2850元】")),"樱桃木 鞋柜90*341/220*2080【2850元】")</f>
        <v/>
      </c>
      <c r="I11" s="15">
        <f>IFERROR(INDEX('5-订单总表'!$K$3:$K$805,MATCH(B11,'5-订单总表'!$B$3:$B$805,0)),"")</f>
        <v/>
      </c>
      <c r="J11" s="15" t="n">
        <v>1</v>
      </c>
      <c r="K11" s="15">
        <f>IFERROR(SUMPRODUCT(('2-定价总表'!$A$3:$A$493="PPS"&amp;MID(G11,2,99))*('2-定价总表'!$C$3:$C$493=I11)*('2-定价总表'!$T$3:$T$493)),"")</f>
        <v/>
      </c>
      <c r="L11" s="49" t="n">
        <v>2850</v>
      </c>
      <c r="M11" s="28">
        <f>IFERROR(K11*J11,"")</f>
        <v/>
      </c>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f>IFERROR(INDEX('5-订单总表'!$I$3:$I$805,MATCH(B12,'5-订单总表'!$B$3:$B$805,0)),"")</f>
        <v/>
      </c>
      <c r="H12" s="15">
        <f>IFERROR(IF(INDEX('5-订单总表'!$J$3:$J$805,MATCH(B12,'5-订单总表'!$B$3:$B$805,0))&lt;&gt;"",INDEX('5-订单总表'!$J$3:$J$805,MATCH(B12,'5-订单总表'!$B$3:$B$805,0)),IFERROR(INDEX('1-产品总表'!$C$3:$C$494,MATCH("PPS"&amp;MID(G12,2,99),'1-产品总表'!$A$3:$A$494,0)),"榉木 岩板餐桌160*80【定制尺寸】")),"榉木 岩板餐桌160*80【定制尺寸】")</f>
        <v/>
      </c>
      <c r="I12" s="16">
        <f>IFERROR(INDEX('5-订单总表'!$K$3:$K$805,MATCH(B12,'5-订单总表'!$B$3:$B$805,0)),"")</f>
        <v/>
      </c>
      <c r="J12" s="15" t="n">
        <v>1</v>
      </c>
      <c r="K12" s="16">
        <f>IFERROR(SUMPRODUCT(('2-定价总表'!$A$3:$A$493="PPS"&amp;MID(G12,2,99))*('2-定价总表'!$C$3:$C$493=I12)*('2-定价总表'!$T$3:$T$493)),"")</f>
        <v/>
      </c>
      <c r="L12" s="49" t="n">
        <v>1350</v>
      </c>
      <c r="M12" s="28">
        <f>IFERROR(K12*J12,"")</f>
        <v/>
      </c>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f>IFERROR(INDEX('5-订单总表'!$I$3:$I$805,MATCH(B13,'5-订单总表'!$B$3:$B$805,0)),"")</f>
        <v/>
      </c>
      <c r="H13" s="15">
        <f>IFERROR(IF(INDEX('5-订单总表'!$J$3:$J$805,MATCH(B13,'5-订单总表'!$B$3:$B$805,0))&lt;&gt;"",INDEX('5-订单总表'!$J$3:$J$805,MATCH(B13,'5-订单总表'!$B$3:$B$805,0)),IFERROR(INDEX('1-产品总表'!$C$3:$C$494,MATCH("PPS"&amp;MID(G13,2,99),'1-产品总表'!$A$3:$A$494,0)),"黑胡桃 岩板餐桌140*85")),"黑胡桃 岩板餐桌140*85")</f>
        <v/>
      </c>
      <c r="I13" s="15">
        <f>IFERROR(INDEX('5-订单总表'!$K$3:$K$805,MATCH(B13,'5-订单总表'!$B$3:$B$805,0)),"")</f>
        <v/>
      </c>
      <c r="J13" s="15" t="n">
        <v>1</v>
      </c>
      <c r="K13" s="15">
        <f>IFERROR(SUMPRODUCT(('2-定价总表'!$A$3:$A$493="PPS"&amp;MID(G13,2,99))*('2-定价总表'!$C$3:$C$493=I13)*('2-定价总表'!$T$3:$T$493)),"")</f>
        <v/>
      </c>
      <c r="L13" s="49" t="n">
        <v>2250</v>
      </c>
      <c r="M13" s="28">
        <f>IFERROR(K13*J13,"")</f>
        <v/>
      </c>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f>IFERROR(INDEX('5-订单总表'!$I$3:$I$805,MATCH(B14,'5-订单总表'!$B$3:$B$805,0)),"")</f>
        <v/>
      </c>
      <c r="H14" s="15">
        <f>IFERROR(IF(INDEX('5-订单总表'!$J$3:$J$805,MATCH(B14,'5-订单总表'!$B$3:$B$805,0))&lt;&gt;"",INDEX('5-订单总表'!$J$3:$J$805,MATCH(B14,'5-订单总表'!$B$3:$B$805,0)),IFERROR(INDEX('1-产品总表'!$C$3:$C$494,MATCH("PPS"&amp;MID(G14,2,99),'1-产品总表'!$A$3:$A$494,0)),"樱桃木 洞石餐边柜180（轨道用工厂的")),"樱桃木 洞石餐边柜180（轨道用工厂的")</f>
        <v/>
      </c>
      <c r="I14" s="16">
        <f>IFERROR(INDEX('5-订单总表'!$K$3:$K$805,MATCH(B14,'5-订单总表'!$B$3:$B$805,0)),"")</f>
        <v/>
      </c>
      <c r="J14" s="15" t="n">
        <v>1</v>
      </c>
      <c r="K14" s="16">
        <f>IFERROR(SUMPRODUCT(('2-定价总表'!$A$3:$A$493="PPS"&amp;MID(G14,2,99))*('2-定价总表'!$C$3:$C$493=I14)*('2-定价总表'!$T$3:$T$493)),"")</f>
        <v/>
      </c>
      <c r="L14" s="49" t="n">
        <v>6080</v>
      </c>
      <c r="M14" s="28">
        <f>IFERROR(K14*J14,"")</f>
        <v/>
      </c>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f>IFERROR(INDEX('5-订单总表'!$I$3:$I$805,MATCH(B15,'5-订单总表'!$B$3:$B$805,0)),"")</f>
        <v/>
      </c>
      <c r="H15" s="15">
        <f>IFERROR(IF(INDEX('5-订单总表'!$J$3:$J$805,MATCH(B15,'5-订单总表'!$B$3:$B$805,0))&lt;&gt;"",INDEX('5-订单总表'!$J$3:$J$805,MATCH(B15,'5-订单总表'!$B$3:$B$805,0)),IFERROR(INDEX('1-产品总表'!$C$3:$C$494,MATCH("PPS"&amp;MID(G15,2,99),'1-产品总表'!$A$3:$A$494,0)),"樱桃木 窄柜80（单价3100")),"樱桃木 窄柜80（单价3100")</f>
        <v/>
      </c>
      <c r="I15" s="15">
        <f>IFERROR(INDEX('5-订单总表'!$K$3:$K$805,MATCH(B15,'5-订单总表'!$B$3:$B$805,0)),"")</f>
        <v/>
      </c>
      <c r="J15" s="15" t="n">
        <v>1</v>
      </c>
      <c r="K15" s="15">
        <f>IFERROR(SUMPRODUCT(('2-定价总表'!$A$3:$A$493="PPS"&amp;MID(G15,2,99))*('2-定价总表'!$C$3:$C$493=I15)*('2-定价总表'!$T$3:$T$493)),"")</f>
        <v/>
      </c>
      <c r="L15" s="49" t="n">
        <v>3100</v>
      </c>
      <c r="M15" s="28">
        <f>IFERROR(K15*J15,"")</f>
        <v/>
      </c>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f>IFERROR(INDEX('5-订单总表'!$I$3:$I$805,MATCH(B16,'5-订单总表'!$B$3:$B$805,0)),"")</f>
        <v/>
      </c>
      <c r="H16" s="15">
        <f>IFERROR(IF(INDEX('5-订单总表'!$J$3:$J$805,MATCH(B16,'5-订单总表'!$B$3:$B$805,0))&lt;&gt;"",INDEX('5-订单总表'!$J$3:$J$805,MATCH(B16,'5-订单总表'!$B$3:$B$805,0)),IFERROR(INDEX('1-产品总表'!$C$3:$C$494,MATCH("PPS"&amp;MID(G16,2,99),'1-产品总表'!$A$3:$A$494,0)),"樱桃木 基础柜150【维修费用】福建过来的")),"樱桃木 基础柜150【维修费用】福建过来的")</f>
        <v/>
      </c>
      <c r="I16" s="16">
        <f>IFERROR(INDEX('5-订单总表'!$K$3:$K$805,MATCH(B16,'5-订单总表'!$B$3:$B$805,0)),"")</f>
        <v/>
      </c>
      <c r="J16" s="15" t="n">
        <v>1</v>
      </c>
      <c r="K16" s="16">
        <f>IFERROR(SUMPRODUCT(('2-定价总表'!$A$3:$A$493="PPS"&amp;MID(G16,2,99))*('2-定价总表'!$C$3:$C$493=I16)*('2-定价总表'!$T$3:$T$493)),"")</f>
        <v/>
      </c>
      <c r="L16" s="49" t="n">
        <v>100</v>
      </c>
      <c r="M16" s="28">
        <f>IFERROR(K16*J16,"")</f>
        <v/>
      </c>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f>IFERROR(INDEX('5-订单总表'!$I$3:$I$805,MATCH(B17,'5-订单总表'!$B$3:$B$805,0)),"")</f>
        <v/>
      </c>
      <c r="H17" s="15">
        <f>IFERROR(IF(INDEX('5-订单总表'!$J$3:$J$805,MATCH(B17,'5-订单总表'!$B$3:$B$805,0))&lt;&gt;"",INDEX('5-订单总表'!$J$3:$J$805,MATCH(B17,'5-订单总表'!$B$3:$B$805,0)),IFERROR(INDEX('1-产品总表'!$C$3:$C$494,MATCH("PPS"&amp;MID(G17,2,99),'1-产品总表'!$A$3:$A$494,0)),"榉木 岩板餐桌160*85（现货 换洞石岩板")),"榉木 岩板餐桌160*85（现货 换洞石岩板")</f>
        <v/>
      </c>
      <c r="I17" s="15">
        <f>IFERROR(INDEX('5-订单总表'!$K$3:$K$805,MATCH(B17,'5-订单总表'!$B$3:$B$805,0)),"")</f>
        <v/>
      </c>
      <c r="J17" s="15" t="n">
        <v>1</v>
      </c>
      <c r="K17" s="15">
        <f>IFERROR(SUMPRODUCT(('2-定价总表'!$A$3:$A$493="PPS"&amp;MID(G17,2,99))*('2-定价总表'!$C$3:$C$493=I17)*('2-定价总表'!$T$3:$T$493)),"")</f>
        <v/>
      </c>
      <c r="L17" s="49" t="n">
        <v>1350</v>
      </c>
      <c r="M17" s="28">
        <f>IFERROR(K17*J17,"")</f>
        <v/>
      </c>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f>IFERROR(INDEX('5-订单总表'!$I$3:$I$805,MATCH(B18,'5-订单总表'!$B$3:$B$805,0)),"")</f>
        <v/>
      </c>
      <c r="H18" s="15">
        <f>IFERROR(IF(INDEX('5-订单总表'!$J$3:$J$805,MATCH(B18,'5-订单总表'!$B$3:$B$805,0))&lt;&gt;"",INDEX('5-订单总表'!$J$3:$J$805,MATCH(B18,'5-订单总表'!$B$3:$B$805,0)),IFERROR(INDEX('1-产品总表'!$C$3:$C$494,MATCH("PPS"&amp;MID(G18,2,99),'1-产品总表'!$A$3:$A$494,0)),"榉木 岩板餐桌160*85（单价1350  现货")),"榉木 岩板餐桌160*85（单价1350  现货")</f>
        <v/>
      </c>
      <c r="I18" s="16">
        <f>IFERROR(INDEX('5-订单总表'!$K$3:$K$805,MATCH(B18,'5-订单总表'!$B$3:$B$805,0)),"")</f>
        <v/>
      </c>
      <c r="J18" s="15" t="n">
        <v>1</v>
      </c>
      <c r="K18" s="16">
        <f>IFERROR(SUMPRODUCT(('2-定价总表'!$A$3:$A$493="PPS"&amp;MID(G18,2,99))*('2-定价总表'!$C$3:$C$493=I18)*('2-定价总表'!$T$3:$T$493)),"")</f>
        <v/>
      </c>
      <c r="L18" s="49" t="n">
        <v>1350</v>
      </c>
      <c r="M18" s="28">
        <f>IFERROR(K18*J18,"")</f>
        <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f>IFERROR(INDEX('5-订单总表'!$I$3:$I$805,MATCH(B19,'5-订单总表'!$B$3:$B$805,0)),"")</f>
        <v/>
      </c>
      <c r="H19" s="15">
        <f>IFERROR(IF(INDEX('5-订单总表'!$J$3:$J$805,MATCH(B19,'5-订单总表'!$B$3:$B$805,0))&lt;&gt;"",INDEX('5-订单总表'!$J$3:$J$805,MATCH(B19,'5-订单总表'!$B$3:$B$805,0)),IFERROR(INDEX('1-产品总表'!$C$3:$C$494,MATCH("PPS"&amp;MID(G19,2,99),'1-产品总表'!$A$3:$A$494,0)),"榉木 岩板餐桌160*85（单价1350  现货")),"榉木 岩板餐桌160*85（单价1350  现货")</f>
        <v/>
      </c>
      <c r="I19" s="15">
        <f>IFERROR(INDEX('5-订单总表'!$K$3:$K$805,MATCH(B19,'5-订单总表'!$B$3:$B$805,0)),"")</f>
        <v/>
      </c>
      <c r="J19" s="15" t="n">
        <v>1</v>
      </c>
      <c r="K19" s="15">
        <f>IFERROR(SUMPRODUCT(('2-定价总表'!$A$3:$A$493="PPS"&amp;MID(G19,2,99))*('2-定价总表'!$C$3:$C$493=I19)*('2-定价总表'!$T$3:$T$493)),"")</f>
        <v/>
      </c>
      <c r="L19" s="49" t="n">
        <v>1350</v>
      </c>
      <c r="M19" s="28">
        <f>IFERROR(K19*J19,"")</f>
        <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G20">
        <f>IFERROR(INDEX('5-订单总表'!$I$3:$I$805,MATCH(B20,'5-订单总表'!$B$3:$B$805,0)),"")</f>
        <v/>
      </c>
      <c r="H20" s="15">
        <f>IFERROR(IF(INDEX('5-订单总表'!$J$3:$J$805,MATCH(B20,'5-订单总表'!$B$3:$B$805,0))&lt;&gt;"",INDEX('5-订单总表'!$J$3:$J$805,MATCH(B20,'5-订单总表'!$B$3:$B$805,0)),IFERROR(INDEX('1-产品总表'!$C$3:$C$494,MATCH("PPS"&amp;MID(G20,2,99),'1-产品总表'!$A$3:$A$494,0)),"榉木 岩板餐桌180*80（单价1400，定制尺寸")),"榉木 岩板餐桌180*80（单价1400，定制尺寸")</f>
        <v/>
      </c>
      <c r="I20">
        <f>IFERROR(INDEX('5-订单总表'!$K$3:$K$805,MATCH(B20,'5-订单总表'!$B$3:$B$805,0)),"")</f>
        <v/>
      </c>
      <c r="J20" s="15" t="n">
        <v>1</v>
      </c>
      <c r="K20">
        <f>IFERROR(SUMPRODUCT(('2-定价总表'!$A$3:$A$493="PPS"&amp;MID(G20,2,99))*('2-定价总表'!$C$3:$C$493=I20)*('2-定价总表'!$T$3:$T$493)),"")</f>
        <v/>
      </c>
      <c r="L20" s="49" t="n">
        <v>1400</v>
      </c>
      <c r="M20">
        <f>IFERROR(K20*J20,"")</f>
        <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G21">
        <f>IFERROR(INDEX('5-订单总表'!$I$3:$I$805,MATCH(B21,'5-订单总表'!$B$3:$B$805,0)),"")</f>
        <v/>
      </c>
      <c r="H21" s="15">
        <f>IFERROR(IF(INDEX('5-订单总表'!$J$3:$J$805,MATCH(B21,'5-订单总表'!$B$3:$B$805,0))&lt;&gt;"",INDEX('5-订单总表'!$J$3:$J$805,MATCH(B21,'5-订单总表'!$B$3:$B$805,0)),IFERROR(INDEX('1-产品总表'!$C$3:$C$494,MATCH("PPS"&amp;MID(G21,2,99),'1-产品总表'!$A$3:$A$494,0)),"榉木 岩板餐桌180*85（单价1400 现货")),"榉木 岩板餐桌180*85（单价1400 现货")</f>
        <v/>
      </c>
      <c r="I21">
        <f>IFERROR(INDEX('5-订单总表'!$K$3:$K$805,MATCH(B21,'5-订单总表'!$B$3:$B$805,0)),"")</f>
        <v/>
      </c>
      <c r="J21" s="15" t="n">
        <v>1</v>
      </c>
      <c r="K21">
        <f>IFERROR(SUMPRODUCT(('2-定价总表'!$A$3:$A$493="PPS"&amp;MID(G21,2,99))*('2-定价总表'!$C$3:$C$493=I21)*('2-定价总表'!$T$3:$T$493)),"")</f>
        <v/>
      </c>
      <c r="L21" s="49" t="n">
        <v>1400</v>
      </c>
      <c r="M21">
        <f>IFERROR(K21*J21,"")</f>
        <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f>IFERROR(INDEX('5-订单总表'!$I$3:$I$805,MATCH(B22,'5-订单总表'!$B$3:$B$805,0)),"")</f>
        <v/>
      </c>
      <c r="H22" s="15">
        <f>IFERROR(IF(INDEX('5-订单总表'!$J$3:$J$805,MATCH(B22,'5-订单总表'!$B$3:$B$805,0))&lt;&gt;"",INDEX('5-订单总表'!$J$3:$J$805,MATCH(B22,'5-订单总表'!$B$3:$B$805,0)),IFERROR(INDEX('1-产品总表'!$C$3:$C$494,MATCH("PPS"&amp;MID(G22,2,99),'1-产品总表'!$A$3:$A$494,0)),"榉木 岩板餐桌180*85（单价1400 现货")),"榉木 岩板餐桌180*85（单价1400 现货")</f>
        <v/>
      </c>
      <c r="I22">
        <f>IFERROR(INDEX('5-订单总表'!$K$3:$K$805,MATCH(B22,'5-订单总表'!$B$3:$B$805,0)),"")</f>
        <v/>
      </c>
      <c r="J22" s="15" t="n">
        <v>1</v>
      </c>
      <c r="K22">
        <f>IFERROR(SUMPRODUCT(('2-定价总表'!$A$3:$A$493="PPS"&amp;MID(G22,2,99))*('2-定价总表'!$C$3:$C$493=I22)*('2-定价总表'!$T$3:$T$493)),"")</f>
        <v/>
      </c>
      <c r="L22" s="49" t="n">
        <v>1400</v>
      </c>
      <c r="M22">
        <f>IFERROR(K22*J22,"")</f>
        <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G23">
        <f>IFERROR(INDEX('5-订单总表'!$I$3:$I$805,MATCH(B23,'5-订单总表'!$B$3:$B$805,0)),"")</f>
        <v/>
      </c>
      <c r="H23" s="15">
        <f>IFERROR(IF(INDEX('5-订单总表'!$J$3:$J$805,MATCH(B23,'5-订单总表'!$B$3:$B$805,0))&lt;&gt;"",INDEX('5-订单总表'!$J$3:$J$805,MATCH(B23,'5-订单总表'!$B$3:$B$805,0)),IFERROR(INDEX('1-产品总表'!$C$3:$C$494,MATCH("PPS"&amp;MID(G23,2,99),'1-产品总表'!$A$3:$A$494,0)),"樱桃木 基础柜180（单价5100")),"樱桃木 基础柜180（单价5100")</f>
        <v/>
      </c>
      <c r="I23">
        <f>IFERROR(INDEX('5-订单总表'!$K$3:$K$805,MATCH(B23,'5-订单总表'!$B$3:$B$805,0)),"")</f>
        <v/>
      </c>
      <c r="J23" s="15" t="n">
        <v>1</v>
      </c>
      <c r="K23">
        <f>IFERROR(SUMPRODUCT(('2-定价总表'!$A$3:$A$493="PPS"&amp;MID(G23,2,99))*('2-定价总表'!$C$3:$C$493=I23)*('2-定价总表'!$T$3:$T$493)),"")</f>
        <v/>
      </c>
      <c r="L23" s="49" t="n">
        <v>5100</v>
      </c>
      <c r="M23">
        <f>IFERROR(K23*J23,"")</f>
        <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G24">
        <f>IFERROR(INDEX('5-订单总表'!$I$3:$I$805,MATCH(B24,'5-订单总表'!$B$3:$B$805,0)),"")</f>
        <v/>
      </c>
      <c r="H24" s="15">
        <f>IFERROR(IF(INDEX('5-订单总表'!$J$3:$J$805,MATCH(B24,'5-订单总表'!$B$3:$B$805,0))&lt;&gt;"",INDEX('5-订单总表'!$J$3:$J$805,MATCH(B24,'5-订单总表'!$B$3:$B$805,0)),IFERROR(INDEX('1-产品总表'!$C$3:$C$494,MATCH("PPS"&amp;MID(G24,2,99),'1-产品总表'!$A$3:$A$494,0)),"樱桃木样块20个，榉木样块10个   尺寸 12*8")),"樱桃木样块20个，榉木样块10个   尺寸 12*8")</f>
        <v/>
      </c>
      <c r="I24">
        <f>IFERROR(INDEX('5-订单总表'!$K$3:$K$805,MATCH(B24,'5-订单总表'!$B$3:$B$805,0)),"")</f>
        <v/>
      </c>
      <c r="J24" s="15" t="n"/>
      <c r="K24">
        <f>IFERROR(SUMPRODUCT(('2-定价总表'!$A$3:$A$493="PPS"&amp;MID(G24,2,99))*('2-定价总表'!$C$3:$C$493=I24)*('2-定价总表'!$T$3:$T$493)),"")</f>
        <v/>
      </c>
      <c r="L24" s="49" t="n">
        <v>150</v>
      </c>
      <c r="M24">
        <f>IFERROR(K24*J24,"")</f>
        <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G25">
        <f>IFERROR(INDEX('5-订单总表'!$I$3:$I$805,MATCH(B25,'5-订单总表'!$B$3:$B$805,0)),"")</f>
        <v/>
      </c>
      <c r="H25" s="15">
        <f>IFERROR(IF(INDEX('5-订单总表'!$J$3:$J$805,MATCH(B25,'5-订单总表'!$B$3:$B$805,0))&lt;&gt;"",INDEX('5-订单总表'!$J$3:$J$805,MATCH(B25,'5-订单总表'!$B$3:$B$805,0)),IFERROR(INDEX('1-产品总表'!$C$3:$C$494,MATCH("PPS"&amp;MID(G25,2,99),'1-产品总表'!$A$3:$A$494,0)),"樱桃木 窄柜145*40/55*182【定制尺寸】")),"樱桃木 窄柜145*40/55*182【定制尺寸】")</f>
        <v/>
      </c>
      <c r="I25">
        <f>IFERROR(INDEX('5-订单总表'!$K$3:$K$805,MATCH(B25,'5-订单总表'!$B$3:$B$805,0)),"")</f>
        <v/>
      </c>
      <c r="J25" s="15" t="n">
        <v>1</v>
      </c>
      <c r="K25">
        <f>IFERROR(SUMPRODUCT(('2-定价总表'!$A$3:$A$493="PPS"&amp;MID(G25,2,99))*('2-定价总表'!$C$3:$C$493=I25)*('2-定价总表'!$T$3:$T$493)),"")</f>
        <v/>
      </c>
      <c r="L25" s="49" t="n">
        <v>4400</v>
      </c>
      <c r="M25">
        <f>IFERROR(K25*J25,"")</f>
        <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G26">
        <f>IFERROR(INDEX('5-订单总表'!$I$3:$I$805,MATCH(B26,'5-订单总表'!$B$3:$B$805,0)),"")</f>
        <v/>
      </c>
      <c r="H26" s="15">
        <f>IFERROR(IF(INDEX('5-订单总表'!$J$3:$J$805,MATCH(B26,'5-订单总表'!$B$3:$B$805,0))&lt;&gt;"",INDEX('5-订单总表'!$J$3:$J$805,MATCH(B26,'5-订单总表'!$B$3:$B$805,0)),IFERROR(INDEX('1-产品总表'!$C$3:$C$494,MATCH("PPS"&amp;MID(G26,2,99),'1-产品总表'!$A$3:$A$494,0)),"樱桃木 床头柜31*45*42")),"樱桃木 床头柜31*45*42")</f>
        <v/>
      </c>
      <c r="I26">
        <f>IFERROR(INDEX('5-订单总表'!$K$3:$K$805,MATCH(B26,'5-订单总表'!$B$3:$B$805,0)),"")</f>
        <v/>
      </c>
      <c r="J26" s="15" t="n">
        <v>1</v>
      </c>
      <c r="K26">
        <f>IFERROR(SUMPRODUCT(('2-定价总表'!$A$3:$A$493="PPS"&amp;MID(G26,2,99))*('2-定价总表'!$C$3:$C$493=I26)*('2-定价总表'!$T$3:$T$493)),"")</f>
        <v/>
      </c>
      <c r="L26" s="49" t="n">
        <v>700</v>
      </c>
      <c r="M26">
        <f>IFERROR(K26*J26,"")</f>
        <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G27">
        <f>IFERROR(INDEX('5-订单总表'!$I$3:$I$805,MATCH(B27,'5-订单总表'!$B$3:$B$805,0)),"")</f>
        <v/>
      </c>
      <c r="H27" s="15">
        <f>IFERROR(IF(INDEX('5-订单总表'!$J$3:$J$805,MATCH(B27,'5-订单总表'!$B$3:$B$805,0))&lt;&gt;"",INDEX('5-订单总表'!$J$3:$J$805,MATCH(B27,'5-订单总表'!$B$3:$B$805,0)),IFERROR(INDEX('1-产品总表'!$C$3:$C$494,MATCH("PPS"&amp;MID(G27,2,99),'1-产品总表'!$A$3:$A$494,0)),"樱桃木 床头柜50*45*42")),"樱桃木 床头柜50*45*42")</f>
        <v/>
      </c>
      <c r="I27">
        <f>IFERROR(INDEX('5-订单总表'!$K$3:$K$805,MATCH(B27,'5-订单总表'!$B$3:$B$805,0)),"")</f>
        <v/>
      </c>
      <c r="J27" s="15" t="n">
        <v>1</v>
      </c>
      <c r="K27">
        <f>IFERROR(SUMPRODUCT(('2-定价总表'!$A$3:$A$493="PPS"&amp;MID(G27,2,99))*('2-定价总表'!$C$3:$C$493=I27)*('2-定价总表'!$T$3:$T$493)),"")</f>
        <v/>
      </c>
      <c r="L27" s="49" t="n">
        <v>750</v>
      </c>
      <c r="M27">
        <f>IFERROR(K27*J27,"")</f>
        <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G28">
        <f>IFERROR(INDEX('5-订单总表'!$I$3:$I$805,MATCH(B28,'5-订单总表'!$B$3:$B$805,0)),"")</f>
        <v/>
      </c>
      <c r="H28" s="15">
        <f>IFERROR(IF(INDEX('5-订单总表'!$J$3:$J$805,MATCH(B28,'5-订单总表'!$B$3:$B$805,0))&lt;&gt;"",INDEX('5-订单总表'!$J$3:$J$805,MATCH(B28,'5-订单总表'!$B$3:$B$805,0)),IFERROR(INDEX('1-产品总表'!$C$3:$C$494,MATCH("PPS"&amp;MID(G28,2,99),'1-产品总表'!$A$3:$A$494,0)),"榉木 实木餐桌180*85*75")),"榉木 实木餐桌180*85*75")</f>
        <v/>
      </c>
      <c r="I28">
        <f>IFERROR(INDEX('5-订单总表'!$K$3:$K$805,MATCH(B28,'5-订单总表'!$B$3:$B$805,0)),"")</f>
        <v/>
      </c>
      <c r="J28" s="15" t="n">
        <v>1</v>
      </c>
      <c r="K28">
        <f>IFERROR(SUMPRODUCT(('2-定价总表'!$A$3:$A$493="PPS"&amp;MID(G28,2,99))*('2-定价总表'!$C$3:$C$493=I28)*('2-定价总表'!$T$3:$T$493)),"")</f>
        <v/>
      </c>
      <c r="L28" s="49" t="n">
        <v>1900</v>
      </c>
      <c r="M28">
        <f>IFERROR(K28*J28,"")</f>
        <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G29">
        <f>IFERROR(INDEX('5-订单总表'!$I$3:$I$805,MATCH(B29,'5-订单总表'!$B$3:$B$805,0)),"")</f>
        <v/>
      </c>
      <c r="H29" s="15">
        <f>IFERROR(IF(INDEX('5-订单总表'!$J$3:$J$805,MATCH(B29,'5-订单总表'!$B$3:$B$805,0))&lt;&gt;"",INDEX('5-订单总表'!$J$3:$J$805,MATCH(B29,'5-订单总表'!$B$3:$B$805,0)),IFERROR(INDEX('1-产品总表'!$C$3:$C$494,MATCH("PPS"&amp;MID(G29,2,99),'1-产品总表'!$A$3:$A$494,0)),"樱桃木 洞石餐边柜180*42/55*210定制尺寸")),"樱桃木 洞石餐边柜180*42/55*210定制尺寸")</f>
        <v/>
      </c>
      <c r="I29">
        <f>IFERROR(INDEX('5-订单总表'!$K$3:$K$805,MATCH(B29,'5-订单总表'!$B$3:$B$805,0)),"")</f>
        <v/>
      </c>
      <c r="J29" s="15" t="n">
        <v>1</v>
      </c>
      <c r="K29">
        <f>IFERROR(SUMPRODUCT(('2-定价总表'!$A$3:$A$493="PPS"&amp;MID(G29,2,99))*('2-定价总表'!$C$3:$C$493=I29)*('2-定价总表'!$T$3:$T$493)),"")</f>
        <v/>
      </c>
      <c r="L29" s="49" t="n">
        <v>6300</v>
      </c>
      <c r="M29">
        <f>IFERROR(K29*J29,"")</f>
        <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G30">
        <f>IFERROR(INDEX('5-订单总表'!$I$3:$I$805,MATCH(B30,'5-订单总表'!$B$3:$B$805,0)),"")</f>
        <v/>
      </c>
      <c r="H30" s="15">
        <f>IFERROR(IF(INDEX('5-订单总表'!$J$3:$J$805,MATCH(B30,'5-订单总表'!$B$3:$B$805,0))&lt;&gt;"",INDEX('5-订单总表'!$J$3:$J$805,MATCH(B30,'5-订单总表'!$B$3:$B$805,0)),IFERROR(INDEX('1-产品总表'!$C$3:$C$494,MATCH("PPS"&amp;MID(G30,2,99),'1-产品总表'!$A$3:$A$494,0)),"樱桃木 升降桌150*75（桌面＋抽屉＋木头脚＋置物板）")),"樱桃木 升降桌150*75（桌面＋抽屉＋木头脚＋置物板）")</f>
        <v/>
      </c>
      <c r="I30">
        <f>IFERROR(INDEX('5-订单总表'!$K$3:$K$805,MATCH(B30,'5-订单总表'!$B$3:$B$805,0)),"")</f>
        <v/>
      </c>
      <c r="J30" s="15" t="n">
        <v>1</v>
      </c>
      <c r="K30">
        <f>IFERROR(SUMPRODUCT(('2-定价总表'!$A$3:$A$493="PPS"&amp;MID(G30,2,99))*('2-定价总表'!$C$3:$C$493=I30)*('2-定价总表'!$T$3:$T$493)),"")</f>
        <v/>
      </c>
      <c r="L30" s="49" t="n">
        <v>1800</v>
      </c>
      <c r="M30">
        <f>IFERROR(K30*J30,"")</f>
        <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G31">
        <f>IFERROR(INDEX('5-订单总表'!$I$3:$I$805,MATCH(B31,'5-订单总表'!$B$3:$B$805,0)),"")</f>
        <v/>
      </c>
      <c r="H31" s="15">
        <f>IFERROR(IF(INDEX('5-订单总表'!$J$3:$J$805,MATCH(B31,'5-订单总表'!$B$3:$B$805,0))&lt;&gt;"",INDEX('5-订单总表'!$J$3:$J$805,MATCH(B31,'5-订单总表'!$B$3:$B$805,0)),IFERROR(INDEX('1-产品总表'!$C$3:$C$494,MATCH("PPS"&amp;MID(G31,2,99),'1-产品总表'!$A$3:$A$494,0)),"樱桃木 组合柜（双抽2，玻璃推拉门*2")),"樱桃木 组合柜（双抽2，玻璃推拉门*2")</f>
        <v/>
      </c>
      <c r="I31">
        <f>IFERROR(INDEX('5-订单总表'!$K$3:$K$805,MATCH(B31,'5-订单总表'!$B$3:$B$805,0)),"")</f>
        <v/>
      </c>
      <c r="J31" s="15" t="n">
        <v>1</v>
      </c>
      <c r="K31">
        <f>IFERROR(SUMPRODUCT(('2-定价总表'!$A$3:$A$493="PPS"&amp;MID(G31,2,99))*('2-定价总表'!$C$3:$C$493=I31)*('2-定价总表'!$T$3:$T$493)),"")</f>
        <v/>
      </c>
      <c r="L31" s="49" t="n">
        <v>3330</v>
      </c>
      <c r="M31">
        <f>IFERROR(K31*J31,"")</f>
        <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f>IFERROR(INDEX('5-订单总表'!$I$3:$I$805,MATCH(B32,'5-订单总表'!$B$3:$B$805,0)),"")</f>
        <v/>
      </c>
      <c r="H32" s="15">
        <f>IFERROR(IF(INDEX('5-订单总表'!$J$3:$J$805,MATCH(B32,'5-订单总表'!$B$3:$B$805,0))&lt;&gt;"",INDEX('5-订单总表'!$J$3:$J$805,MATCH(B32,'5-订单总表'!$B$3:$B$805,0)),IFERROR(INDEX('1-产品总表'!$C$3:$C$494,MATCH("PPS"&amp;MID(G32,2,99),'1-产品总表'!$A$3:$A$494,0)),"榉木 岩板餐桌200*85（备货  岩板挚乐发的")),"榉木 岩板餐桌200*85（备货  岩板挚乐发的")</f>
        <v/>
      </c>
      <c r="I32">
        <f>IFERROR(INDEX('5-订单总表'!$K$3:$K$805,MATCH(B32,'5-订单总表'!$B$3:$B$805,0)),"")</f>
        <v/>
      </c>
      <c r="J32" s="15" t="n">
        <v>1</v>
      </c>
      <c r="K32">
        <f>IFERROR(SUMPRODUCT(('2-定价总表'!$A$3:$A$493="PPS"&amp;MID(G32,2,99))*('2-定价总表'!$C$3:$C$493=I32)*('2-定价总表'!$T$3:$T$493)),"")</f>
        <v/>
      </c>
      <c r="L32" s="49" t="n">
        <v>1450</v>
      </c>
      <c r="M32">
        <f>IFERROR(K32*J32,"")</f>
        <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G33">
        <f>IFERROR(INDEX('5-订单总表'!$I$3:$I$805,MATCH(B33,'5-订单总表'!$B$3:$B$805,0)),"")</f>
        <v/>
      </c>
      <c r="H33" s="15">
        <f>IFERROR(IF(INDEX('5-订单总表'!$J$3:$J$805,MATCH(B33,'5-订单总表'!$B$3:$B$805,0))&lt;&gt;"",INDEX('5-订单总表'!$J$3:$J$805,MATCH(B33,'5-订单总表'!$B$3:$B$805,0)),IFERROR(INDEX('1-产品总表'!$C$3:$C$494,MATCH("PPS"&amp;MID(G33,2,99),'1-产品总表'!$A$3:$A$494,0)),"榉木 岩板餐桌200*85（备货")),"榉木 岩板餐桌200*85（备货")</f>
        <v/>
      </c>
      <c r="I33">
        <f>IFERROR(INDEX('5-订单总表'!$K$3:$K$805,MATCH(B33,'5-订单总表'!$B$3:$B$805,0)),"")</f>
        <v/>
      </c>
      <c r="J33" s="15" t="n">
        <v>1</v>
      </c>
      <c r="K33">
        <f>IFERROR(SUMPRODUCT(('2-定价总表'!$A$3:$A$493="PPS"&amp;MID(G33,2,99))*('2-定价总表'!$C$3:$C$493=I33)*('2-定价总表'!$T$3:$T$493)),"")</f>
        <v/>
      </c>
      <c r="L33" s="49" t="n">
        <v>1450</v>
      </c>
      <c r="M33">
        <f>IFERROR(K33*J33,"")</f>
        <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G34">
        <f>IFERROR(INDEX('5-订单总表'!$I$3:$I$805,MATCH(B34,'5-订单总表'!$B$3:$B$805,0)),"")</f>
        <v/>
      </c>
      <c r="H34" s="15">
        <f>IFERROR(IF(INDEX('5-订单总表'!$J$3:$J$805,MATCH(B34,'5-订单总表'!$B$3:$B$805,0))&lt;&gt;"",INDEX('5-订单总表'!$J$3:$J$805,MATCH(B34,'5-订单总表'!$B$3:$B$805,0)),IFERROR(INDEX('1-产品总表'!$C$3:$C$494,MATCH("PPS"&amp;MID(G34,2,99),'1-产品总表'!$A$3:$A$494,0)),"榉木 岩板餐桌200*85（备货")),"榉木 岩板餐桌200*85（备货")</f>
        <v/>
      </c>
      <c r="I34">
        <f>IFERROR(INDEX('5-订单总表'!$K$3:$K$805,MATCH(B34,'5-订单总表'!$B$3:$B$805,0)),"")</f>
        <v/>
      </c>
      <c r="J34" s="15" t="n">
        <v>1</v>
      </c>
      <c r="K34">
        <f>IFERROR(SUMPRODUCT(('2-定价总表'!$A$3:$A$493="PPS"&amp;MID(G34,2,99))*('2-定价总表'!$C$3:$C$493=I34)*('2-定价总表'!$T$3:$T$493)),"")</f>
        <v/>
      </c>
      <c r="L34" s="49" t="n">
        <v>1450</v>
      </c>
      <c r="M34">
        <f>IFERROR(K34*J34,"")</f>
        <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f>IFERROR(INDEX('5-订单总表'!$I$3:$I$805,MATCH(B35,'5-订单总表'!$B$3:$B$805,0)),"")</f>
        <v/>
      </c>
      <c r="H35" s="15">
        <f>IFERROR(IF(INDEX('5-订单总表'!$J$3:$J$805,MATCH(B35,'5-订单总表'!$B$3:$B$805,0))&lt;&gt;"",INDEX('5-订单总表'!$J$3:$J$805,MATCH(B35,'5-订单总表'!$B$3:$B$805,0)),IFERROR(INDEX('1-产品总表'!$C$3:$C$494,MATCH("PPS"&amp;MID(G35,2,99),'1-产品总表'!$A$3:$A$494,0)),"樱桃木 基础柜150 ( 单价4900")),"樱桃木 基础柜150 ( 单价4900")</f>
        <v/>
      </c>
      <c r="I35">
        <f>IFERROR(INDEX('5-订单总表'!$K$3:$K$805,MATCH(B35,'5-订单总表'!$B$3:$B$805,0)),"")</f>
        <v/>
      </c>
      <c r="J35" s="15" t="n">
        <v>1</v>
      </c>
      <c r="K35">
        <f>IFERROR(SUMPRODUCT(('2-定价总表'!$A$3:$A$493="PPS"&amp;MID(G35,2,99))*('2-定价总表'!$C$3:$C$493=I35)*('2-定价总表'!$T$3:$T$493)),"")</f>
        <v/>
      </c>
      <c r="L35" s="49" t="n">
        <v>4600</v>
      </c>
      <c r="M35">
        <f>IFERROR(K35*J35,"")</f>
        <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G36">
        <f>IFERROR(INDEX('5-订单总表'!$I$3:$I$805,MATCH(B36,'5-订单总表'!$B$3:$B$805,0)),"")</f>
        <v/>
      </c>
      <c r="H36" s="15">
        <f>IFERROR(IF(INDEX('5-订单总表'!$J$3:$J$805,MATCH(B36,'5-订单总表'!$B$3:$B$805,0))&lt;&gt;"",INDEX('5-订单总表'!$J$3:$J$805,MATCH(B36,'5-订单总表'!$B$3:$B$805,0)),IFERROR(INDEX('1-产品总表'!$C$3:$C$494,MATCH("PPS"&amp;MID(G36,2,99),'1-产品总表'!$A$3:$A$494,0)),"樱桃木 基础柜210（单价5400  顶柜实木背板")),"樱桃木 基础柜210（单价5400  顶柜实木背板")</f>
        <v/>
      </c>
      <c r="I36">
        <f>IFERROR(INDEX('5-订单总表'!$K$3:$K$805,MATCH(B36,'5-订单总表'!$B$3:$B$805,0)),"")</f>
        <v/>
      </c>
      <c r="J36" s="15" t="n">
        <v>1</v>
      </c>
      <c r="K36">
        <f>IFERROR(SUMPRODUCT(('2-定价总表'!$A$3:$A$493="PPS"&amp;MID(G36,2,99))*('2-定价总表'!$C$3:$C$493=I36)*('2-定价总表'!$T$3:$T$493)),"")</f>
        <v/>
      </c>
      <c r="L36" s="49" t="n">
        <v>5400</v>
      </c>
      <c r="M36">
        <f>IFERROR(K36*J36,"")</f>
        <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G37">
        <f>IFERROR(INDEX('5-订单总表'!$I$3:$I$805,MATCH(B37,'5-订单总表'!$B$3:$B$805,0)),"")</f>
        <v/>
      </c>
      <c r="H37" s="15">
        <f>IFERROR(IF(INDEX('5-订单总表'!$J$3:$J$805,MATCH(B37,'5-订单总表'!$B$3:$B$805,0))&lt;&gt;"",INDEX('5-订单总表'!$J$3:$J$805,MATCH(B37,'5-订单总表'!$B$3:$B$805,0)),IFERROR(INDEX('1-产品总表'!$C$3:$C$494,MATCH("PPS"&amp;MID(G37,2,99),'1-产品总表'!$A$3:$A$494,0)),"樱桃木 窄柜100（新报价3300，轨道用工厂的")),"樱桃木 窄柜100（新报价3300，轨道用工厂的")</f>
        <v/>
      </c>
      <c r="I37">
        <f>IFERROR(INDEX('5-订单总表'!$K$3:$K$805,MATCH(B37,'5-订单总表'!$B$3:$B$805,0)),"")</f>
        <v/>
      </c>
      <c r="J37" s="15" t="n">
        <v>1</v>
      </c>
      <c r="K37">
        <f>IFERROR(SUMPRODUCT(('2-定价总表'!$A$3:$A$493="PPS"&amp;MID(G37,2,99))*('2-定价总表'!$C$3:$C$493=I37)*('2-定价总表'!$T$3:$T$493)),"")</f>
        <v/>
      </c>
      <c r="L37" s="49" t="n">
        <v>3300</v>
      </c>
      <c r="M37">
        <f>IFERROR(K37*J37,"")</f>
        <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G38">
        <f>IFERROR(INDEX('5-订单总表'!$I$3:$I$805,MATCH(B38,'5-订单总表'!$B$3:$B$805,0)),"")</f>
        <v/>
      </c>
      <c r="H38" s="15">
        <f>IFERROR(IF(INDEX('5-订单总表'!$J$3:$J$805,MATCH(B38,'5-订单总表'!$B$3:$B$805,0))&lt;&gt;"",INDEX('5-订单总表'!$J$3:$J$805,MATCH(B38,'5-订单总表'!$B$3:$B$805,0)),IFERROR(INDEX('1-产品总表'!$C$3:$C$494,MATCH("PPS"&amp;MID(G38,2,99),'1-产品总表'!$A$3:$A$494,0)),"樱桃木 窄柜100（新报价3300，轨道用工厂的")),"樱桃木 窄柜100（新报价3300，轨道用工厂的")</f>
        <v/>
      </c>
      <c r="I38">
        <f>IFERROR(INDEX('5-订单总表'!$K$3:$K$805,MATCH(B38,'5-订单总表'!$B$3:$B$805,0)),"")</f>
        <v/>
      </c>
      <c r="J38" s="15" t="n">
        <v>1</v>
      </c>
      <c r="K38">
        <f>IFERROR(SUMPRODUCT(('2-定价总表'!$A$3:$A$493="PPS"&amp;MID(G38,2,99))*('2-定价总表'!$C$3:$C$493=I38)*('2-定价总表'!$T$3:$T$493)),"")</f>
        <v/>
      </c>
      <c r="L38" s="49" t="n">
        <v>3300</v>
      </c>
      <c r="M38">
        <f>IFERROR(K38*J38,"")</f>
        <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G39">
        <f>IFERROR(INDEX('5-订单总表'!$I$3:$I$805,MATCH(B39,'5-订单总表'!$B$3:$B$805,0)),"")</f>
        <v/>
      </c>
      <c r="H39" s="15">
        <f>IFERROR(IF(INDEX('5-订单总表'!$J$3:$J$805,MATCH(B39,'5-订单总表'!$B$3:$B$805,0))&lt;&gt;"",INDEX('5-订单总表'!$J$3:$J$805,MATCH(B39,'5-订单总表'!$B$3:$B$805,0)),IFERROR(INDEX('1-产品总表'!$C$3:$C$494,MATCH("PPS"&amp;MID(G39,2,99),'1-产品总表'!$A$3:$A$494,0)),"等开工以后给客户做在去换")),"等开工以后给客户做在去换")</f>
        <v/>
      </c>
      <c r="I39">
        <f>IFERROR(INDEX('5-订单总表'!$K$3:$K$805,MATCH(B39,'5-订单总表'!$B$3:$B$805,0)),"")</f>
        <v/>
      </c>
      <c r="J39" s="15" t="n"/>
      <c r="K39">
        <f>IFERROR(SUMPRODUCT(('2-定价总表'!$A$3:$A$493="PPS"&amp;MID(G39,2,99))*('2-定价总表'!$C$3:$C$493=I39)*('2-定价总表'!$T$3:$T$493)),"")</f>
        <v/>
      </c>
      <c r="L39" s="49" t="n"/>
      <c r="M39">
        <f>IFERROR(K39*J39,"")</f>
        <v/>
      </c>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G40">
        <f>IFERROR(INDEX('5-订单总表'!$I$3:$I$805,MATCH(B40,'5-订单总表'!$B$3:$B$805,0)),"")</f>
        <v/>
      </c>
      <c r="H40" s="15">
        <f>IFERROR(IF(INDEX('5-订单总表'!$J$3:$J$805,MATCH(B40,'5-订单总表'!$B$3:$B$805,0))&lt;&gt;"",INDEX('5-订单总表'!$J$3:$J$805,MATCH(B40,'5-订单总表'!$B$3:$B$805,0)),IFERROR(INDEX('1-产品总表'!$C$3:$C$494,MATCH("PPS"&amp;MID(G40,2,99),'1-产品总表'!$A$3:$A$494,0)),"黑胡桃 上柜门板180*42【材料520+油漆做工等")),"黑胡桃 上柜门板180*42【材料520+油漆做工等")</f>
        <v/>
      </c>
      <c r="I40">
        <f>IFERROR(INDEX('5-订单总表'!$K$3:$K$805,MATCH(B40,'5-订单总表'!$B$3:$B$805,0)),"")</f>
        <v/>
      </c>
      <c r="J40" s="15" t="n">
        <v>1</v>
      </c>
      <c r="K40">
        <f>IFERROR(SUMPRODUCT(('2-定价总表'!$A$3:$A$493="PPS"&amp;MID(G40,2,99))*('2-定价总表'!$C$3:$C$493=I40)*('2-定价总表'!$T$3:$T$493)),"")</f>
        <v/>
      </c>
      <c r="L40" s="49" t="n">
        <v>620</v>
      </c>
      <c r="M40">
        <f>IFERROR(K40*J40,"")</f>
        <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f>IFERROR(INDEX('5-订单总表'!$I$3:$I$805,MATCH(B41,'5-订单总表'!$B$3:$B$805,0)),"")</f>
        <v/>
      </c>
      <c r="H41" s="15">
        <f>IFERROR(IF(INDEX('5-订单总表'!$J$3:$J$805,MATCH(B41,'5-订单总表'!$B$3:$B$805,0))&lt;&gt;"",INDEX('5-订单总表'!$J$3:$J$805,MATCH(B41,'5-订单总表'!$B$3:$B$805,0)),IFERROR(INDEX('1-产品总表'!$C$3:$C$494,MATCH("PPS"&amp;MID(G41,2,99),'1-产品总表'!$A$3:$A$494,0)),"樱桃木 洞石餐边柜240*30/65*230【定制尺寸")),"樱桃木 洞石餐边柜240*30/65*230【定制尺寸")</f>
        <v/>
      </c>
      <c r="I41">
        <f>IFERROR(INDEX('5-订单总表'!$K$3:$K$805,MATCH(B41,'5-订单总表'!$B$3:$B$805,0)),"")</f>
        <v/>
      </c>
      <c r="J41" s="15" t="n">
        <v>1</v>
      </c>
      <c r="K41">
        <f>IFERROR(SUMPRODUCT(('2-定价总表'!$A$3:$A$493="PPS"&amp;MID(G41,2,99))*('2-定价总表'!$C$3:$C$493=I41)*('2-定价总表'!$T$3:$T$493)),"")</f>
        <v/>
      </c>
      <c r="L41" s="49" t="n">
        <v>7600</v>
      </c>
      <c r="M41">
        <f>IFERROR(K41*J41,"")</f>
        <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f>IFERROR(INDEX('5-订单总表'!$I$3:$I$805,MATCH(B42,'5-订单总表'!$B$3:$B$805,0)),"")</f>
        <v/>
      </c>
      <c r="H42" s="15">
        <f>IFERROR(IF(INDEX('5-订单总表'!$J$3:$J$805,MATCH(B42,'5-订单总表'!$B$3:$B$805,0))&lt;&gt;"",INDEX('5-订单总表'!$J$3:$J$805,MATCH(B42,'5-订单总表'!$B$3:$B$805,0)),IFERROR(INDEX('1-产品总表'!$C$3:$C$494,MATCH("PPS"&amp;MID(G42,2,99),'1-产品总表'!$A$3:$A$494,0)),"黑胡桃 餐边柜197*40/48*109【层板多层板】")),"黑胡桃 餐边柜197*40/48*109【层板多层板】")</f>
        <v/>
      </c>
      <c r="I42">
        <f>IFERROR(INDEX('5-订单总表'!$K$3:$K$805,MATCH(B42,'5-订单总表'!$B$3:$B$805,0)),"")</f>
        <v/>
      </c>
      <c r="J42" s="15" t="n">
        <v>1</v>
      </c>
      <c r="K42">
        <f>IFERROR(SUMPRODUCT(('2-定价总表'!$A$3:$A$493="PPS"&amp;MID(G42,2,99))*('2-定价总表'!$C$3:$C$493=I42)*('2-定价总表'!$T$3:$T$493)),"")</f>
        <v/>
      </c>
      <c r="L42" s="49" t="n">
        <v>8800</v>
      </c>
      <c r="M42">
        <f>IFERROR(K42*J42,"")</f>
        <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G43">
        <f>IFERROR(INDEX('5-订单总表'!$I$3:$I$805,MATCH(B43,'5-订单总表'!$B$3:$B$805,0)),"")</f>
        <v/>
      </c>
      <c r="H43" s="15">
        <f>IFERROR(IF(INDEX('5-订单总表'!$J$3:$J$805,MATCH(B43,'5-订单总表'!$B$3:$B$805,0))&lt;&gt;"",INDEX('5-订单总表'!$J$3:$J$805,MATCH(B43,'5-订单总表'!$B$3:$B$805,0)),IFERROR(INDEX('1-产品总表'!$C$3:$C$494,MATCH("PPS"&amp;MID(G43,2,99),'1-产品总表'!$A$3:$A$494,0)),"榉木 岩板餐桌180*85【洞石岩板】")),"榉木 岩板餐桌180*85【洞石岩板】")</f>
        <v/>
      </c>
      <c r="I43">
        <f>IFERROR(INDEX('5-订单总表'!$K$3:$K$805,MATCH(B43,'5-订单总表'!$B$3:$B$805,0)),"")</f>
        <v/>
      </c>
      <c r="J43" s="15" t="n">
        <v>1</v>
      </c>
      <c r="K43">
        <f>IFERROR(SUMPRODUCT(('2-定价总表'!$A$3:$A$493="PPS"&amp;MID(G43,2,99))*('2-定价总表'!$C$3:$C$493=I43)*('2-定价总表'!$T$3:$T$493)),"")</f>
        <v/>
      </c>
      <c r="L43" s="49" t="n">
        <v>1400</v>
      </c>
      <c r="M43">
        <f>IFERROR(K43*J43,"")</f>
        <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f>IFERROR(INDEX('5-订单总表'!$I$3:$I$805,MATCH(B44,'5-订单总表'!$B$3:$B$805,0)),"")</f>
        <v/>
      </c>
      <c r="H44" s="15">
        <f>IFERROR(IF(INDEX('5-订单总表'!$J$3:$J$805,MATCH(B44,'5-订单总表'!$B$3:$B$805,0))&lt;&gt;"",INDEX('5-订单总表'!$J$3:$J$805,MATCH(B44,'5-订单总表'!$B$3:$B$805,0)),IFERROR(INDEX('1-产品总表'!$C$3:$C$494,MATCH("PPS"&amp;MID(G44,2,99),'1-产品总表'!$A$3:$A$494,0)),"榉木 岩板餐桌180*85【备货")),"榉木 岩板餐桌180*85【备货")</f>
        <v/>
      </c>
      <c r="I44">
        <f>IFERROR(INDEX('5-订单总表'!$K$3:$K$805,MATCH(B44,'5-订单总表'!$B$3:$B$805,0)),"")</f>
        <v/>
      </c>
      <c r="J44" s="15" t="n">
        <v>1</v>
      </c>
      <c r="K44">
        <f>IFERROR(SUMPRODUCT(('2-定价总表'!$A$3:$A$493="PPS"&amp;MID(G44,2,99))*('2-定价总表'!$C$3:$C$493=I44)*('2-定价总表'!$T$3:$T$493)),"")</f>
        <v/>
      </c>
      <c r="L44" s="49" t="n">
        <v>1400</v>
      </c>
      <c r="M44">
        <f>IFERROR(K44*J44,"")</f>
        <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f>IFERROR(INDEX('5-订单总表'!$I$3:$I$805,MATCH(B45,'5-订单总表'!$B$3:$B$805,0)),"")</f>
        <v/>
      </c>
      <c r="H45" s="15">
        <f>IFERROR(IF(INDEX('5-订单总表'!$J$3:$J$805,MATCH(B45,'5-订单总表'!$B$3:$B$805,0))&lt;&gt;"",INDEX('5-订单总表'!$J$3:$J$805,MATCH(B45,'5-订单总表'!$B$3:$B$805,0)),IFERROR(INDEX('1-产品总表'!$C$3:$C$494,MATCH("PPS"&amp;MID(G45,2,99),'1-产品总表'!$A$3:$A$494,0)),"樱桃木 窄柜120【最低3400")),"樱桃木 窄柜120【最低3400")</f>
        <v/>
      </c>
      <c r="I45">
        <f>IFERROR(INDEX('5-订单总表'!$K$3:$K$805,MATCH(B45,'5-订单总表'!$B$3:$B$805,0)),"")</f>
        <v/>
      </c>
      <c r="J45" s="15" t="n">
        <v>1</v>
      </c>
      <c r="K45">
        <f>IFERROR(SUMPRODUCT(('2-定价总表'!$A$3:$A$493="PPS"&amp;MID(G45,2,99))*('2-定价总表'!$C$3:$C$493=I45)*('2-定价总表'!$T$3:$T$493)),"")</f>
        <v/>
      </c>
      <c r="L45" s="49" t="n">
        <v>3400</v>
      </c>
      <c r="M45">
        <f>IFERROR(K45*J45,"")</f>
        <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f>IFERROR(INDEX('5-订单总表'!$I$3:$I$805,MATCH(B46,'5-订单总表'!$B$3:$B$805,0)),"")</f>
        <v/>
      </c>
      <c r="H46" s="15">
        <f>IFERROR(IF(INDEX('5-订单总表'!$J$3:$J$805,MATCH(B46,'5-订单总表'!$B$3:$B$805,0))&lt;&gt;"",INDEX('5-订单总表'!$J$3:$J$805,MATCH(B46,'5-订单总表'!$B$3:$B$805,0)),IFERROR(INDEX('1-产品总表'!$C$3:$C$494,MATCH("PPS"&amp;MID(G46,2,99),'1-产品总表'!$A$3:$A$494,0)),"榉木 岩板餐桌130*70【定制尺寸")),"榉木 岩板餐桌130*70【定制尺寸")</f>
        <v/>
      </c>
      <c r="I46">
        <f>IFERROR(INDEX('5-订单总表'!$K$3:$K$805,MATCH(B46,'5-订单总表'!$B$3:$B$805,0)),"")</f>
        <v/>
      </c>
      <c r="J46" s="15" t="n">
        <v>1</v>
      </c>
      <c r="K46">
        <f>IFERROR(SUMPRODUCT(('2-定价总表'!$A$3:$A$493="PPS"&amp;MID(G46,2,99))*('2-定价总表'!$C$3:$C$493=I46)*('2-定价总表'!$T$3:$T$493)),"")</f>
        <v/>
      </c>
      <c r="L46" s="49" t="n">
        <v>1280</v>
      </c>
      <c r="M46">
        <f>IFERROR(K46*J46,"")</f>
        <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G47">
        <f>IFERROR(INDEX('5-订单总表'!$I$3:$I$805,MATCH(B47,'5-订单总表'!$B$3:$B$805,0)),"")</f>
        <v/>
      </c>
      <c r="H47" s="15">
        <f>IFERROR(IF(INDEX('5-订单总表'!$J$3:$J$805,MATCH(B47,'5-订单总表'!$B$3:$B$805,0))&lt;&gt;"",INDEX('5-订单总表'!$J$3:$J$805,MATCH(B47,'5-订单总表'!$B$3:$B$805,0)),IFERROR(INDEX('1-产品总表'!$C$3:$C$494,MATCH("PPS"&amp;MID(G47,2,99),'1-产品总表'!$A$3:$A$494,0)),"榉木 岩板餐桌140*85【备货")),"榉木 岩板餐桌140*85【备货")</f>
        <v/>
      </c>
      <c r="I47">
        <f>IFERROR(INDEX('5-订单总表'!$K$3:$K$805,MATCH(B47,'5-订单总表'!$B$3:$B$805,0)),"")</f>
        <v/>
      </c>
      <c r="J47" s="15" t="n">
        <v>1</v>
      </c>
      <c r="K47">
        <f>IFERROR(SUMPRODUCT(('2-定价总表'!$A$3:$A$493="PPS"&amp;MID(G47,2,99))*('2-定价总表'!$C$3:$C$493=I47)*('2-定价总表'!$T$3:$T$493)),"")</f>
        <v/>
      </c>
      <c r="L47" s="49" t="n">
        <v>1300</v>
      </c>
      <c r="M47">
        <f>IFERROR(K47*J47,"")</f>
        <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f>IFERROR(INDEX('5-订单总表'!$I$3:$I$805,MATCH(B48,'5-订单总表'!$B$3:$B$805,0)),"")</f>
        <v/>
      </c>
      <c r="H48" s="15">
        <f>IFERROR(IF(INDEX('5-订单总表'!$J$3:$J$805,MATCH(B48,'5-订单总表'!$B$3:$B$805,0))&lt;&gt;"",INDEX('5-订单总表'!$J$3:$J$805,MATCH(B48,'5-订单总表'!$B$3:$B$805,0)),IFERROR(INDEX('1-产品总表'!$C$3:$C$494,MATCH("PPS"&amp;MID(G48,2,99),'1-产品总表'!$A$3:$A$494,0)),"榉木 岩板餐桌160*85【备货")),"榉木 岩板餐桌160*85【备货")</f>
        <v/>
      </c>
      <c r="I48">
        <f>IFERROR(INDEX('5-订单总表'!$K$3:$K$805,MATCH(B48,'5-订单总表'!$B$3:$B$805,0)),"")</f>
        <v/>
      </c>
      <c r="J48" s="15" t="n">
        <v>1</v>
      </c>
      <c r="K48">
        <f>IFERROR(SUMPRODUCT(('2-定价总表'!$A$3:$A$493="PPS"&amp;MID(G48,2,99))*('2-定价总表'!$C$3:$C$493=I48)*('2-定价总表'!$T$3:$T$493)),"")</f>
        <v/>
      </c>
      <c r="L48" s="49" t="n">
        <v>1350</v>
      </c>
      <c r="M48">
        <f>IFERROR(K48*J48,"")</f>
        <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G49">
        <f>IFERROR(INDEX('5-订单总表'!$I$3:$I$805,MATCH(B49,'5-订单总表'!$B$3:$B$805,0)),"")</f>
        <v/>
      </c>
      <c r="H49" s="15">
        <f>IFERROR(IF(INDEX('5-订单总表'!$J$3:$J$805,MATCH(B49,'5-订单总表'!$B$3:$B$805,0))&lt;&gt;"",INDEX('5-订单总表'!$J$3:$J$805,MATCH(B49,'5-订单总表'!$B$3:$B$805,0)),IFERROR(INDEX('1-产品总表'!$C$3:$C$494,MATCH("PPS"&amp;MID(G49,2,99),'1-产品总表'!$A$3:$A$494,0)),"榉木 岩板餐桌160*85【备货")),"榉木 岩板餐桌160*85【备货")</f>
        <v/>
      </c>
      <c r="I49">
        <f>IFERROR(INDEX('5-订单总表'!$K$3:$K$805,MATCH(B49,'5-订单总表'!$B$3:$B$805,0)),"")</f>
        <v/>
      </c>
      <c r="J49" s="15" t="n">
        <v>1</v>
      </c>
      <c r="K49">
        <f>IFERROR(SUMPRODUCT(('2-定价总表'!$A$3:$A$493="PPS"&amp;MID(G49,2,99))*('2-定价总表'!$C$3:$C$493=I49)*('2-定价总表'!$T$3:$T$493)),"")</f>
        <v/>
      </c>
      <c r="L49" s="49" t="n">
        <v>1350</v>
      </c>
      <c r="M49">
        <f>IFERROR(K49*J49,"")</f>
        <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G50">
        <f>IFERROR(INDEX('5-订单总表'!$I$3:$I$805,MATCH(B50,'5-订单总表'!$B$3:$B$805,0)),"")</f>
        <v/>
      </c>
      <c r="H50" s="15">
        <f>IFERROR(IF(INDEX('5-订单总表'!$J$3:$J$805,MATCH(B50,'5-订单总表'!$B$3:$B$805,0))&lt;&gt;"",INDEX('5-订单总表'!$J$3:$J$805,MATCH(B50,'5-订单总表'!$B$3:$B$805,0)),IFERROR(INDEX('1-产品总表'!$C$3:$C$494,MATCH("PPS"&amp;MID(G50,2,99),'1-产品总表'!$A$3:$A$494,0)),"榉木 岩板餐桌160*85【备货")),"榉木 岩板餐桌160*85【备货")</f>
        <v/>
      </c>
      <c r="I50">
        <f>IFERROR(INDEX('5-订单总表'!$K$3:$K$805,MATCH(B50,'5-订单总表'!$B$3:$B$805,0)),"")</f>
        <v/>
      </c>
      <c r="J50" s="15" t="n">
        <v>1</v>
      </c>
      <c r="K50">
        <f>IFERROR(SUMPRODUCT(('2-定价总表'!$A$3:$A$493="PPS"&amp;MID(G50,2,99))*('2-定价总表'!$C$3:$C$493=I50)*('2-定价总表'!$T$3:$T$493)),"")</f>
        <v/>
      </c>
      <c r="L50" s="49" t="n">
        <v>1350</v>
      </c>
      <c r="M50">
        <f>IFERROR(K50*J50,"")</f>
        <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f>IFERROR(INDEX('5-订单总表'!$I$3:$I$805,MATCH(B51,'5-订单总表'!$B$3:$B$805,0)),"")</f>
        <v/>
      </c>
      <c r="H51" s="15">
        <f>IFERROR(IF(INDEX('5-订单总表'!$J$3:$J$805,MATCH(B51,'5-订单总表'!$B$3:$B$805,0))&lt;&gt;"",INDEX('5-订单总表'!$J$3:$J$805,MATCH(B51,'5-订单总表'!$B$3:$B$805,0)),IFERROR(INDEX('1-产品总表'!$C$3:$C$494,MATCH("PPS"&amp;MID(G51,2,99),'1-产品总表'!$A$3:$A$494,0)),"榉木 岩板餐桌160*85【山西  小米】")),"榉木 岩板餐桌160*85【山西  小米】")</f>
        <v/>
      </c>
      <c r="I51">
        <f>IFERROR(INDEX('5-订单总表'!$K$3:$K$805,MATCH(B51,'5-订单总表'!$B$3:$B$805,0)),"")</f>
        <v/>
      </c>
      <c r="J51" s="15" t="n">
        <v>1</v>
      </c>
      <c r="K51">
        <f>IFERROR(SUMPRODUCT(('2-定价总表'!$A$3:$A$493="PPS"&amp;MID(G51,2,99))*('2-定价总表'!$C$3:$C$493=I51)*('2-定价总表'!$T$3:$T$493)),"")</f>
        <v/>
      </c>
      <c r="L51" s="49" t="inlineStr">
        <is>
          <t>已结算</t>
        </is>
      </c>
      <c r="M51">
        <f>IFERROR(K51*J51,"")</f>
        <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G52">
        <f>IFERROR(INDEX('5-订单总表'!$I$3:$I$805,MATCH(B52,'5-订单总表'!$B$3:$B$805,0)),"")</f>
        <v/>
      </c>
      <c r="H52" s="15">
        <f>IFERROR(IF(INDEX('5-订单总表'!$J$3:$J$805,MATCH(B52,'5-订单总表'!$B$3:$B$805,0))&lt;&gt;"",INDEX('5-订单总表'!$J$3:$J$805,MATCH(B52,'5-订单总表'!$B$3:$B$805,0)),IFERROR(INDEX('1-产品总表'!$C$3:$C$494,MATCH("PPS"&amp;MID(G52,2,99),'1-产品总表'!$A$3:$A$494,0)),"榉木 岩板餐桌180*85【备货")),"榉木 岩板餐桌180*85【备货")</f>
        <v/>
      </c>
      <c r="I52">
        <f>IFERROR(INDEX('5-订单总表'!$K$3:$K$805,MATCH(B52,'5-订单总表'!$B$3:$B$805,0)),"")</f>
        <v/>
      </c>
      <c r="J52" s="15" t="n">
        <v>1</v>
      </c>
      <c r="K52">
        <f>IFERROR(SUMPRODUCT(('2-定价总表'!$A$3:$A$493="PPS"&amp;MID(G52,2,99))*('2-定价总表'!$C$3:$C$493=I52)*('2-定价总表'!$T$3:$T$493)),"")</f>
        <v/>
      </c>
      <c r="L52" s="49" t="n">
        <v>1400</v>
      </c>
      <c r="M52">
        <f>IFERROR(K52*J52,"")</f>
        <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G53">
        <f>IFERROR(INDEX('5-订单总表'!$I$3:$I$805,MATCH(B53,'5-订单总表'!$B$3:$B$805,0)),"")</f>
        <v/>
      </c>
      <c r="H53" s="15">
        <f>IFERROR(IF(INDEX('5-订单总表'!$J$3:$J$805,MATCH(B53,'5-订单总表'!$B$3:$B$805,0))&lt;&gt;"",INDEX('5-订单总表'!$J$3:$J$805,MATCH(B53,'5-订单总表'!$B$3:$B$805,0)),IFERROR(INDEX('1-产品总表'!$C$3:$C$494,MATCH("PPS"&amp;MID(G53,2,99),'1-产品总表'!$A$3:$A$494,0)),"榉木 岩板餐桌180*85【备货")),"榉木 岩板餐桌180*85【备货")</f>
        <v/>
      </c>
      <c r="I53">
        <f>IFERROR(INDEX('5-订单总表'!$K$3:$K$805,MATCH(B53,'5-订单总表'!$B$3:$B$805,0)),"")</f>
        <v/>
      </c>
      <c r="J53" s="15" t="n">
        <v>1</v>
      </c>
      <c r="K53">
        <f>IFERROR(SUMPRODUCT(('2-定价总表'!$A$3:$A$493="PPS"&amp;MID(G53,2,99))*('2-定价总表'!$C$3:$C$493=I53)*('2-定价总表'!$T$3:$T$493)),"")</f>
        <v/>
      </c>
      <c r="L53" s="49" t="n">
        <v>1400</v>
      </c>
      <c r="M53">
        <f>IFERROR(K53*J53,"")</f>
        <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f>IFERROR(INDEX('5-订单总表'!$I$3:$I$805,MATCH(B54,'5-订单总表'!$B$3:$B$805,0)),"")</f>
        <v/>
      </c>
      <c r="H54" s="15">
        <f>IFERROR(IF(INDEX('5-订单总表'!$J$3:$J$805,MATCH(B54,'5-订单总表'!$B$3:$B$805,0))&lt;&gt;"",INDEX('5-订单总表'!$J$3:$J$805,MATCH(B54,'5-订单总表'!$B$3:$B$805,0)),IFERROR(INDEX('1-产品总表'!$C$3:$C$494,MATCH("PPS"&amp;MID(G54,2,99),'1-产品总表'!$A$3:$A$494,0)),"樱桃木 岛台140*74.5*100桌子180*67.5*75")),"樱桃木 岛台140*74.5*100桌子180*67.5*75")</f>
        <v/>
      </c>
      <c r="I54">
        <f>IFERROR(INDEX('5-订单总表'!$K$3:$K$805,MATCH(B54,'5-订单总表'!$B$3:$B$805,0)),"")</f>
        <v/>
      </c>
      <c r="J54" s="15" t="n">
        <v>1</v>
      </c>
      <c r="K54">
        <f>IFERROR(SUMPRODUCT(('2-定价总表'!$A$3:$A$493="PPS"&amp;MID(G54,2,99))*('2-定价总表'!$C$3:$C$493=I54)*('2-定价总表'!$T$3:$T$493)),"")</f>
        <v/>
      </c>
      <c r="L54" s="49" t="n">
        <v>4800</v>
      </c>
      <c r="M54">
        <f>IFERROR(K54*J54,"")</f>
        <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G55">
        <f>IFERROR(INDEX('5-订单总表'!$I$3:$I$805,MATCH(B55,'5-订单总表'!$B$3:$B$805,0)),"")</f>
        <v/>
      </c>
      <c r="H55" s="15">
        <f>IFERROR(IF(INDEX('5-订单总表'!$J$3:$J$805,MATCH(B55,'5-订单总表'!$B$3:$B$805,0))&lt;&gt;"",INDEX('5-订单总表'!$J$3:$J$805,MATCH(B55,'5-订单总表'!$B$3:$B$805,0)),IFERROR(INDEX('1-产品总表'!$C$3:$C$494,MATCH("PPS"&amp;MID(G55,2,99),'1-产品总表'!$A$3:$A$494,0)),"樱桃木 下柜170*50*88【福建退回的下柜维修换材料】")),"樱桃木 下柜170*50*88【福建退回的下柜维修换材料】")</f>
        <v/>
      </c>
      <c r="I55">
        <f>IFERROR(INDEX('5-订单总表'!$K$3:$K$805,MATCH(B55,'5-订单总表'!$B$3:$B$805,0)),"")</f>
        <v/>
      </c>
      <c r="J55" s="15" t="n">
        <v>1</v>
      </c>
      <c r="K55">
        <f>IFERROR(SUMPRODUCT(('2-定价总表'!$A$3:$A$493="PPS"&amp;MID(G55,2,99))*('2-定价总表'!$C$3:$C$493=I55)*('2-定价总表'!$T$3:$T$493)),"")</f>
        <v/>
      </c>
      <c r="L55" s="49" t="n">
        <v>1700</v>
      </c>
      <c r="M55">
        <f>IFERROR(K55*J55,"")</f>
        <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G56">
        <f>IFERROR(INDEX('5-订单总表'!$I$3:$I$805,MATCH(B56,'5-订单总表'!$B$3:$B$805,0)),"")</f>
        <v/>
      </c>
      <c r="H56" s="15">
        <f>IFERROR(IF(INDEX('5-订单总表'!$J$3:$J$805,MATCH(B56,'5-订单总表'!$B$3:$B$805,0))&lt;&gt;"",INDEX('5-订单总表'!$J$3:$J$805,MATCH(B56,'5-订单总表'!$B$3:$B$805,0)),IFERROR(INDEX('1-产品总表'!$C$3:$C$494,MATCH("PPS"&amp;MID(G56,2,99),'1-产品总表'!$A$3:$A$494,0)),"樱桃木 组合柜3个＋地脚")),"樱桃木 组合柜3个＋地脚")</f>
        <v/>
      </c>
      <c r="I56">
        <f>IFERROR(INDEX('5-订单总表'!$K$3:$K$805,MATCH(B56,'5-订单总表'!$B$3:$B$805,0)),"")</f>
        <v/>
      </c>
      <c r="J56" s="15" t="n">
        <v>1</v>
      </c>
      <c r="K56">
        <f>IFERROR(SUMPRODUCT(('2-定价总表'!$A$3:$A$493="PPS"&amp;MID(G56,2,99))*('2-定价总表'!$C$3:$C$493=I56)*('2-定价总表'!$T$3:$T$493)),"")</f>
        <v/>
      </c>
      <c r="L56" s="49" t="n">
        <v>2300</v>
      </c>
      <c r="M56">
        <f>IFERROR(K56*J56,"")</f>
        <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G57">
        <f>IFERROR(INDEX('5-订单总表'!$I$3:$I$805,MATCH(B57,'5-订单总表'!$B$3:$B$805,0)),"")</f>
        <v/>
      </c>
      <c r="H57" s="15">
        <f>IFERROR(IF(INDEX('5-订单总表'!$J$3:$J$805,MATCH(B57,'5-订单总表'!$B$3:$B$805,0))&lt;&gt;"",INDEX('5-订单总表'!$J$3:$J$805,MATCH(B57,'5-订单总表'!$B$3:$B$805,0)),IFERROR(INDEX('1-产品总表'!$C$3:$C$494,MATCH("PPS"&amp;MID(G57,2,99),'1-产品总表'!$A$3:$A$494,0)),"樱桃木 组合柜6个+2脚")),"樱桃木 组合柜6个+2脚")</f>
        <v/>
      </c>
      <c r="I57">
        <f>IFERROR(INDEX('5-订单总表'!$K$3:$K$805,MATCH(B57,'5-订单总表'!$B$3:$B$805,0)),"")</f>
        <v/>
      </c>
      <c r="J57" s="15" t="n">
        <v>1</v>
      </c>
      <c r="K57">
        <f>IFERROR(SUMPRODUCT(('2-定价总表'!$A$3:$A$493="PPS"&amp;MID(G57,2,99))*('2-定价总表'!$C$3:$C$493=I57)*('2-定价总表'!$T$3:$T$493)),"")</f>
        <v/>
      </c>
      <c r="L57" s="49" t="n">
        <v>5000</v>
      </c>
      <c r="M57">
        <f>IFERROR(K57*J57,"")</f>
        <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G58">
        <f>IFERROR(INDEX('5-订单总表'!$I$3:$I$805,MATCH(B58,'5-订单总表'!$B$3:$B$805,0)),"")</f>
        <v/>
      </c>
      <c r="H58" s="15">
        <f>IFERROR(IF(INDEX('5-订单总表'!$J$3:$J$805,MATCH(B58,'5-订单总表'!$B$3:$B$805,0))&lt;&gt;"",INDEX('5-订单总表'!$J$3:$J$805,MATCH(B58,'5-订单总表'!$B$3:$B$805,0)),IFERROR(INDEX('1-产品总表'!$C$3:$C$494,MATCH("PPS"&amp;MID(G58,2,99),'1-产品总表'!$A$3:$A$494,0)),"樱桃木 旋转柜定制+双腿桌170*33/55*230桌180*75")),"樱桃木 旋转柜定制+双腿桌170*33/55*230桌180*75")</f>
        <v/>
      </c>
      <c r="I58">
        <f>IFERROR(INDEX('5-订单总表'!$K$3:$K$805,MATCH(B58,'5-订单总表'!$B$3:$B$805,0)),"")</f>
        <v/>
      </c>
      <c r="J58" s="15" t="n">
        <v>1</v>
      </c>
      <c r="K58">
        <f>IFERROR(SUMPRODUCT(('2-定价总表'!$A$3:$A$493="PPS"&amp;MID(G58,2,99))*('2-定价总表'!$C$3:$C$493=I58)*('2-定价总表'!$T$3:$T$493)),"")</f>
        <v/>
      </c>
      <c r="L58" s="49" t="n">
        <v>7000</v>
      </c>
      <c r="M58">
        <f>IFERROR(K58*J58,"")</f>
        <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G59">
        <f>IFERROR(INDEX('5-订单总表'!$I$3:$I$805,MATCH(B59,'5-订单总表'!$B$3:$B$805,0)),"")</f>
        <v/>
      </c>
      <c r="H59" s="15">
        <f>IFERROR(IF(INDEX('5-订单总表'!$J$3:$J$805,MATCH(B59,'5-订单总表'!$B$3:$B$805,0))&lt;&gt;"",INDEX('5-订单总表'!$J$3:$J$805,MATCH(B59,'5-订单总表'!$B$3:$B$805,0)),IFERROR(INDEX('1-产品总表'!$C$3:$C$494,MATCH("PPS"&amp;MID(G59,2,99),'1-产品总表'!$A$3:$A$494,0)),"樱桃木 基础柜174*30.5/35*236")),"樱桃木 基础柜174*30.5/35*236")</f>
        <v/>
      </c>
      <c r="I59">
        <f>IFERROR(INDEX('5-订单总表'!$K$3:$K$805,MATCH(B59,'5-订单总表'!$B$3:$B$805,0)),"")</f>
        <v/>
      </c>
      <c r="J59" s="15" t="n">
        <v>1</v>
      </c>
      <c r="K59">
        <f>IFERROR(SUMPRODUCT(('2-定价总表'!$A$3:$A$493="PPS"&amp;MID(G59,2,99))*('2-定价总表'!$C$3:$C$493=I59)*('2-定价总表'!$T$3:$T$493)),"")</f>
        <v/>
      </c>
      <c r="L59" s="49" t="n">
        <v>4950</v>
      </c>
      <c r="M59">
        <f>IFERROR(K59*J59,"")</f>
        <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f>IFERROR(INDEX('5-订单总表'!$I$3:$I$805,MATCH(B60,'5-订单总表'!$B$3:$B$805,0)),"")</f>
        <v/>
      </c>
      <c r="H60" s="15">
        <f>IFERROR(IF(INDEX('5-订单总表'!$J$3:$J$805,MATCH(B60,'5-订单总表'!$B$3:$B$805,0))&lt;&gt;"",INDEX('5-订单总表'!$J$3:$J$805,MATCH(B60,'5-订单总表'!$B$3:$B$805,0)),IFERROR(INDEX('1-产品总表'!$C$3:$C$494,MATCH("PPS"&amp;MID(G60,2,99),'1-产品总表'!$A$3:$A$494,0)),"樱桃木 洞石岩板餐桌200*85【单价1400")),"樱桃木 洞石岩板餐桌200*85【单价1400")</f>
        <v/>
      </c>
      <c r="I60">
        <f>IFERROR(INDEX('5-订单总表'!$K$3:$K$805,MATCH(B60,'5-订单总表'!$B$3:$B$805,0)),"")</f>
        <v/>
      </c>
      <c r="J60" s="15" t="n">
        <v>1</v>
      </c>
      <c r="K60">
        <f>IFERROR(SUMPRODUCT(('2-定价总表'!$A$3:$A$493="PPS"&amp;MID(G60,2,99))*('2-定价总表'!$C$3:$C$493=I60)*('2-定价总表'!$T$3:$T$493)),"")</f>
        <v/>
      </c>
      <c r="L60" s="49" t="n">
        <v>1400</v>
      </c>
      <c r="M60">
        <f>IFERROR(K60*J60,"")</f>
        <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f>IFERROR(INDEX('5-订单总表'!$I$3:$I$805,MATCH(B61,'5-订单总表'!$B$3:$B$805,0)),"")</f>
        <v/>
      </c>
      <c r="H61" s="15">
        <f>IFERROR(IF(INDEX('5-订单总表'!$J$3:$J$805,MATCH(B61,'5-订单总表'!$B$3:$B$805,0))&lt;&gt;"",INDEX('5-订单总表'!$J$3:$J$805,MATCH(B61,'5-订单总表'!$B$3:$B$805,0)),IFERROR(INDEX('1-产品总表'!$C$3:$C$494,MATCH("PPS"&amp;MID(G61,2,99),'1-产品总表'!$A$3:$A$494,0)),"榉木 岩板餐桌170*85")),"榉木 岩板餐桌170*85")</f>
        <v/>
      </c>
      <c r="I61">
        <f>IFERROR(INDEX('5-订单总表'!$K$3:$K$805,MATCH(B61,'5-订单总表'!$B$3:$B$805,0)),"")</f>
        <v/>
      </c>
      <c r="J61" s="15" t="n">
        <v>1</v>
      </c>
      <c r="K61">
        <f>IFERROR(SUMPRODUCT(('2-定价总表'!$A$3:$A$493="PPS"&amp;MID(G61,2,99))*('2-定价总表'!$C$3:$C$493=I61)*('2-定价总表'!$T$3:$T$493)),"")</f>
        <v/>
      </c>
      <c r="L61" s="49" t="n">
        <v>1400</v>
      </c>
      <c r="M61">
        <f>IFERROR(K61*J61,"")</f>
        <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f>IFERROR(INDEX('5-订单总表'!$I$3:$I$805,MATCH(B62,'5-订单总表'!$B$3:$B$805,0)),"")</f>
        <v/>
      </c>
      <c r="H62" s="15">
        <f>IFERROR(IF(INDEX('5-订单总表'!$J$3:$J$805,MATCH(B62,'5-订单总表'!$B$3:$B$805,0))&lt;&gt;"",INDEX('5-订单总表'!$J$3:$J$805,MATCH(B62,'5-订单总表'!$B$3:$B$805,0)),IFERROR(INDEX('1-产品总表'!$C$3:$C$494,MATCH("PPS"&amp;MID(G62,2,99),'1-产品总表'!$A$3:$A$494,0)),"樱桃木 岩板餐桌150*75")),"樱桃木 岩板餐桌150*75")</f>
        <v/>
      </c>
      <c r="I62">
        <f>IFERROR(INDEX('5-订单总表'!$K$3:$K$805,MATCH(B62,'5-订单总表'!$B$3:$B$805,0)),"")</f>
        <v/>
      </c>
      <c r="J62" s="15" t="n">
        <v>1</v>
      </c>
      <c r="K62">
        <f>IFERROR(SUMPRODUCT(('2-定价总表'!$A$3:$A$493="PPS"&amp;MID(G62,2,99))*('2-定价总表'!$C$3:$C$493=I62)*('2-定价总表'!$T$3:$T$493)),"")</f>
        <v/>
      </c>
      <c r="L62" s="49" t="n">
        <v>1400</v>
      </c>
      <c r="M62">
        <f>IFERROR(K62*J62,"")</f>
        <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f>IFERROR(INDEX('5-订单总表'!$I$3:$I$805,MATCH(B63,'5-订单总表'!$B$3:$B$805,0)),"")</f>
        <v/>
      </c>
      <c r="H63" s="15">
        <f>IFERROR(IF(INDEX('5-订单总表'!$J$3:$J$805,MATCH(B63,'5-订单总表'!$B$3:$B$805,0))&lt;&gt;"",INDEX('5-订单总表'!$J$3:$J$805,MATCH(B63,'5-订单总表'!$B$3:$B$805,0)),IFERROR(INDEX('1-产品总表'!$C$3:$C$494,MATCH("PPS"&amp;MID(G63,2,99),'1-产品总表'!$A$3:$A$494,0)),"黑胡桃 岩板餐桌160*85")),"黑胡桃 岩板餐桌160*85")</f>
        <v/>
      </c>
      <c r="I63">
        <f>IFERROR(INDEX('5-订单总表'!$K$3:$K$805,MATCH(B63,'5-订单总表'!$B$3:$B$805,0)),"")</f>
        <v/>
      </c>
      <c r="J63" s="15" t="n">
        <v>1</v>
      </c>
      <c r="K63">
        <f>IFERROR(SUMPRODUCT(('2-定价总表'!$A$3:$A$493="PPS"&amp;MID(G63,2,99))*('2-定价总表'!$C$3:$C$493=I63)*('2-定价总表'!$T$3:$T$493)),"")</f>
        <v/>
      </c>
      <c r="L63" s="49" t="n">
        <v>2300</v>
      </c>
      <c r="M63">
        <f>IFERROR(K63*J63,"")</f>
        <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f>IFERROR(INDEX('5-订单总表'!$I$3:$I$805,MATCH(B64,'5-订单总表'!$B$3:$B$805,0)),"")</f>
        <v/>
      </c>
      <c r="H64" s="15">
        <f>IFERROR(IF(INDEX('5-订单总表'!$J$3:$J$805,MATCH(B64,'5-订单总表'!$B$3:$B$805,0))&lt;&gt;"",INDEX('5-订单总表'!$J$3:$J$805,MATCH(B64,'5-订单总表'!$B$3:$B$805,0)),IFERROR(INDEX('1-产品总表'!$C$3:$C$494,MATCH("PPS"&amp;MID(G64,2,99),'1-产品总表'!$A$3:$A$494,0)),"樱桃木 窄柜120【最低3400")),"樱桃木 窄柜120【最低3400")</f>
        <v/>
      </c>
      <c r="I64">
        <f>IFERROR(INDEX('5-订单总表'!$K$3:$K$805,MATCH(B64,'5-订单总表'!$B$3:$B$805,0)),"")</f>
        <v/>
      </c>
      <c r="J64" s="15" t="n">
        <v>1</v>
      </c>
      <c r="K64">
        <f>IFERROR(SUMPRODUCT(('2-定价总表'!$A$3:$A$493="PPS"&amp;MID(G64,2,99))*('2-定价总表'!$C$3:$C$493=I64)*('2-定价总表'!$T$3:$T$493)),"")</f>
        <v/>
      </c>
      <c r="L64" s="49" t="n">
        <v>3400</v>
      </c>
      <c r="M64">
        <f>IFERROR(K64*J64,"")</f>
        <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G65">
        <f>IFERROR(INDEX('5-订单总表'!$I$3:$I$805,MATCH(B65,'5-订单总表'!$B$3:$B$805,0)),"")</f>
        <v/>
      </c>
      <c r="H65" s="15">
        <f>IFERROR(IF(INDEX('5-订单总表'!$J$3:$J$805,MATCH(B65,'5-订单总表'!$B$3:$B$805,0))&lt;&gt;"",INDEX('5-订单总表'!$J$3:$J$805,MATCH(B65,'5-订单总表'!$B$3:$B$805,0)),IFERROR(INDEX('1-产品总表'!$C$3:$C$494,MATCH("PPS"&amp;MID(G65,2,99),'1-产品总表'!$A$3:$A$494,0)),"樱桃木  售后【福建退回的上柜维修换材料】")),"樱桃木  售后【福建退回的上柜维修换材料】")</f>
        <v/>
      </c>
      <c r="I65">
        <f>IFERROR(INDEX('5-订单总表'!$K$3:$K$805,MATCH(B65,'5-订单总表'!$B$3:$B$805,0)),"")</f>
        <v/>
      </c>
      <c r="J65" s="15" t="n">
        <v>1</v>
      </c>
      <c r="K65">
        <f>IFERROR(SUMPRODUCT(('2-定价总表'!$A$3:$A$493="PPS"&amp;MID(G65,2,99))*('2-定价总表'!$C$3:$C$493=I65)*('2-定价总表'!$T$3:$T$493)),"")</f>
        <v/>
      </c>
      <c r="L65" s="49" t="n">
        <v>1660</v>
      </c>
      <c r="M65">
        <f>IFERROR(K65*J65,"")</f>
        <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G66">
        <f>IFERROR(INDEX('5-订单总表'!$I$3:$I$805,MATCH(B66,'5-订单总表'!$B$3:$B$805,0)),"")</f>
        <v/>
      </c>
      <c r="H66" s="15">
        <f>IFERROR(IF(INDEX('5-订单总表'!$J$3:$J$805,MATCH(B66,'5-订单总表'!$B$3:$B$805,0))&lt;&gt;"",INDEX('5-订单总表'!$J$3:$J$805,MATCH(B66,'5-订单总表'!$B$3:$B$805,0)),IFERROR(INDEX('1-产品总表'!$C$3:$C$494,MATCH("PPS"&amp;MID(G66,2,99),'1-产品总表'!$A$3:$A$494,0)),"2025/12/27采购的榉木材料费用")),"2025/12/27采购的榉木材料费用")</f>
        <v/>
      </c>
      <c r="I66">
        <f>IFERROR(INDEX('5-订单总表'!$K$3:$K$805,MATCH(B66,'5-订单总表'!$B$3:$B$805,0)),"")</f>
        <v/>
      </c>
      <c r="J66" s="15" t="n"/>
      <c r="K66">
        <f>IFERROR(SUMPRODUCT(('2-定价总表'!$A$3:$A$493="PPS"&amp;MID(G66,2,99))*('2-定价总表'!$C$3:$C$493=I66)*('2-定价总表'!$T$3:$T$493)),"")</f>
        <v/>
      </c>
      <c r="L66" s="49" t="n">
        <v>-11121</v>
      </c>
      <c r="M66">
        <f>IFERROR(K66*J66,"")</f>
        <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G67">
        <f>IFERROR(INDEX('5-订单总表'!$I$3:$I$805,MATCH(B67,'5-订单总表'!$B$3:$B$805,0)),"")</f>
        <v/>
      </c>
      <c r="H67" s="15">
        <f>IFERROR(IF(INDEX('5-订单总表'!$J$3:$J$805,MATCH(B67,'5-订单总表'!$B$3:$B$805,0))&lt;&gt;"",INDEX('5-订单总表'!$J$3:$J$805,MATCH(B67,'5-订单总表'!$B$3:$B$805,0)),IFERROR(INDEX('1-产品总表'!$C$3:$C$494,MATCH("PPS"&amp;MID(G67,2,99),'1-产品总表'!$A$3:$A$494,0)),"樱桃木 升降桌130*75")),"樱桃木 升降桌130*75")</f>
        <v/>
      </c>
      <c r="I67">
        <f>IFERROR(INDEX('5-订单总表'!$K$3:$K$805,MATCH(B67,'5-订单总表'!$B$3:$B$805,0)),"")</f>
        <v/>
      </c>
      <c r="J67" s="15" t="n">
        <v>1</v>
      </c>
      <c r="K67">
        <f>IFERROR(SUMPRODUCT(('2-定价总表'!$A$3:$A$493="PPS"&amp;MID(G67,2,99))*('2-定价总表'!$C$3:$C$493=I67)*('2-定价总表'!$T$3:$T$493)),"")</f>
        <v/>
      </c>
      <c r="L67" s="49" t="n">
        <v>-1700</v>
      </c>
      <c r="M67">
        <f>IFERROR(K67*J67,"")</f>
        <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G68">
        <f>IFERROR(INDEX('5-订单总表'!$I$3:$I$805,MATCH(B68,'5-订单总表'!$B$3:$B$805,0)),"")</f>
        <v/>
      </c>
      <c r="H68" s="15">
        <f>IFERROR(IF(INDEX('5-订单总表'!$J$3:$J$805,MATCH(B68,'5-订单总表'!$B$3:$B$805,0))&lt;&gt;"",INDEX('5-订单总表'!$J$3:$J$805,MATCH(B68,'5-订单总表'!$B$3:$B$805,0)),IFERROR(INDEX('1-产品总表'!$C$3:$C$494,MATCH("PPS"&amp;MID(G68,2,99),'1-产品总表'!$A$3:$A$494,0)),"舟舟，11月结算了3600")),"舟舟，11月结算了3600")</f>
        <v/>
      </c>
      <c r="I68">
        <f>IFERROR(INDEX('5-订单总表'!$K$3:$K$805,MATCH(B68,'5-订单总表'!$B$3:$B$805,0)),"")</f>
        <v/>
      </c>
      <c r="J68" s="15" t="n"/>
      <c r="K68">
        <f>IFERROR(SUMPRODUCT(('2-定价总表'!$A$3:$A$493="PPS"&amp;MID(G68,2,99))*('2-定价总表'!$C$3:$C$493=I68)*('2-定价总表'!$T$3:$T$493)),"")</f>
        <v/>
      </c>
      <c r="L68" s="49" t="n">
        <v>-3600</v>
      </c>
      <c r="M68">
        <f>IFERROR(K68*J68,"")</f>
        <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G69">
        <f>IFERROR(INDEX('5-订单总表'!$I$3:$I$805,MATCH(B69,'5-订单总表'!$B$3:$B$805,0)),"")</f>
        <v/>
      </c>
      <c r="H69" s="15">
        <f>IFERROR(IF(INDEX('5-订单总表'!$J$3:$J$805,MATCH(B69,'5-订单总表'!$B$3:$B$805,0))&lt;&gt;"",INDEX('5-订单总表'!$J$3:$J$805,MATCH(B69,'5-订单总表'!$B$3:$B$805,0)),IFERROR(INDEX('1-产品总表'!$C$3:$C$494,MATCH("PPS"&amp;MID(G69,2,99),'1-产品总表'!$A$3:$A$494,0)),"25年单子全部结清")),"25年单子全部结清")</f>
        <v/>
      </c>
      <c r="I69">
        <f>IFERROR(INDEX('5-订单总表'!$K$3:$K$805,MATCH(B69,'5-订单总表'!$B$3:$B$805,0)),"")</f>
        <v/>
      </c>
      <c r="J69" s="15" t="n"/>
      <c r="K69">
        <f>IFERROR(SUMPRODUCT(('2-定价总表'!$A$3:$A$493="PPS"&amp;MID(G69,2,99))*('2-定价总表'!$C$3:$C$493=I69)*('2-定价总表'!$T$3:$T$493)),"")</f>
        <v/>
      </c>
      <c r="L69" s="49" t="n">
        <v>157129</v>
      </c>
      <c r="M69">
        <f>IFERROR(K69*J69,"")</f>
        <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G70">
        <f>IFERROR(INDEX('5-订单总表'!$I$3:$I$805,MATCH(B70,'5-订单总表'!$B$3:$B$805,0)),"")</f>
        <v/>
      </c>
      <c r="H70" s="15">
        <f>IFERROR(IF(INDEX('5-订单总表'!$J$3:$J$805,MATCH(B70,'5-订单总表'!$B$3:$B$805,0))&lt;&gt;"",INDEX('5-订单总表'!$J$3:$J$805,MATCH(B70,'5-订单总表'!$B$3:$B$805,0)),IFERROR(INDEX('1-产品总表'!$C$3:$C$494,MATCH("PPS"&amp;MID(G70,2,99),'1-产品总表'!$A$3:$A$494,0)),"樱桃木 餐边柜195  餐桌150*75")),"樱桃木 餐边柜195  餐桌150*75")</f>
        <v/>
      </c>
      <c r="I70">
        <f>IFERROR(INDEX('5-订单总表'!$K$3:$K$805,MATCH(B70,'5-订单总表'!$B$3:$B$805,0)),"")</f>
        <v/>
      </c>
      <c r="J70" s="15" t="n">
        <v>1</v>
      </c>
      <c r="K70">
        <f>IFERROR(SUMPRODUCT(('2-定价总表'!$A$3:$A$493="PPS"&amp;MID(G70,2,99))*('2-定价总表'!$C$3:$C$493=I70)*('2-定价总表'!$T$3:$T$493)),"")</f>
        <v/>
      </c>
      <c r="L70" s="49" t="e">
        <v>#NAME?</v>
      </c>
      <c r="M70">
        <f>IFERROR(K70*J70,"")</f>
        <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G71">
        <f>IFERROR(INDEX('5-订单总表'!$I$3:$I$805,MATCH(B71,'5-订单总表'!$B$3:$B$805,0)),"")</f>
        <v/>
      </c>
      <c r="H71" s="15">
        <f>IFERROR(IF(INDEX('5-订单总表'!$J$3:$J$805,MATCH(B71,'5-订单总表'!$B$3:$B$805,0))&lt;&gt;"",INDEX('5-订单总表'!$J$3:$J$805,MATCH(B71,'5-订单总表'!$B$3:$B$805,0)),IFERROR(INDEX('1-产品总表'!$C$3:$C$494,MATCH("PPS"&amp;MID(G71,2,99),'1-产品总表'!$A$3:$A$494,0)),"樱桃木 升降桌130*75")),"樱桃木 升降桌130*75")</f>
        <v/>
      </c>
      <c r="I71">
        <f>IFERROR(INDEX('5-订单总表'!$K$3:$K$805,MATCH(B71,'5-订单总表'!$B$3:$B$805,0)),"")</f>
        <v/>
      </c>
      <c r="J71" s="15" t="n">
        <v>1</v>
      </c>
      <c r="K71">
        <f>IFERROR(SUMPRODUCT(('2-定价总表'!$A$3:$A$493="PPS"&amp;MID(G71,2,99))*('2-定价总表'!$C$3:$C$493=I71)*('2-定价总表'!$T$3:$T$493)),"")</f>
        <v/>
      </c>
      <c r="L71" s="49" t="inlineStr">
        <is>
          <t>没生产</t>
        </is>
      </c>
      <c r="M71">
        <f>IFERROR(K71*J71,"")</f>
        <v/>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G72">
        <f>IFERROR(INDEX('5-订单总表'!$I$3:$I$805,MATCH(B72,'5-订单总表'!$B$3:$B$805,0)),"")</f>
        <v/>
      </c>
      <c r="H72" s="15">
        <f>IFERROR(IF(INDEX('5-订单总表'!$J$3:$J$805,MATCH(B72,'5-订单总表'!$B$3:$B$805,0))&lt;&gt;"",INDEX('5-订单总表'!$J$3:$J$805,MATCH(B72,'5-订单总表'!$B$3:$B$805,0)),IFERROR(INDEX('1-产品总表'!$C$3:$C$494,MATCH("PPS"&amp;MID(G72,2,99),'1-产品总表'!$A$3:$A$494,0)),"樱桃木 窄柜100（单价3600  完工没有安装")),"樱桃木 窄柜100（单价3600  完工没有安装")</f>
        <v/>
      </c>
      <c r="I72">
        <f>IFERROR(INDEX('5-订单总表'!$K$3:$K$805,MATCH(B72,'5-订单总表'!$B$3:$B$805,0)),"")</f>
        <v/>
      </c>
      <c r="J72" s="15" t="n">
        <v>1</v>
      </c>
      <c r="K72">
        <f>IFERROR(SUMPRODUCT(('2-定价总表'!$A$3:$A$493="PPS"&amp;MID(G72,2,99))*('2-定价总表'!$C$3:$C$493=I72)*('2-定价总表'!$T$3:$T$493)),"")</f>
        <v/>
      </c>
      <c r="L72" s="49" t="inlineStr">
        <is>
          <t>有备货可以发</t>
        </is>
      </c>
      <c r="M72">
        <f>IFERROR(K72*J72,"")</f>
        <v/>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G73">
        <f>IFERROR(INDEX('5-订单总表'!$I$3:$I$805,MATCH(B73,'5-订单总表'!$B$3:$B$805,0)),"")</f>
        <v/>
      </c>
      <c r="H73" s="15">
        <f>IFERROR(IF(INDEX('5-订单总表'!$J$3:$J$805,MATCH(B73,'5-订单总表'!$B$3:$B$805,0))&lt;&gt;"",INDEX('5-订单总表'!$J$3:$J$805,MATCH(B73,'5-订单总表'!$B$3:$B$805,0)),IFERROR(INDEX('1-产品总表'!$C$3:$C$494,MATCH("PPS"&amp;MID(G73,2,99),'1-产品总表'!$A$3:$A$494,0)),"樱桃木 餐边柜210+160单腿桌（单价5700调价后")),"樱桃木 餐边柜210+160单腿桌（单价5700调价后")</f>
        <v/>
      </c>
      <c r="I73">
        <f>IFERROR(INDEX('5-订单总表'!$K$3:$K$805,MATCH(B73,'5-订单总表'!$B$3:$B$805,0)),"")</f>
        <v/>
      </c>
      <c r="J73" s="15" t="n">
        <v>1</v>
      </c>
      <c r="K73">
        <f>IFERROR(SUMPRODUCT(('2-定价总表'!$A$3:$A$493="PPS"&amp;MID(G73,2,99))*('2-定价总表'!$C$3:$C$493=I73)*('2-定价总表'!$T$3:$T$493)),"")</f>
        <v/>
      </c>
      <c r="L73" s="49" t="n"/>
      <c r="M73">
        <f>IFERROR(K73*J73,"")</f>
        <v/>
      </c>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G74">
        <f>IFERROR(INDEX('5-订单总表'!$I$3:$I$805,MATCH(B74,'5-订单总表'!$B$3:$B$805,0)),"")</f>
        <v/>
      </c>
      <c r="H74" s="15">
        <f>IFERROR(IF(INDEX('5-订单总表'!$J$3:$J$805,MATCH(B74,'5-订单总表'!$B$3:$B$805,0))&lt;&gt;"",INDEX('5-订单总表'!$J$3:$J$805,MATCH(B74,'5-订单总表'!$B$3:$B$805,0)),IFERROR(INDEX('1-产品总表'!$C$3:$C$494,MATCH("PPS"&amp;MID(G74,2,99),'1-产品总表'!$A$3:$A$494,0)),"榉木 岩板餐桌160*85【山西  小米】")),"榉木 岩板餐桌160*85【山西  小米】")</f>
        <v/>
      </c>
      <c r="I74">
        <f>IFERROR(INDEX('5-订单总表'!$K$3:$K$805,MATCH(B74,'5-订单总表'!$B$3:$B$805,0)),"")</f>
        <v/>
      </c>
      <c r="J74" s="15" t="n">
        <v>1</v>
      </c>
      <c r="K74">
        <f>IFERROR(SUMPRODUCT(('2-定价总表'!$A$3:$A$493="PPS"&amp;MID(G74,2,99))*('2-定价总表'!$C$3:$C$493=I74)*('2-定价总表'!$T$3:$T$493)),"")</f>
        <v/>
      </c>
      <c r="L74" s="49" t="inlineStr">
        <is>
          <t>已经扣费，跟备货冲突</t>
        </is>
      </c>
      <c r="M74">
        <f>IFERROR(K74*J74,"")</f>
        <v/>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G75">
        <f>IFERROR(INDEX('5-订单总表'!$I$3:$I$805,MATCH(B75,'5-订单总表'!$B$3:$B$805,0)),"")</f>
        <v/>
      </c>
      <c r="H75" s="15">
        <f>IFERROR(IF(INDEX('5-订单总表'!$J$3:$J$805,MATCH(B75,'5-订单总表'!$B$3:$B$805,0))&lt;&gt;"",INDEX('5-订单总表'!$J$3:$J$805,MATCH(B75,'5-订单总表'!$B$3:$B$805,0)),IFERROR(INDEX('1-产品总表'!$C$3:$C$494,MATCH("PPS"&amp;MID(G75,2,99),'1-产品总表'!$A$3:$A$494,0)),"樱桃木 窄柜100（新报价3300，轨道用工厂的")),"樱桃木 窄柜100（新报价3300，轨道用工厂的")</f>
        <v/>
      </c>
      <c r="I75">
        <f>IFERROR(INDEX('5-订单总表'!$K$3:$K$805,MATCH(B75,'5-订单总表'!$B$3:$B$805,0)),"")</f>
        <v/>
      </c>
      <c r="J75" s="15" t="n">
        <v>1</v>
      </c>
      <c r="K75">
        <f>IFERROR(SUMPRODUCT(('2-定价总表'!$A$3:$A$493="PPS"&amp;MID(G75,2,99))*('2-定价总表'!$C$3:$C$493=I75)*('2-定价总表'!$T$3:$T$493)),"")</f>
        <v/>
      </c>
      <c r="L75" s="49" t="e">
        <v>#NAME?</v>
      </c>
      <c r="M75">
        <f>IFERROR(K75*J75,"")</f>
        <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G76">
        <f>IFERROR(INDEX('5-订单总表'!$I$3:$I$805,MATCH(B76,'5-订单总表'!$B$3:$B$805,0)),"")</f>
        <v/>
      </c>
      <c r="H76" s="15">
        <f>IFERROR(IF(INDEX('5-订单总表'!$J$3:$J$805,MATCH(B76,'5-订单总表'!$B$3:$B$805,0))&lt;&gt;"",INDEX('5-订单总表'!$J$3:$J$805,MATCH(B76,'5-订单总表'!$B$3:$B$805,0)),IFERROR(INDEX('1-产品总表'!$C$3:$C$494,MATCH("PPS"&amp;MID(G76,2,99),'1-产品总表'!$A$3:$A$494,0)),"黑胡桃 餐边柜197*40/48*109【层板多层板】")),"黑胡桃 餐边柜197*40/48*109【层板多层板】")</f>
        <v/>
      </c>
      <c r="I76">
        <f>IFERROR(INDEX('5-订单总表'!$K$3:$K$805,MATCH(B76,'5-订单总表'!$B$3:$B$805,0)),"")</f>
        <v/>
      </c>
      <c r="J76" s="15" t="n">
        <v>1</v>
      </c>
      <c r="K76">
        <f>IFERROR(SUMPRODUCT(('2-定价总表'!$A$3:$A$493="PPS"&amp;MID(G76,2,99))*('2-定价总表'!$C$3:$C$493=I76)*('2-定价总表'!$T$3:$T$493)),"")</f>
        <v/>
      </c>
      <c r="L76" s="49" t="e">
        <v>#NAME?</v>
      </c>
      <c r="M76">
        <f>IFERROR(K76*J76,"")</f>
        <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G77">
        <f>IFERROR(INDEX('5-订单总表'!$I$3:$I$805,MATCH(B77,'5-订单总表'!$B$3:$B$805,0)),"")</f>
        <v/>
      </c>
      <c r="H77" s="15">
        <f>IFERROR(IF(INDEX('5-订单总表'!$J$3:$J$805,MATCH(B77,'5-订单总表'!$B$3:$B$805,0))&lt;&gt;"",INDEX('5-订单总表'!$J$3:$J$805,MATCH(B77,'5-订单总表'!$B$3:$B$805,0)),IFERROR(INDEX('1-产品总表'!$C$3:$C$494,MATCH("PPS"&amp;MID(G77,2,99),'1-产品总表'!$A$3:$A$494,0)),"榉木 岩板餐桌180*85【备货打包好在工厂】")),"榉木 岩板餐桌180*85【备货打包好在工厂】")</f>
        <v/>
      </c>
      <c r="I77">
        <f>IFERROR(INDEX('5-订单总表'!$K$3:$K$805,MATCH(B77,'5-订单总表'!$B$3:$B$805,0)),"")</f>
        <v/>
      </c>
      <c r="J77" s="15" t="n"/>
      <c r="K77">
        <f>IFERROR(SUMPRODUCT(('2-定价总表'!$A$3:$A$493="PPS"&amp;MID(G77,2,99))*('2-定价总表'!$C$3:$C$493=I77)*('2-定价总表'!$T$3:$T$493)),"")</f>
        <v/>
      </c>
      <c r="L77" s="49" t="n"/>
      <c r="M77">
        <f>IFERROR(K77*J77,"")</f>
        <v/>
      </c>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G78">
        <f>IFERROR(INDEX('5-订单总表'!$I$3:$I$805,MATCH(B78,'5-订单总表'!$B$3:$B$805,0)),"")</f>
        <v/>
      </c>
      <c r="H78" s="15">
        <f>IFERROR(IF(INDEX('5-订单总表'!$J$3:$J$805,MATCH(B78,'5-订单总表'!$B$3:$B$805,0))&lt;&gt;"",INDEX('5-订单总表'!$J$3:$J$805,MATCH(B78,'5-订单总表'!$B$3:$B$805,0)),IFERROR(INDEX('1-产品总表'!$C$3:$C$494,MATCH("PPS"&amp;MID(G78,2,99),'1-产品总表'!$A$3:$A$494,0)),"樱桃木 窄柜120【最低3400")),"樱桃木 窄柜120【最低3400")</f>
        <v/>
      </c>
      <c r="I78">
        <f>IFERROR(INDEX('5-订单总表'!$K$3:$K$805,MATCH(B78,'5-订单总表'!$B$3:$B$805,0)),"")</f>
        <v/>
      </c>
      <c r="J78" s="15" t="n">
        <v>1</v>
      </c>
      <c r="K78">
        <f>IFERROR(SUMPRODUCT(('2-定价总表'!$A$3:$A$493="PPS"&amp;MID(G78,2,99))*('2-定价总表'!$C$3:$C$493=I78)*('2-定价总表'!$T$3:$T$493)),"")</f>
        <v/>
      </c>
      <c r="L78" s="49" t="e">
        <v>#NAME?</v>
      </c>
      <c r="M78">
        <f>IFERROR(K78*J78,"")</f>
        <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f>IFERROR(INDEX('5-订单总表'!$I$3:$I$805,MATCH(B79,'5-订单总表'!$B$3:$B$805,0)),"")</f>
        <v/>
      </c>
      <c r="H79" s="15">
        <f>IFERROR(IF(INDEX('5-订单总表'!$J$3:$J$805,MATCH(B79,'5-订单总表'!$B$3:$B$805,0))&lt;&gt;"",INDEX('5-订单总表'!$J$3:$J$805,MATCH(B79,'5-订单总表'!$B$3:$B$805,0)),IFERROR(INDEX('1-产品总表'!$C$3:$C$494,MATCH("PPS"&amp;MID(G79,2,99),'1-产品总表'!$A$3:$A$494,0)),"榉木 岩板桌200*85【单价1450")),"榉木 岩板桌200*85【单价1450")</f>
        <v/>
      </c>
      <c r="I79">
        <f>IFERROR(INDEX('5-订单总表'!$K$3:$K$805,MATCH(B79,'5-订单总表'!$B$3:$B$805,0)),"")</f>
        <v/>
      </c>
      <c r="J79" s="15" t="n">
        <v>1</v>
      </c>
      <c r="K79">
        <f>IFERROR(SUMPRODUCT(('2-定价总表'!$A$3:$A$493="PPS"&amp;MID(G79,2,99))*('2-定价总表'!$C$3:$C$493=I79)*('2-定价总表'!$T$3:$T$493)),"")</f>
        <v/>
      </c>
      <c r="L79" s="49" t="n">
        <v>1450</v>
      </c>
      <c r="M79">
        <f>IFERROR(K79*J79,"")</f>
        <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G80">
        <f>IFERROR(INDEX('5-订单总表'!$I$3:$I$805,MATCH(B80,'5-订单总表'!$B$3:$B$805,0)),"")</f>
        <v/>
      </c>
      <c r="H80" s="15">
        <f>IFERROR(IF(INDEX('5-订单总表'!$J$3:$J$805,MATCH(B80,'5-订单总表'!$B$3:$B$805,0))&lt;&gt;"",INDEX('5-订单总表'!$J$3:$J$805,MATCH(B80,'5-订单总表'!$B$3:$B$805,0)),IFERROR(INDEX('1-产品总表'!$C$3:$C$494,MATCH("PPS"&amp;MID(G80,2,99),'1-产品总表'!$A$3:$A$494,0)),"榉木 岩板桌200*90【单价1450")),"榉木 岩板桌200*90【单价1450")</f>
        <v/>
      </c>
      <c r="I80">
        <f>IFERROR(INDEX('5-订单总表'!$K$3:$K$805,MATCH(B80,'5-订单总表'!$B$3:$B$805,0)),"")</f>
        <v/>
      </c>
      <c r="J80" s="15" t="n">
        <v>1</v>
      </c>
      <c r="K80">
        <f>IFERROR(SUMPRODUCT(('2-定价总表'!$A$3:$A$493="PPS"&amp;MID(G80,2,99))*('2-定价总表'!$C$3:$C$493=I80)*('2-定价总表'!$T$3:$T$493)),"")</f>
        <v/>
      </c>
      <c r="L80" s="49" t="n">
        <v>1450</v>
      </c>
      <c r="M80">
        <f>IFERROR(K80*J80,"")</f>
        <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f>IFERROR(INDEX('5-订单总表'!$I$3:$I$805,MATCH(B81,'5-订单总表'!$B$3:$B$805,0)),"")</f>
        <v/>
      </c>
      <c r="H81" s="15">
        <f>IFERROR(IF(INDEX('5-订单总表'!$J$3:$J$805,MATCH(B81,'5-订单总表'!$B$3:$B$805,0))&lt;&gt;"",INDEX('5-订单总表'!$J$3:$J$805,MATCH(B81,'5-订单总表'!$B$3:$B$805,0)),IFERROR(INDEX('1-产品总表'!$C$3:$C$494,MATCH("PPS"&amp;MID(G81,2,99),'1-产品总表'!$A$3:$A$494,0)),"榉木 岩板桌140*80【单价1300")),"榉木 岩板桌140*80【单价1300")</f>
        <v/>
      </c>
      <c r="I81">
        <f>IFERROR(INDEX('5-订单总表'!$K$3:$K$805,MATCH(B81,'5-订单总表'!$B$3:$B$805,0)),"")</f>
        <v/>
      </c>
      <c r="J81" s="15" t="n">
        <v>1</v>
      </c>
      <c r="K81">
        <f>IFERROR(SUMPRODUCT(('2-定价总表'!$A$3:$A$493="PPS"&amp;MID(G81,2,99))*('2-定价总表'!$C$3:$C$493=I81)*('2-定价总表'!$T$3:$T$493)),"")</f>
        <v/>
      </c>
      <c r="L81" s="49" t="n">
        <v>1300</v>
      </c>
      <c r="M81">
        <f>IFERROR(K81*J81,"")</f>
        <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f>IFERROR(INDEX('5-订单总表'!$I$3:$I$805,MATCH(B82,'5-订单总表'!$B$3:$B$805,0)),"")</f>
        <v/>
      </c>
      <c r="H82" s="15">
        <f>IFERROR(IF(INDEX('5-订单总表'!$J$3:$J$805,MATCH(B82,'5-订单总表'!$B$3:$B$805,0))&lt;&gt;"",INDEX('5-订单总表'!$J$3:$J$805,MATCH(B82,'5-订单总表'!$B$3:$B$805,0)),IFERROR(INDEX('1-产品总表'!$C$3:$C$494,MATCH("PPS"&amp;MID(G82,2,99),'1-产品总表'!$A$3:$A$494,0)),"榉木 岩板桌110*70【单价1260")),"榉木 岩板桌110*70【单价1260")</f>
        <v/>
      </c>
      <c r="I82">
        <f>IFERROR(INDEX('5-订单总表'!$K$3:$K$805,MATCH(B82,'5-订单总表'!$B$3:$B$805,0)),"")</f>
        <v/>
      </c>
      <c r="J82" s="15" t="n">
        <v>1</v>
      </c>
      <c r="K82">
        <f>IFERROR(SUMPRODUCT(('2-定价总表'!$A$3:$A$493="PPS"&amp;MID(G82,2,99))*('2-定价总表'!$C$3:$C$493=I82)*('2-定价总表'!$T$3:$T$493)),"")</f>
        <v/>
      </c>
      <c r="L82" s="49" t="n">
        <v>1260</v>
      </c>
      <c r="M82">
        <f>IFERROR(K82*J82,"")</f>
        <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f>IFERROR(INDEX('5-订单总表'!$I$3:$I$805,MATCH(B83,'5-订单总表'!$B$3:$B$805,0)),"")</f>
        <v/>
      </c>
      <c r="H83" s="15">
        <f>IFERROR(IF(INDEX('5-订单总表'!$J$3:$J$805,MATCH(B83,'5-订单总表'!$B$3:$B$805,0))&lt;&gt;"",INDEX('5-订单总表'!$J$3:$J$805,MATCH(B83,'5-订单总表'!$B$3:$B$805,0)),IFERROR(INDEX('1-产品总表'!$C$3:$C$494,MATCH("PPS"&amp;MID(G83,2,99),'1-产品总表'!$A$3:$A$494,0)),"榉木 岩板桌140*70【单价1300")),"榉木 岩板桌140*70【单价1300")</f>
        <v/>
      </c>
      <c r="I83">
        <f>IFERROR(INDEX('5-订单总表'!$K$3:$K$805,MATCH(B83,'5-订单总表'!$B$3:$B$805,0)),"")</f>
        <v/>
      </c>
      <c r="J83" s="15" t="n">
        <v>1</v>
      </c>
      <c r="K83">
        <f>IFERROR(SUMPRODUCT(('2-定价总表'!$A$3:$A$493="PPS"&amp;MID(G83,2,99))*('2-定价总表'!$C$3:$C$493=I83)*('2-定价总表'!$T$3:$T$493)),"")</f>
        <v/>
      </c>
      <c r="L83" s="49" t="n">
        <v>1300</v>
      </c>
      <c r="M83">
        <f>IFERROR(K83*J83,"")</f>
        <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f>IFERROR(INDEX('5-订单总表'!$I$3:$I$805,MATCH(B84,'5-订单总表'!$B$3:$B$805,0)),"")</f>
        <v/>
      </c>
      <c r="H84" s="15">
        <f>IFERROR(IF(INDEX('5-订单总表'!$J$3:$J$805,MATCH(B84,'5-订单总表'!$B$3:$B$805,0))&lt;&gt;"",INDEX('5-订单总表'!$J$3:$J$805,MATCH(B84,'5-订单总表'!$B$3:$B$805,0)),IFERROR(INDEX('1-产品总表'!$C$3:$C$494,MATCH("PPS"&amp;MID(G84,2,99),'1-产品总表'!$A$3:$A$494,0)),"榉木 岩板桌180*70【单价1400")),"榉木 岩板桌180*70【单价1400")</f>
        <v/>
      </c>
      <c r="I84">
        <f>IFERROR(INDEX('5-订单总表'!$K$3:$K$805,MATCH(B84,'5-订单总表'!$B$3:$B$805,0)),"")</f>
        <v/>
      </c>
      <c r="J84" s="15" t="n">
        <v>1</v>
      </c>
      <c r="K84">
        <f>IFERROR(SUMPRODUCT(('2-定价总表'!$A$3:$A$493="PPS"&amp;MID(G84,2,99))*('2-定价总表'!$C$3:$C$493=I84)*('2-定价总表'!$T$3:$T$493)),"")</f>
        <v/>
      </c>
      <c r="L84" s="49" t="n">
        <v>1400</v>
      </c>
      <c r="M84">
        <f>IFERROR(K84*J84,"")</f>
        <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f>IFERROR(INDEX('5-订单总表'!$I$3:$I$805,MATCH(B85,'5-订单总表'!$B$3:$B$805,0)),"")</f>
        <v/>
      </c>
      <c r="H85" s="15">
        <f>IFERROR(IF(INDEX('5-订单总表'!$J$3:$J$805,MATCH(B85,'5-订单总表'!$B$3:$B$805,0))&lt;&gt;"",INDEX('5-订单总表'!$J$3:$J$805,MATCH(B85,'5-订单总表'!$B$3:$B$805,0)),IFERROR(INDEX('1-产品总表'!$C$3:$C$494,MATCH("PPS"&amp;MID(G85,2,99),'1-产品总表'!$A$3:$A$494,0)),"黑胡桃 窄柜80*40/48*190")),"黑胡桃 窄柜80*40/48*190")</f>
        <v/>
      </c>
      <c r="I85">
        <f>IFERROR(INDEX('5-订单总表'!$K$3:$K$805,MATCH(B85,'5-订单总表'!$B$3:$B$805,0)),"")</f>
        <v/>
      </c>
      <c r="J85" s="15" t="n">
        <v>1</v>
      </c>
      <c r="K85">
        <f>IFERROR(SUMPRODUCT(('2-定价总表'!$A$3:$A$493="PPS"&amp;MID(G85,2,99))*('2-定价总表'!$C$3:$C$493=I85)*('2-定价总表'!$T$3:$T$493)),"")</f>
        <v/>
      </c>
      <c r="L85" s="49" t="n">
        <v>4000</v>
      </c>
      <c r="M85">
        <f>IFERROR(K85*J85,"")</f>
        <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f>IFERROR(INDEX('5-订单总表'!$I$3:$I$805,MATCH(B86,'5-订单总表'!$B$3:$B$805,0)),"")</f>
        <v/>
      </c>
      <c r="H86" s="15">
        <f>IFERROR(IF(INDEX('5-订单总表'!$J$3:$J$805,MATCH(B86,'5-订单总表'!$B$3:$B$805,0))&lt;&gt;"",INDEX('5-订单总表'!$J$3:$J$805,MATCH(B86,'5-订单总表'!$B$3:$B$805,0)),IFERROR(INDEX('1-产品总表'!$C$3:$C$494,MATCH("PPS"&amp;MID(G86,2,99),'1-产品总表'!$A$3:$A$494,0)),"樱桃木 定制窄柜120*40/55*190【单价3300")),"樱桃木 定制窄柜120*40/55*190【单价3300")</f>
        <v/>
      </c>
      <c r="I86">
        <f>IFERROR(INDEX('5-订单总表'!$K$3:$K$805,MATCH(B86,'5-订单总表'!$B$3:$B$805,0)),"")</f>
        <v/>
      </c>
      <c r="J86" s="15" t="n">
        <v>1</v>
      </c>
      <c r="K86">
        <f>IFERROR(SUMPRODUCT(('2-定价总表'!$A$3:$A$493="PPS"&amp;MID(G86,2,99))*('2-定价总表'!$C$3:$C$493=I86)*('2-定价总表'!$T$3:$T$493)),"")</f>
        <v/>
      </c>
      <c r="L86" s="49" t="n">
        <v>3300</v>
      </c>
      <c r="M86">
        <f>IFERROR(K86*J86,"")</f>
        <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f>IFERROR(INDEX('5-订单总表'!$I$3:$I$805,MATCH(B87,'5-订单总表'!$B$3:$B$805,0)),"")</f>
        <v/>
      </c>
      <c r="H87" s="15">
        <f>IFERROR(IF(INDEX('5-订单总表'!$J$3:$J$805,MATCH(B87,'5-订单总表'!$B$3:$B$805,0))&lt;&gt;"",INDEX('5-订单总表'!$J$3:$J$805,MATCH(B87,'5-订单总表'!$B$3:$B$805,0)),IFERROR(INDEX('1-产品总表'!$C$3:$C$494,MATCH("PPS"&amp;MID(G87,2,99),'1-产品总表'!$A$3:$A$494,0)),"榉木 洞石餐边柜180*42/50*210")),"榉木 洞石餐边柜180*42/50*210")</f>
        <v/>
      </c>
      <c r="I87">
        <f>IFERROR(INDEX('5-订单总表'!$K$3:$K$805,MATCH(B87,'5-订单总表'!$B$3:$B$805,0)),"")</f>
        <v/>
      </c>
      <c r="J87" s="15" t="n">
        <v>1</v>
      </c>
      <c r="K87">
        <f>IFERROR(SUMPRODUCT(('2-定价总表'!$A$3:$A$493="PPS"&amp;MID(G87,2,99))*('2-定价总表'!$C$3:$C$493=I87)*('2-定价总表'!$T$3:$T$493)),"")</f>
        <v/>
      </c>
      <c r="L87" s="49" t="n">
        <v>5000</v>
      </c>
      <c r="M87">
        <f>IFERROR(K87*J87,"")</f>
        <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f>IFERROR(INDEX('5-订单总表'!$I$3:$I$805,MATCH(B88,'5-订单总表'!$B$3:$B$805,0)),"")</f>
        <v/>
      </c>
      <c r="H88" s="15">
        <f>IFERROR(IF(INDEX('5-订单总表'!$J$3:$J$805,MATCH(B88,'5-订单总表'!$B$3:$B$805,0))&lt;&gt;"",INDEX('5-订单总表'!$J$3:$J$805,MATCH(B88,'5-订单总表'!$B$3:$B$805,0)),IFERROR(INDEX('1-产品总表'!$C$3:$C$494,MATCH("PPS"&amp;MID(G88,2,99),'1-产品总表'!$A$3:$A$494,0)),"樱桃木 洞石餐边柜240*42/50*235")),"樱桃木 洞石餐边柜240*42/50*235")</f>
        <v/>
      </c>
      <c r="I88">
        <f>IFERROR(INDEX('5-订单总表'!$K$3:$K$805,MATCH(B88,'5-订单总表'!$B$3:$B$805,0)),"")</f>
        <v/>
      </c>
      <c r="J88" s="15" t="n">
        <v>1</v>
      </c>
      <c r="K88">
        <f>IFERROR(SUMPRODUCT(('2-定价总表'!$A$3:$A$493="PPS"&amp;MID(G88,2,99))*('2-定价总表'!$C$3:$C$493=I88)*('2-定价总表'!$T$3:$T$493)),"")</f>
        <v/>
      </c>
      <c r="L88" s="49" t="n">
        <v>8200</v>
      </c>
      <c r="M88">
        <f>IFERROR(K88*J88,"")</f>
        <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f>IFERROR(INDEX('5-订单总表'!$I$3:$I$805,MATCH(B89,'5-订单总表'!$B$3:$B$805,0)),"")</f>
        <v/>
      </c>
      <c r="H89" s="15">
        <f>IFERROR(IF(INDEX('5-订单总表'!$J$3:$J$805,MATCH(B89,'5-订单总表'!$B$3:$B$805,0))&lt;&gt;"",INDEX('5-订单总表'!$J$3:$J$805,MATCH(B89,'5-订单总表'!$B$3:$B$805,0)),IFERROR(INDEX('1-产品总表'!$C$3:$C$494,MATCH("PPS"&amp;MID(G89,2,99),'1-产品总表'!$A$3:$A$494,0)),"樱桃木 窄柜110*40/48*180【单价3200")),"樱桃木 窄柜110*40/48*180【单价3200")</f>
        <v/>
      </c>
      <c r="I89">
        <f>IFERROR(INDEX('5-订单总表'!$K$3:$K$805,MATCH(B89,'5-订单总表'!$B$3:$B$805,0)),"")</f>
        <v/>
      </c>
      <c r="J89" s="15" t="n">
        <v>1</v>
      </c>
      <c r="K89">
        <f>IFERROR(SUMPRODUCT(('2-定价总表'!$A$3:$A$493="PPS"&amp;MID(G89,2,99))*('2-定价总表'!$C$3:$C$493=I89)*('2-定价总表'!$T$3:$T$493)),"")</f>
        <v/>
      </c>
      <c r="L89" s="49" t="n">
        <v>3200</v>
      </c>
      <c r="M89">
        <f>IFERROR(K89*J89,"")</f>
        <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G90">
        <f>IFERROR(INDEX('5-订单总表'!$I$3:$I$805,MATCH(B90,'5-订单总表'!$B$3:$B$805,0)),"")</f>
        <v/>
      </c>
      <c r="H90" s="15">
        <f>IFERROR(IF(INDEX('5-订单总表'!$J$3:$J$805,MATCH(B90,'5-订单总表'!$B$3:$B$805,0))&lt;&gt;"",INDEX('5-订单总表'!$J$3:$J$805,MATCH(B90,'5-订单总表'!$B$3:$B$805,0)),IFERROR(INDEX('1-产品总表'!$C$3:$C$494,MATCH("PPS"&amp;MID(G90,2,99),'1-产品总表'!$A$3:$A$494,0)),"樱桃木 升降桌130*75")),"樱桃木 升降桌130*75")</f>
        <v/>
      </c>
      <c r="I90">
        <f>IFERROR(INDEX('5-订单总表'!$K$3:$K$805,MATCH(B90,'5-订单总表'!$B$3:$B$805,0)),"")</f>
        <v/>
      </c>
      <c r="J90" s="15" t="n">
        <v>1</v>
      </c>
      <c r="K90">
        <f>IFERROR(SUMPRODUCT(('2-定价总表'!$A$3:$A$493="PPS"&amp;MID(G90,2,99))*('2-定价总表'!$C$3:$C$493=I90)*('2-定价总表'!$T$3:$T$493)),"")</f>
        <v/>
      </c>
      <c r="L90" s="49" t="n">
        <v>1700</v>
      </c>
      <c r="M90">
        <f>IFERROR(K90*J90,"")</f>
        <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f>IFERROR(INDEX('5-订单总表'!$I$3:$I$805,MATCH(B91,'5-订单总表'!$B$3:$B$805,0)),"")</f>
        <v/>
      </c>
      <c r="H91" s="15">
        <f>IFERROR(IF(INDEX('5-订单总表'!$J$3:$J$805,MATCH(B91,'5-订单总表'!$B$3:$B$805,0))&lt;&gt;"",INDEX('5-订单总表'!$J$3:$J$805,MATCH(B91,'5-订单总表'!$B$3:$B$805,0)),IFERROR(INDEX('1-产品总表'!$C$3:$C$494,MATCH("PPS"&amp;MID(G91,2,99),'1-产品总表'!$A$3:$A$494,0)),"樱桃木 窄柜120*40/48*190【单价3200")),"樱桃木 窄柜120*40/48*190【单价3200")</f>
        <v/>
      </c>
      <c r="I91">
        <f>IFERROR(INDEX('5-订单总表'!$K$3:$K$805,MATCH(B91,'5-订单总表'!$B$3:$B$805,0)),"")</f>
        <v/>
      </c>
      <c r="J91" s="15" t="n">
        <v>1</v>
      </c>
      <c r="K91">
        <f>IFERROR(SUMPRODUCT(('2-定价总表'!$A$3:$A$493="PPS"&amp;MID(G91,2,99))*('2-定价总表'!$C$3:$C$493=I91)*('2-定价总表'!$T$3:$T$493)),"")</f>
        <v/>
      </c>
      <c r="L91" s="49" t="n">
        <v>3200</v>
      </c>
      <c r="M91">
        <f>IFERROR(K91*J91,"")</f>
        <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f>IFERROR(INDEX('5-订单总表'!$I$3:$I$805,MATCH(B92,'5-订单总表'!$B$3:$B$805,0)),"")</f>
        <v/>
      </c>
      <c r="H92" s="15">
        <f>IFERROR(IF(INDEX('5-订单总表'!$J$3:$J$805,MATCH(B92,'5-订单总表'!$B$3:$B$805,0))&lt;&gt;"",INDEX('5-订单总表'!$J$3:$J$805,MATCH(B92,'5-订单总表'!$B$3:$B$805,0)),IFERROR(INDEX('1-产品总表'!$C$3:$C$494,MATCH("PPS"&amp;MID(G92,2,99),'1-产品总表'!$A$3:$A$494,0)),"樱桃木 窄柜100*40/48*190【 用25年现货发")),"樱桃木 窄柜100*40/48*190【 用25年现货发")</f>
        <v/>
      </c>
      <c r="I92">
        <f>IFERROR(INDEX('5-订单总表'!$K$3:$K$805,MATCH(B92,'5-订单总表'!$B$3:$B$805,0)),"")</f>
        <v/>
      </c>
      <c r="J92" s="15" t="n">
        <v>1</v>
      </c>
      <c r="K92">
        <f>IFERROR(SUMPRODUCT(('2-定价总表'!$A$3:$A$493="PPS"&amp;MID(G92,2,99))*('2-定价总表'!$C$3:$C$493=I92)*('2-定价总表'!$T$3:$T$493)),"")</f>
        <v/>
      </c>
      <c r="L92" s="49" t="n">
        <v>0</v>
      </c>
      <c r="M92">
        <f>IFERROR(K92*J92,"")</f>
        <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f>IFERROR(INDEX('5-订单总表'!$I$3:$I$805,MATCH(B93,'5-订单总表'!$B$3:$B$805,0)),"")</f>
        <v/>
      </c>
      <c r="H93" s="15">
        <f>IFERROR(IF(INDEX('5-订单总表'!$J$3:$J$805,MATCH(B93,'5-订单总表'!$B$3:$B$805,0))&lt;&gt;"",INDEX('5-订单总表'!$J$3:$J$805,MATCH(B93,'5-订单总表'!$B$3:$B$805,0)),IFERROR(INDEX('1-产品总表'!$C$3:$C$494,MATCH("PPS"&amp;MID(G93,2,99),'1-产品总表'!$A$3:$A$494,0)),"榉木 餐边柜1500*312/450*1920【单价3800")),"榉木 餐边柜1500*312/450*1920【单价3800")</f>
        <v/>
      </c>
      <c r="I93">
        <f>IFERROR(INDEX('5-订单总表'!$K$3:$K$805,MATCH(B93,'5-订单总表'!$B$3:$B$805,0)),"")</f>
        <v/>
      </c>
      <c r="J93" s="15" t="n">
        <v>1</v>
      </c>
      <c r="K93">
        <f>IFERROR(SUMPRODUCT(('2-定价总表'!$A$3:$A$493="PPS"&amp;MID(G93,2,99))*('2-定价总表'!$C$3:$C$493=I93)*('2-定价总表'!$T$3:$T$493)),"")</f>
        <v/>
      </c>
      <c r="L93" s="49" t="n">
        <v>3800</v>
      </c>
      <c r="M93">
        <f>IFERROR(K93*J93,"")</f>
        <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f>IFERROR(INDEX('5-订单总表'!$I$3:$I$805,MATCH(B94,'5-订单总表'!$B$3:$B$805,0)),"")</f>
        <v/>
      </c>
      <c r="H94" s="15">
        <f>IFERROR(IF(INDEX('5-订单总表'!$J$3:$J$805,MATCH(B94,'5-订单总表'!$B$3:$B$805,0))&lt;&gt;"",INDEX('5-订单总表'!$J$3:$J$805,MATCH(B94,'5-订单总表'!$B$3:$B$805,0)),IFERROR(INDEX('1-产品总表'!$C$3:$C$494,MATCH("PPS"&amp;MID(G94,2,99),'1-产品总表'!$A$3:$A$494,0)),"榉木 岩板桌180*80【单价1400")),"榉木 岩板桌180*80【单价1400")</f>
        <v/>
      </c>
      <c r="I94">
        <f>IFERROR(INDEX('5-订单总表'!$K$3:$K$805,MATCH(B94,'5-订单总表'!$B$3:$B$805,0)),"")</f>
        <v/>
      </c>
      <c r="J94" s="15" t="n">
        <v>1</v>
      </c>
      <c r="K94">
        <f>IFERROR(SUMPRODUCT(('2-定价总表'!$A$3:$A$493="PPS"&amp;MID(G94,2,99))*('2-定价总表'!$C$3:$C$493=I94)*('2-定价总表'!$T$3:$T$493)),"")</f>
        <v/>
      </c>
      <c r="L94" s="49" t="n">
        <v>1400</v>
      </c>
      <c r="M94">
        <f>IFERROR(K94*J94,"")</f>
        <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f>IFERROR(INDEX('5-订单总表'!$I$3:$I$805,MATCH(B95,'5-订单总表'!$B$3:$B$805,0)),"")</f>
        <v/>
      </c>
      <c r="H95" s="15">
        <f>IFERROR(IF(INDEX('5-订单总表'!$J$3:$J$805,MATCH(B95,'5-订单总表'!$B$3:$B$805,0))&lt;&gt;"",INDEX('5-订单总表'!$J$3:$J$805,MATCH(B95,'5-订单总表'!$B$3:$B$805,0)),IFERROR(INDEX('1-产品总表'!$C$3:$C$494,MATCH("PPS"&amp;MID(G95,2,99),'1-产品总表'!$A$3:$A$494,0)),"樱桃木 窄柜90*40/48*180")),"樱桃木 窄柜90*40/48*180")</f>
        <v/>
      </c>
      <c r="I95">
        <f>IFERROR(INDEX('5-订单总表'!$K$3:$K$805,MATCH(B95,'5-订单总表'!$B$3:$B$805,0)),"")</f>
        <v/>
      </c>
      <c r="J95" s="15" t="n">
        <v>1</v>
      </c>
      <c r="K95">
        <f>IFERROR(SUMPRODUCT(('2-定价总表'!$A$3:$A$493="PPS"&amp;MID(G95,2,99))*('2-定价总表'!$C$3:$C$493=I95)*('2-定价总表'!$T$3:$T$493)),"")</f>
        <v/>
      </c>
      <c r="L95" s="49" t="n">
        <v>3050</v>
      </c>
      <c r="M95">
        <f>IFERROR(K95*J95,"")</f>
        <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f>IFERROR(INDEX('5-订单总表'!$I$3:$I$805,MATCH(B96,'5-订单总表'!$B$3:$B$805,0)),"")</f>
        <v/>
      </c>
      <c r="H96" s="15">
        <f>IFERROR(IF(INDEX('5-订单总表'!$J$3:$J$805,MATCH(B96,'5-订单总表'!$B$3:$B$805,0))&lt;&gt;"",INDEX('5-订单总表'!$J$3:$J$805,MATCH(B96,'5-订单总表'!$B$3:$B$805,0)),IFERROR(INDEX('1-产品总表'!$C$3:$C$494,MATCH("PPS"&amp;MID(G96,2,99),'1-产品总表'!$A$3:$A$494,0)),"榉木 岩板桌160*85【用25年现货发")),"榉木 岩板桌160*85【用25年现货发")</f>
        <v/>
      </c>
      <c r="I96">
        <f>IFERROR(INDEX('5-订单总表'!$K$3:$K$805,MATCH(B96,'5-订单总表'!$B$3:$B$805,0)),"")</f>
        <v/>
      </c>
      <c r="J96" s="15" t="n">
        <v>1</v>
      </c>
      <c r="K96">
        <f>IFERROR(SUMPRODUCT(('2-定价总表'!$A$3:$A$493="PPS"&amp;MID(G96,2,99))*('2-定价总表'!$C$3:$C$493=I96)*('2-定价总表'!$T$3:$T$493)),"")</f>
        <v/>
      </c>
      <c r="L96" s="49" t="n">
        <v>0</v>
      </c>
      <c r="M96">
        <f>IFERROR(K96*J96,"")</f>
        <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G97">
        <f>IFERROR(INDEX('5-订单总表'!$I$3:$I$805,MATCH(B97,'5-订单总表'!$B$3:$B$805,0)),"")</f>
        <v/>
      </c>
      <c r="H97" s="15">
        <f>IFERROR(IF(INDEX('5-订单总表'!$J$3:$J$805,MATCH(B97,'5-订单总表'!$B$3:$B$805,0))&lt;&gt;"",INDEX('5-订单总表'!$J$3:$J$805,MATCH(B97,'5-订单总表'!$B$3:$B$805,0)),IFERROR(INDEX('1-产品总表'!$C$3:$C$494,MATCH("PPS"&amp;MID(G97,2,99),'1-产品总表'!$A$3:$A$494,0)),"樱桃木 窄柜120*40/55*190【单价3200")),"樱桃木 窄柜120*40/55*190【单价3200")</f>
        <v/>
      </c>
      <c r="I97">
        <f>IFERROR(INDEX('5-订单总表'!$K$3:$K$805,MATCH(B97,'5-订单总表'!$B$3:$B$805,0)),"")</f>
        <v/>
      </c>
      <c r="J97" s="15" t="n">
        <v>1</v>
      </c>
      <c r="K97">
        <f>IFERROR(SUMPRODUCT(('2-定价总表'!$A$3:$A$493="PPS"&amp;MID(G97,2,99))*('2-定价总表'!$C$3:$C$493=I97)*('2-定价总表'!$T$3:$T$493)),"")</f>
        <v/>
      </c>
      <c r="L97" s="49" t="n">
        <v>3200</v>
      </c>
      <c r="M97">
        <f>IFERROR(K97*J97,"")</f>
        <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f>IFERROR(INDEX('5-订单总表'!$I$3:$I$805,MATCH(B98,'5-订单总表'!$B$3:$B$805,0)),"")</f>
        <v/>
      </c>
      <c r="H98" s="15">
        <f>IFERROR(IF(INDEX('5-订单总表'!$J$3:$J$805,MATCH(B98,'5-订单总表'!$B$3:$B$805,0))&lt;&gt;"",INDEX('5-订单总表'!$J$3:$J$805,MATCH(B98,'5-订单总表'!$B$3:$B$805,0)),IFERROR(INDEX('1-产品总表'!$C$3:$C$494,MATCH("PPS"&amp;MID(G98,2,99),'1-产品总表'!$A$3:$A$494,0)),"榉木 岩板桌160*75【单价1350")),"榉木 岩板桌160*75【单价1350")</f>
        <v/>
      </c>
      <c r="I98">
        <f>IFERROR(INDEX('5-订单总表'!$K$3:$K$805,MATCH(B98,'5-订单总表'!$B$3:$B$805,0)),"")</f>
        <v/>
      </c>
      <c r="J98" s="15" t="n">
        <v>1</v>
      </c>
      <c r="K98">
        <f>IFERROR(SUMPRODUCT(('2-定价总表'!$A$3:$A$493="PPS"&amp;MID(G98,2,99))*('2-定价总表'!$C$3:$C$493=I98)*('2-定价总表'!$T$3:$T$493)),"")</f>
        <v/>
      </c>
      <c r="L98" s="49" t="n">
        <v>1350</v>
      </c>
      <c r="M98">
        <f>IFERROR(K98*J98,"")</f>
        <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f>IFERROR(INDEX('5-订单总表'!$I$3:$I$805,MATCH(B99,'5-订单总表'!$B$3:$B$805,0)),"")</f>
        <v/>
      </c>
      <c r="H99" s="15">
        <f>IFERROR(IF(INDEX('5-订单总表'!$J$3:$J$805,MATCH(B99,'5-订单总表'!$B$3:$B$805,0))&lt;&gt;"",INDEX('5-订单总表'!$J$3:$J$805,MATCH(B99,'5-订单总表'!$B$3:$B$805,0)),IFERROR(INDEX('1-产品总表'!$C$3:$C$494,MATCH("PPS"&amp;MID(G99,2,99),'1-产品总表'!$A$3:$A$494,0)),"榉木 岩板桌180*80【单价1400  25年现货发")),"榉木 岩板桌180*80【单价1400  25年现货发")</f>
        <v/>
      </c>
      <c r="I99">
        <f>IFERROR(INDEX('5-订单总表'!$K$3:$K$805,MATCH(B99,'5-订单总表'!$B$3:$B$805,0)),"")</f>
        <v/>
      </c>
      <c r="J99" s="15" t="n">
        <v>1</v>
      </c>
      <c r="K99">
        <f>IFERROR(SUMPRODUCT(('2-定价总表'!$A$3:$A$493="PPS"&amp;MID(G99,2,99))*('2-定价总表'!$C$3:$C$493=I99)*('2-定价总表'!$T$3:$T$493)),"")</f>
        <v/>
      </c>
      <c r="L99" s="49" t="n">
        <v>0</v>
      </c>
      <c r="M99">
        <f>IFERROR(K99*J99,"")</f>
        <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f>IFERROR(INDEX('5-订单总表'!$I$3:$I$805,MATCH(B100,'5-订单总表'!$B$3:$B$805,0)),"")</f>
        <v/>
      </c>
      <c r="H100" s="15">
        <f>IFERROR(IF(INDEX('5-订单总表'!$J$3:$J$805,MATCH(B100,'5-订单总表'!$B$3:$B$805,0))&lt;&gt;"",INDEX('5-订单总表'!$J$3:$J$805,MATCH(B100,'5-订单总表'!$B$3:$B$805,0)),IFERROR(INDEX('1-产品总表'!$C$3:$C$494,MATCH("PPS"&amp;MID(G100,2,99),'1-产品总表'!$A$3:$A$494,0)),"榉木 岩板桌200*85【单价1450")),"榉木 岩板桌200*85【单价1450")</f>
        <v/>
      </c>
      <c r="I100">
        <f>IFERROR(INDEX('5-订单总表'!$K$3:$K$805,MATCH(B100,'5-订单总表'!$B$3:$B$805,0)),"")</f>
        <v/>
      </c>
      <c r="J100" s="15" t="n">
        <v>1</v>
      </c>
      <c r="K100">
        <f>IFERROR(SUMPRODUCT(('2-定价总表'!$A$3:$A$493="PPS"&amp;MID(G100,2,99))*('2-定价总表'!$C$3:$C$493=I100)*('2-定价总表'!$T$3:$T$493)),"")</f>
        <v/>
      </c>
      <c r="L100" s="49" t="n">
        <v>1450</v>
      </c>
      <c r="M100">
        <f>IFERROR(K100*J100,"")</f>
        <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f>IFERROR(INDEX('5-订单总表'!$I$3:$I$805,MATCH(B101,'5-订单总表'!$B$3:$B$805,0)),"")</f>
        <v/>
      </c>
      <c r="H101" s="15">
        <f>IFERROR(IF(INDEX('5-订单总表'!$J$3:$J$805,MATCH(B101,'5-订单总表'!$B$3:$B$805,0))&lt;&gt;"",INDEX('5-订单总表'!$J$3:$J$805,MATCH(B101,'5-订单总表'!$B$3:$B$805,0)),IFERROR(INDEX('1-产品总表'!$C$3:$C$494,MATCH("PPS"&amp;MID(G101,2,99),'1-产品总表'!$A$3:$A$494,0)),"榉木 岩板桌160*85【用25年现货发")),"榉木 岩板桌160*85【用25年现货发")</f>
        <v/>
      </c>
      <c r="I101">
        <f>IFERROR(INDEX('5-订单总表'!$K$3:$K$805,MATCH(B101,'5-订单总表'!$B$3:$B$805,0)),"")</f>
        <v/>
      </c>
      <c r="J101" s="15" t="n">
        <v>1</v>
      </c>
      <c r="K101">
        <f>IFERROR(SUMPRODUCT(('2-定价总表'!$A$3:$A$493="PPS"&amp;MID(G101,2,99))*('2-定价总表'!$C$3:$C$493=I101)*('2-定价总表'!$T$3:$T$493)),"")</f>
        <v/>
      </c>
      <c r="L101" s="49" t="n">
        <v>0</v>
      </c>
      <c r="M101">
        <f>IFERROR(K101*J101,"")</f>
        <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f>IFERROR(INDEX('5-订单总表'!$I$3:$I$805,MATCH(B102,'5-订单总表'!$B$3:$B$805,0)),"")</f>
        <v/>
      </c>
      <c r="H102" s="15">
        <f>IFERROR(IF(INDEX('5-订单总表'!$J$3:$J$805,MATCH(B102,'5-订单总表'!$B$3:$B$805,0))&lt;&gt;"",INDEX('5-订单总表'!$J$3:$J$805,MATCH(B102,'5-订单总表'!$B$3:$B$805,0)),IFERROR(INDEX('1-产品总表'!$C$3:$C$494,MATCH("PPS"&amp;MID(G102,2,99),'1-产品总表'!$A$3:$A$494,0)),"樱桃木 窄柜120*40/48*190【单价3200")),"樱桃木 窄柜120*40/48*190【单价3200")</f>
        <v/>
      </c>
      <c r="I102">
        <f>IFERROR(INDEX('5-订单总表'!$K$3:$K$805,MATCH(B102,'5-订单总表'!$B$3:$B$805,0)),"")</f>
        <v/>
      </c>
      <c r="J102" s="15" t="n">
        <v>1</v>
      </c>
      <c r="K102">
        <f>IFERROR(SUMPRODUCT(('2-定价总表'!$A$3:$A$493="PPS"&amp;MID(G102,2,99))*('2-定价总表'!$C$3:$C$493=I102)*('2-定价总表'!$T$3:$T$493)),"")</f>
        <v/>
      </c>
      <c r="L102" s="49" t="n">
        <v>3200</v>
      </c>
      <c r="M102">
        <f>IFERROR(K102*J102,"")</f>
        <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f>IFERROR(INDEX('5-订单总表'!$I$3:$I$805,MATCH(B103,'5-订单总表'!$B$3:$B$805,0)),"")</f>
        <v/>
      </c>
      <c r="H103" s="15">
        <f>IFERROR(IF(INDEX('5-订单总表'!$J$3:$J$805,MATCH(B103,'5-订单总表'!$B$3:$B$805,0))&lt;&gt;"",INDEX('5-订单总表'!$J$3:$J$805,MATCH(B103,'5-订单总表'!$B$3:$B$805,0)),IFERROR(INDEX('1-产品总表'!$C$3:$C$494,MATCH("PPS"&amp;MID(G103,2,99),'1-产品总表'!$A$3:$A$494,0)),"樱桃木 定制窄柜83*40/48*226")),"樱桃木 定制窄柜83*40/48*226")</f>
        <v/>
      </c>
      <c r="I103">
        <f>IFERROR(INDEX('5-订单总表'!$K$3:$K$805,MATCH(B103,'5-订单总表'!$B$3:$B$805,0)),"")</f>
        <v/>
      </c>
      <c r="J103" s="15" t="n">
        <v>1</v>
      </c>
      <c r="K103">
        <f>IFERROR(SUMPRODUCT(('2-定价总表'!$A$3:$A$493="PPS"&amp;MID(G103,2,99))*('2-定价总表'!$C$3:$C$493=I103)*('2-定价总表'!$T$3:$T$493)),"")</f>
        <v/>
      </c>
      <c r="L103" s="49" t="n">
        <v>3100</v>
      </c>
      <c r="M103">
        <f>IFERROR(K103*J103,"")</f>
        <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f>IFERROR(INDEX('5-订单总表'!$I$3:$I$805,MATCH(B104,'5-订单总表'!$B$3:$B$805,0)),"")</f>
        <v/>
      </c>
      <c r="H104" s="15">
        <f>IFERROR(IF(INDEX('5-订单总表'!$J$3:$J$805,MATCH(B104,'5-订单总表'!$B$3:$B$805,0))&lt;&gt;"",INDEX('5-订单总表'!$J$3:$J$805,MATCH(B104,'5-订单总表'!$B$3:$B$805,0)),IFERROR(INDEX('1-产品总表'!$C$3:$C$494,MATCH("PPS"&amp;MID(G104,2,99),'1-产品总表'!$A$3:$A$494,0)),"樱桃木 洞石餐边柜定制组合2.8米")),"樱桃木 洞石餐边柜定制组合2.8米")</f>
        <v/>
      </c>
      <c r="I104">
        <f>IFERROR(INDEX('5-订单总表'!$K$3:$K$805,MATCH(B104,'5-订单总表'!$B$3:$B$805,0)),"")</f>
        <v/>
      </c>
      <c r="J104" s="15" t="n">
        <v>1</v>
      </c>
      <c r="K104">
        <f>IFERROR(SUMPRODUCT(('2-定价总表'!$A$3:$A$493="PPS"&amp;MID(G104,2,99))*('2-定价总表'!$C$3:$C$493=I104)*('2-定价总表'!$T$3:$T$493)),"")</f>
        <v/>
      </c>
      <c r="L104" s="49" t="n">
        <v>9700</v>
      </c>
      <c r="M104">
        <f>IFERROR(K104*J104,"")</f>
        <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f>IFERROR(INDEX('5-订单总表'!$I$3:$I$805,MATCH(B105,'5-订单总表'!$B$3:$B$805,0)),"")</f>
        <v/>
      </c>
      <c r="H105" s="15">
        <f>IFERROR(IF(INDEX('5-订单总表'!$J$3:$J$805,MATCH(B105,'5-订单总表'!$B$3:$B$805,0))&lt;&gt;"",INDEX('5-订单总表'!$J$3:$J$805,MATCH(B105,'5-订单总表'!$B$3:$B$805,0)),IFERROR(INDEX('1-产品总表'!$C$3:$C$494,MATCH("PPS"&amp;MID(G105,2,99),'1-产品总表'!$A$3:$A$494,0)),"樱桃木 窄柜100*38/43*190【定制尺寸】")),"樱桃木 窄柜100*38/43*190【定制尺寸】")</f>
        <v/>
      </c>
      <c r="I105">
        <f>IFERROR(INDEX('5-订单总表'!$K$3:$K$805,MATCH(B105,'5-订单总表'!$B$3:$B$805,0)),"")</f>
        <v/>
      </c>
      <c r="J105" s="15" t="n">
        <v>1</v>
      </c>
      <c r="K105">
        <f>IFERROR(SUMPRODUCT(('2-定价总表'!$A$3:$A$493="PPS"&amp;MID(G105,2,99))*('2-定价总表'!$C$3:$C$493=I105)*('2-定价总表'!$T$3:$T$493)),"")</f>
        <v/>
      </c>
      <c r="L105" s="49" t="n">
        <v>3100</v>
      </c>
      <c r="M105">
        <f>IFERROR(K105*J105,"")</f>
        <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G106">
        <f>IFERROR(INDEX('5-订单总表'!$I$3:$I$805,MATCH(B106,'5-订单总表'!$B$3:$B$805,0)),"")</f>
        <v/>
      </c>
      <c r="H106" s="15">
        <f>IFERROR(IF(INDEX('5-订单总表'!$J$3:$J$805,MATCH(B106,'5-订单总表'!$B$3:$B$805,0))&lt;&gt;"",INDEX('5-订单总表'!$J$3:$J$805,MATCH(B106,'5-订单总表'!$B$3:$B$805,0)),IFERROR(INDEX('1-产品总表'!$C$3:$C$494,MATCH("PPS"&amp;MID(G106,2,99),'1-产品总表'!$A$3:$A$494,0)),"榉木 岩板桌140*80【单价1300   黑色岩板")),"榉木 岩板桌140*80【单价1300   黑色岩板")</f>
        <v/>
      </c>
      <c r="I106">
        <f>IFERROR(INDEX('5-订单总表'!$K$3:$K$805,MATCH(B106,'5-订单总表'!$B$3:$B$805,0)),"")</f>
        <v/>
      </c>
      <c r="J106" s="15" t="n">
        <v>1</v>
      </c>
      <c r="K106">
        <f>IFERROR(SUMPRODUCT(('2-定价总表'!$A$3:$A$493="PPS"&amp;MID(G106,2,99))*('2-定价总表'!$C$3:$C$493=I106)*('2-定价总表'!$T$3:$T$493)),"")</f>
        <v/>
      </c>
      <c r="L106" s="49" t="n">
        <v>1300</v>
      </c>
      <c r="M106">
        <f>IFERROR(K106*J106,"")</f>
        <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f>IFERROR(INDEX('5-订单总表'!$I$3:$I$805,MATCH(B107,'5-订单总表'!$B$3:$B$805,0)),"")</f>
        <v/>
      </c>
      <c r="H107" s="15">
        <f>IFERROR(IF(INDEX('5-订单总表'!$J$3:$J$805,MATCH(B107,'5-订单总表'!$B$3:$B$805,0))&lt;&gt;"",INDEX('5-订单总表'!$J$3:$J$805,MATCH(B107,'5-订单总表'!$B$3:$B$805,0)),IFERROR(INDEX('1-产品总表'!$C$3:$C$494,MATCH("PPS"&amp;MID(G107,2,99),'1-产品总表'!$A$3:$A$494,0)),"黑胡桃 岩板桌140*80")),"黑胡桃 岩板桌140*80")</f>
        <v/>
      </c>
      <c r="I107">
        <f>IFERROR(INDEX('5-订单总表'!$K$3:$K$805,MATCH(B107,'5-订单总表'!$B$3:$B$805,0)),"")</f>
        <v/>
      </c>
      <c r="J107" s="15" t="n">
        <v>1</v>
      </c>
      <c r="K107">
        <f>IFERROR(SUMPRODUCT(('2-定价总表'!$A$3:$A$493="PPS"&amp;MID(G107,2,99))*('2-定价总表'!$C$3:$C$493=I107)*('2-定价总表'!$T$3:$T$493)),"")</f>
        <v/>
      </c>
      <c r="L107" s="49" t="n">
        <v>2200</v>
      </c>
      <c r="M107">
        <f>IFERROR(K107*J107,"")</f>
        <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f>IFERROR(INDEX('5-订单总表'!$I$3:$I$805,MATCH(B108,'5-订单总表'!$B$3:$B$805,0)),"")</f>
        <v/>
      </c>
      <c r="H108" s="15">
        <f>IFERROR(IF(INDEX('5-订单总表'!$J$3:$J$805,MATCH(B108,'5-订单总表'!$B$3:$B$805,0))&lt;&gt;"",INDEX('5-订单总表'!$J$3:$J$805,MATCH(B108,'5-订单总表'!$B$3:$B$805,0)),IFERROR(INDEX('1-产品总表'!$C$3:$C$494,MATCH("PPS"&amp;MID(G108,2,99),'1-产品总表'!$A$3:$A$494,0)),"樱桃木 窄柜120*40/48*190【单价3200")),"樱桃木 窄柜120*40/48*190【单价3200")</f>
        <v/>
      </c>
      <c r="I108">
        <f>IFERROR(INDEX('5-订单总表'!$K$3:$K$805,MATCH(B108,'5-订单总表'!$B$3:$B$805,0)),"")</f>
        <v/>
      </c>
      <c r="J108" s="15" t="n">
        <v>1</v>
      </c>
      <c r="K108">
        <f>IFERROR(SUMPRODUCT(('2-定价总表'!$A$3:$A$493="PPS"&amp;MID(G108,2,99))*('2-定价总表'!$C$3:$C$493=I108)*('2-定价总表'!$T$3:$T$493)),"")</f>
        <v/>
      </c>
      <c r="L108" s="49" t="n">
        <v>3200</v>
      </c>
      <c r="M108">
        <f>IFERROR(K108*J108,"")</f>
        <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f>IFERROR(INDEX('5-订单总表'!$I$3:$I$805,MATCH(B109,'5-订单总表'!$B$3:$B$805,0)),"")</f>
        <v/>
      </c>
      <c r="H109" s="15">
        <f>IFERROR(IF(INDEX('5-订单总表'!$J$3:$J$805,MATCH(B109,'5-订单总表'!$B$3:$B$805,0))&lt;&gt;"",INDEX('5-订单总表'!$J$3:$J$805,MATCH(B109,'5-订单总表'!$B$3:$B$805,0)),IFERROR(INDEX('1-产品总表'!$C$3:$C$494,MATCH("PPS"&amp;MID(G109,2,99),'1-产品总表'!$A$3:$A$494,0)),"榉木 岩板桌160*85【用25年现货发")),"榉木 岩板桌160*85【用25年现货发")</f>
        <v/>
      </c>
      <c r="I109">
        <f>IFERROR(INDEX('5-订单总表'!$K$3:$K$805,MATCH(B109,'5-订单总表'!$B$3:$B$805,0)),"")</f>
        <v/>
      </c>
      <c r="J109" s="15" t="n">
        <v>1</v>
      </c>
      <c r="K109">
        <f>IFERROR(SUMPRODUCT(('2-定价总表'!$A$3:$A$493="PPS"&amp;MID(G109,2,99))*('2-定价总表'!$C$3:$C$493=I109)*('2-定价总表'!$T$3:$T$493)),"")</f>
        <v/>
      </c>
      <c r="L109" s="49" t="n">
        <v>0</v>
      </c>
      <c r="M109">
        <f>IFERROR(K109*J109,"")</f>
        <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f>IFERROR(INDEX('5-订单总表'!$I$3:$I$805,MATCH(B110,'5-订单总表'!$B$3:$B$805,0)),"")</f>
        <v/>
      </c>
      <c r="H110" s="15">
        <f>IFERROR(IF(INDEX('5-订单总表'!$J$3:$J$805,MATCH(B110,'5-订单总表'!$B$3:$B$805,0))&lt;&gt;"",INDEX('5-订单总表'!$J$3:$J$805,MATCH(B110,'5-订单总表'!$B$3:$B$805,0)),IFERROR(INDEX('1-产品总表'!$C$3:$C$494,MATCH("PPS"&amp;MID(G110,2,99),'1-产品总表'!$A$3:$A$494,0)),"榉木 岩板桌200*85【单价1400】")),"榉木 岩板桌200*85【单价1400】")</f>
        <v/>
      </c>
      <c r="I110">
        <f>IFERROR(INDEX('5-订单总表'!$K$3:$K$805,MATCH(B110,'5-订单总表'!$B$3:$B$805,0)),"")</f>
        <v/>
      </c>
      <c r="J110" s="15" t="n">
        <v>1</v>
      </c>
      <c r="K110">
        <f>IFERROR(SUMPRODUCT(('2-定价总表'!$A$3:$A$493="PPS"&amp;MID(G110,2,99))*('2-定价总表'!$C$3:$C$493=I110)*('2-定价总表'!$T$3:$T$493)),"")</f>
        <v/>
      </c>
      <c r="L110" s="49" t="n">
        <v>1400</v>
      </c>
      <c r="M110">
        <f>IFERROR(K110*J110,"")</f>
        <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f>IFERROR(INDEX('5-订单总表'!$I$3:$I$805,MATCH(B111,'5-订单总表'!$B$3:$B$805,0)),"")</f>
        <v/>
      </c>
      <c r="H111" s="15">
        <f>IFERROR(IF(INDEX('5-订单总表'!$J$3:$J$805,MATCH(B111,'5-订单总表'!$B$3:$B$805,0))&lt;&gt;"",INDEX('5-订单总表'!$J$3:$J$805,MATCH(B111,'5-订单总表'!$B$3:$B$805,0)),IFERROR(INDEX('1-产品总表'!$C$3:$C$494,MATCH("PPS"&amp;MID(G111,2,99),'1-产品总表'!$A$3:$A$494,0)),"榉木 实木桌160*75")),"榉木 实木桌160*75")</f>
        <v/>
      </c>
      <c r="I111">
        <f>IFERROR(INDEX('5-订单总表'!$K$3:$K$805,MATCH(B111,'5-订单总表'!$B$3:$B$805,0)),"")</f>
        <v/>
      </c>
      <c r="J111" s="15" t="n">
        <v>1</v>
      </c>
      <c r="K111">
        <f>IFERROR(SUMPRODUCT(('2-定价总表'!$A$3:$A$493="PPS"&amp;MID(G111,2,99))*('2-定价总表'!$C$3:$C$493=I111)*('2-定价总表'!$T$3:$T$493)),"")</f>
        <v/>
      </c>
      <c r="L111" s="49" t="n">
        <v>1700</v>
      </c>
      <c r="M111">
        <f>IFERROR(K111*J111,"")</f>
        <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f>IFERROR(INDEX('5-订单总表'!$I$3:$I$805,MATCH(B112,'5-订单总表'!$B$3:$B$805,0)),"")</f>
        <v/>
      </c>
      <c r="H112" s="15">
        <f>IFERROR(IF(INDEX('5-订单总表'!$J$3:$J$805,MATCH(B112,'5-订单总表'!$B$3:$B$805,0))&lt;&gt;"",INDEX('5-订单总表'!$J$3:$J$805,MATCH(B112,'5-订单总表'!$B$3:$B$805,0)),IFERROR(INDEX('1-产品总表'!$C$3:$C$494,MATCH("PPS"&amp;MID(G112,2,99),'1-产品总表'!$A$3:$A$494,0)),"榉木 岩板桌180*75【单价1350】")),"榉木 岩板桌180*75【单价1350】")</f>
        <v/>
      </c>
      <c r="I112">
        <f>IFERROR(INDEX('5-订单总表'!$K$3:$K$805,MATCH(B112,'5-订单总表'!$B$3:$B$805,0)),"")</f>
        <v/>
      </c>
      <c r="J112" s="15" t="n">
        <v>1</v>
      </c>
      <c r="K112">
        <f>IFERROR(SUMPRODUCT(('2-定价总表'!$A$3:$A$493="PPS"&amp;MID(G112,2,99))*('2-定价总表'!$C$3:$C$493=I112)*('2-定价总表'!$T$3:$T$493)),"")</f>
        <v/>
      </c>
      <c r="L112" s="49" t="n">
        <v>1350</v>
      </c>
      <c r="M112">
        <f>IFERROR(K112*J112,"")</f>
        <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f>IFERROR(INDEX('5-订单总表'!$I$3:$I$805,MATCH(B113,'5-订单总表'!$B$3:$B$805,0)),"")</f>
        <v/>
      </c>
      <c r="H113" s="15">
        <f>IFERROR(IF(INDEX('5-订单总表'!$J$3:$J$805,MATCH(B113,'5-订单总表'!$B$3:$B$805,0))&lt;&gt;"",INDEX('5-订单总表'!$J$3:$J$805,MATCH(B113,'5-订单总表'!$B$3:$B$805,0)),IFERROR(INDEX('1-产品总表'!$C$3:$C$494,MATCH("PPS"&amp;MID(G113,2,99),'1-产品总表'!$A$3:$A$494,0)),"樱桃木 窄柜120*40/48*190【单价3000")),"樱桃木 窄柜120*40/48*190【单价3000")</f>
        <v/>
      </c>
      <c r="I113">
        <f>IFERROR(INDEX('5-订单总表'!$K$3:$K$805,MATCH(B113,'5-订单总表'!$B$3:$B$805,0)),"")</f>
        <v/>
      </c>
      <c r="J113" s="15" t="n">
        <v>1</v>
      </c>
      <c r="K113">
        <f>IFERROR(SUMPRODUCT(('2-定价总表'!$A$3:$A$493="PPS"&amp;MID(G113,2,99))*('2-定价总表'!$C$3:$C$493=I113)*('2-定价总表'!$T$3:$T$493)),"")</f>
        <v/>
      </c>
      <c r="L113" s="49" t="n">
        <v>3000</v>
      </c>
      <c r="M113">
        <f>IFERROR(K113*J113,"")</f>
        <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f>IFERROR(INDEX('5-订单总表'!$I$3:$I$805,MATCH(B114,'5-订单总表'!$B$3:$B$805,0)),"")</f>
        <v/>
      </c>
      <c r="H114" s="15">
        <f>IFERROR(IF(INDEX('5-订单总表'!$J$3:$J$805,MATCH(B114,'5-订单总表'!$B$3:$B$805,0))&lt;&gt;"",INDEX('5-订单总表'!$J$3:$J$805,MATCH(B114,'5-订单总表'!$B$3:$B$805,0)),IFERROR(INDEX('1-产品总表'!$C$3:$C$494,MATCH("PPS"&amp;MID(G114,2,99),'1-产品总表'!$A$3:$A$494,0)),"榉木 岩板桌140*80【单价1250】")),"榉木 岩板桌140*80【单价1250】")</f>
        <v/>
      </c>
      <c r="I114">
        <f>IFERROR(INDEX('5-订单总表'!$K$3:$K$805,MATCH(B114,'5-订单总表'!$B$3:$B$805,0)),"")</f>
        <v/>
      </c>
      <c r="J114" s="15" t="n">
        <v>1</v>
      </c>
      <c r="K114">
        <f>IFERROR(SUMPRODUCT(('2-定价总表'!$A$3:$A$493="PPS"&amp;MID(G114,2,99))*('2-定价总表'!$C$3:$C$493=I114)*('2-定价总表'!$T$3:$T$493)),"")</f>
        <v/>
      </c>
      <c r="L114" s="49" t="n">
        <v>1250</v>
      </c>
      <c r="M114">
        <f>IFERROR(K114*J114,"")</f>
        <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f>IFERROR(INDEX('5-订单总表'!$I$3:$I$805,MATCH(B115,'5-订单总表'!$B$3:$B$805,0)),"")</f>
        <v/>
      </c>
      <c r="H115" s="15">
        <f>IFERROR(IF(INDEX('5-订单总表'!$J$3:$J$805,MATCH(B115,'5-订单总表'!$B$3:$B$805,0))&lt;&gt;"",INDEX('5-订单总表'!$J$3:$J$805,MATCH(B115,'5-订单总表'!$B$3:$B$805,0)),IFERROR(INDEX('1-产品总表'!$C$3:$C$494,MATCH("PPS"&amp;MID(G115,2,99),'1-产品总表'!$A$3:$A$494,0)),"樱桃木 窄柜120*40/48*190【单价3000 门灰玻")),"樱桃木 窄柜120*40/48*190【单价3000 门灰玻")</f>
        <v/>
      </c>
      <c r="I115">
        <f>IFERROR(INDEX('5-订单总表'!$K$3:$K$805,MATCH(B115,'5-订单总表'!$B$3:$B$805,0)),"")</f>
        <v/>
      </c>
      <c r="J115" s="15" t="n">
        <v>1</v>
      </c>
      <c r="K115">
        <f>IFERROR(SUMPRODUCT(('2-定价总表'!$A$3:$A$493="PPS"&amp;MID(G115,2,99))*('2-定价总表'!$C$3:$C$493=I115)*('2-定价总表'!$T$3:$T$493)),"")</f>
        <v/>
      </c>
      <c r="L115" s="49" t="n">
        <v>3000</v>
      </c>
      <c r="M115">
        <f>IFERROR(K115*J115,"")</f>
        <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f>IFERROR(INDEX('5-订单总表'!$I$3:$I$805,MATCH(B116,'5-订单总表'!$B$3:$B$805,0)),"")</f>
        <v/>
      </c>
      <c r="H116" s="15">
        <f>IFERROR(IF(INDEX('5-订单总表'!$J$3:$J$805,MATCH(B116,'5-订单总表'!$B$3:$B$805,0))&lt;&gt;"",INDEX('5-订单总表'!$J$3:$J$805,MATCH(B116,'5-订单总表'!$B$3:$B$805,0)),IFERROR(INDEX('1-产品总表'!$C$3:$C$494,MATCH("PPS"&amp;MID(G116,2,99),'1-产品总表'!$A$3:$A$494,0)),"榉木 岩板桌180*85*75")),"榉木 岩板桌180*85*75")</f>
        <v/>
      </c>
      <c r="I116">
        <f>IFERROR(INDEX('5-订单总表'!$K$3:$K$805,MATCH(B116,'5-订单总表'!$B$3:$B$805,0)),"")</f>
        <v/>
      </c>
      <c r="J116" s="15" t="n">
        <v>1</v>
      </c>
      <c r="K116">
        <f>IFERROR(SUMPRODUCT(('2-定价总表'!$A$3:$A$493="PPS"&amp;MID(G116,2,99))*('2-定价总表'!$C$3:$C$493=I116)*('2-定价总表'!$T$3:$T$493)),"")</f>
        <v/>
      </c>
      <c r="L116" s="49" t="n">
        <v>0</v>
      </c>
      <c r="M116">
        <f>IFERROR(K116*J116,"")</f>
        <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f>IFERROR(INDEX('5-订单总表'!$I$3:$I$805,MATCH(B117,'5-订单总表'!$B$3:$B$805,0)),"")</f>
        <v/>
      </c>
      <c r="H117" s="15">
        <f>IFERROR(IF(INDEX('5-订单总表'!$J$3:$J$805,MATCH(B117,'5-订单总表'!$B$3:$B$805,0))&lt;&gt;"",INDEX('5-订单总表'!$J$3:$J$805,MATCH(B117,'5-订单总表'!$B$3:$B$805,0)),IFERROR(INDEX('1-产品总表'!$C$3:$C$494,MATCH("PPS"&amp;MID(G117,2,99),'1-产品总表'!$A$3:$A$494,0)),"樱桃木 窄柜88*48*190 定制尺寸")),"樱桃木 窄柜88*48*190 定制尺寸")</f>
        <v/>
      </c>
      <c r="I117">
        <f>IFERROR(INDEX('5-订单总表'!$K$3:$K$805,MATCH(B117,'5-订单总表'!$B$3:$B$805,0)),"")</f>
        <v/>
      </c>
      <c r="J117" s="15" t="n">
        <v>1</v>
      </c>
      <c r="K117">
        <f>IFERROR(SUMPRODUCT(('2-定价总表'!$A$3:$A$493="PPS"&amp;MID(G117,2,99))*('2-定价总表'!$C$3:$C$493=I117)*('2-定价总表'!$T$3:$T$493)),"")</f>
        <v/>
      </c>
      <c r="L117" s="49" t="n">
        <v>2850</v>
      </c>
      <c r="M117">
        <f>IFERROR(K117*J117,"")</f>
        <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G118">
        <f>IFERROR(INDEX('5-订单总表'!$I$3:$I$805,MATCH(B118,'5-订单总表'!$B$3:$B$805,0)),"")</f>
        <v/>
      </c>
      <c r="H118" s="15">
        <f>IFERROR(IF(INDEX('5-订单总表'!$J$3:$J$805,MATCH(B118,'5-订单总表'!$B$3:$B$805,0))&lt;&gt;"",INDEX('5-订单总表'!$J$3:$J$805,MATCH(B118,'5-订单总表'!$B$3:$B$805,0)),IFERROR(INDEX('1-产品总表'!$C$3:$C$494,MATCH("PPS"&amp;MID(G118,2,99),'1-产品总表'!$A$3:$A$494,0)),"樱桃木 组合柜72*38*36【730+680+680")),"樱桃木 组合柜72*38*36【730+680+680")</f>
        <v/>
      </c>
      <c r="I118">
        <f>IFERROR(INDEX('5-订单总表'!$K$3:$K$805,MATCH(B118,'5-订单总表'!$B$3:$B$805,0)),"")</f>
        <v/>
      </c>
      <c r="J118" s="15" t="n">
        <v>1</v>
      </c>
      <c r="K118">
        <f>IFERROR(SUMPRODUCT(('2-定价总表'!$A$3:$A$493="PPS"&amp;MID(G118,2,99))*('2-定价总表'!$C$3:$C$493=I118)*('2-定价总表'!$T$3:$T$493)),"")</f>
        <v/>
      </c>
      <c r="L118" s="49" t="n">
        <v>2090</v>
      </c>
      <c r="M118">
        <f>IFERROR(K118*J118,"")</f>
        <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G119">
        <f>IFERROR(INDEX('5-订单总表'!$I$3:$I$805,MATCH(B119,'5-订单总表'!$B$3:$B$805,0)),"")</f>
        <v/>
      </c>
      <c r="H119" s="15">
        <f>IFERROR(IF(INDEX('5-订单总表'!$J$3:$J$805,MATCH(B119,'5-订单总表'!$B$3:$B$805,0))&lt;&gt;"",INDEX('5-订单总表'!$J$3:$J$805,MATCH(B119,'5-订单总表'!$B$3:$B$805,0)),IFERROR(INDEX('1-产品总表'!$C$3:$C$494,MATCH("PPS"&amp;MID(G119,2,99),'1-产品总表'!$A$3:$A$494,0)),"樱桃木 洞石餐边柜210*42/50*210")),"樱桃木 洞石餐边柜210*42/50*210")</f>
        <v/>
      </c>
      <c r="I119">
        <f>IFERROR(INDEX('5-订单总表'!$K$3:$K$805,MATCH(B119,'5-订单总表'!$B$3:$B$805,0)),"")</f>
        <v/>
      </c>
      <c r="J119" s="15" t="n">
        <v>1</v>
      </c>
      <c r="K119">
        <f>IFERROR(SUMPRODUCT(('2-定价总表'!$A$3:$A$493="PPS"&amp;MID(G119,2,99))*('2-定价总表'!$C$3:$C$493=I119)*('2-定价总表'!$T$3:$T$493)),"")</f>
        <v/>
      </c>
      <c r="L119" s="49" t="n">
        <v>5700</v>
      </c>
      <c r="M119">
        <f>IFERROR(K119*J119,"")</f>
        <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f>IFERROR(INDEX('5-订单总表'!$I$3:$I$805,MATCH(B120,'5-订单总表'!$B$3:$B$805,0)),"")</f>
        <v/>
      </c>
      <c r="H120" s="15">
        <f>IFERROR(IF(INDEX('5-订单总表'!$J$3:$J$805,MATCH(B120,'5-订单总表'!$B$3:$B$805,0))&lt;&gt;"",INDEX('5-订单总表'!$J$3:$J$805,MATCH(B120,'5-订单总表'!$B$3:$B$805,0)),IFERROR(INDEX('1-产品总表'!$C$3:$C$494,MATCH("PPS"&amp;MID(G120,2,99),'1-产品总表'!$A$3:$A$494,0)),"榉木 大板桌210*80＋岩板桌160*80")),"榉木 大板桌210*80＋岩板桌160*80")</f>
        <v/>
      </c>
      <c r="I120">
        <f>IFERROR(INDEX('5-订单总表'!$K$3:$K$805,MATCH(B120,'5-订单总表'!$B$3:$B$805,0)),"")</f>
        <v/>
      </c>
      <c r="J120" s="15" t="n">
        <v>1</v>
      </c>
      <c r="K120">
        <f>IFERROR(SUMPRODUCT(('2-定价总表'!$A$3:$A$493="PPS"&amp;MID(G120,2,99))*('2-定价总表'!$C$3:$C$493=I120)*('2-定价总表'!$T$3:$T$493)),"")</f>
        <v/>
      </c>
      <c r="L120" s="49" t="n">
        <v>1300</v>
      </c>
      <c r="M120">
        <f>IFERROR(K120*J120,"")</f>
        <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f>IFERROR(INDEX('5-订单总表'!$I$3:$I$805,MATCH(B121,'5-订单总表'!$B$3:$B$805,0)),"")</f>
        <v/>
      </c>
      <c r="H121" s="15">
        <f>IFERROR(IF(INDEX('5-订单总表'!$J$3:$J$805,MATCH(B121,'5-订单总表'!$B$3:$B$805,0))&lt;&gt;"",INDEX('5-订单总表'!$J$3:$J$805,MATCH(B121,'5-订单总表'!$B$3:$B$805,0)),IFERROR(INDEX('1-产品总表'!$C$3:$C$494,MATCH("PPS"&amp;MID(G121,2,99),'1-产品总表'!$A$3:$A$494,0)),"榉木 大板桌210*80＋岩板桌160*80")),"榉木 大板桌210*80＋岩板桌160*80")</f>
        <v/>
      </c>
      <c r="I121">
        <f>IFERROR(INDEX('5-订单总表'!$K$3:$K$805,MATCH(B121,'5-订单总表'!$B$3:$B$805,0)),"")</f>
        <v/>
      </c>
      <c r="J121" s="15" t="n">
        <v>1</v>
      </c>
      <c r="K121">
        <f>IFERROR(SUMPRODUCT(('2-定价总表'!$A$3:$A$493="PPS"&amp;MID(G121,2,99))*('2-定价总表'!$C$3:$C$493=I121)*('2-定价总表'!$T$3:$T$493)),"")</f>
        <v/>
      </c>
      <c r="L121" s="49" t="n">
        <v>1300</v>
      </c>
      <c r="M121">
        <f>IFERROR(K121*J121,"")</f>
        <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G122">
        <f>IFERROR(INDEX('5-订单总表'!$I$3:$I$805,MATCH(B122,'5-订单总表'!$B$3:$B$805,0)),"")</f>
        <v/>
      </c>
      <c r="H122" s="15">
        <f>IFERROR(IF(INDEX('5-订单总表'!$J$3:$J$805,MATCH(B122,'5-订单总表'!$B$3:$B$805,0))&lt;&gt;"",INDEX('5-订单总表'!$J$3:$J$805,MATCH(B122,'5-订单总表'!$B$3:$B$805,0)),IFERROR(INDEX('1-产品总表'!$C$3:$C$494,MATCH("PPS"&amp;MID(G122,2,99),'1-产品总表'!$A$3:$A$494,0)),"榉木 餐边柜下柜＋双腿桌160")),"榉木 餐边柜下柜＋双腿桌160")</f>
        <v/>
      </c>
      <c r="I122">
        <f>IFERROR(INDEX('5-订单总表'!$K$3:$K$805,MATCH(B122,'5-订单总表'!$B$3:$B$805,0)),"")</f>
        <v/>
      </c>
      <c r="J122" s="15" t="n">
        <v>1</v>
      </c>
      <c r="K122">
        <f>IFERROR(SUMPRODUCT(('2-定价总表'!$A$3:$A$493="PPS"&amp;MID(G122,2,99))*('2-定价总表'!$C$3:$C$493=I122)*('2-定价总表'!$T$3:$T$493)),"")</f>
        <v/>
      </c>
      <c r="L122" s="49" t="n">
        <v>4280</v>
      </c>
      <c r="M122">
        <f>IFERROR(K122*J122,"")</f>
        <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f>IFERROR(INDEX('5-订单总表'!$I$3:$I$805,MATCH(B123,'5-订单总表'!$B$3:$B$805,0)),"")</f>
        <v/>
      </c>
      <c r="H123" s="15">
        <f>IFERROR(IF(INDEX('5-订单总表'!$J$3:$J$805,MATCH(B123,'5-订单总表'!$B$3:$B$805,0))&lt;&gt;"",INDEX('5-订单总表'!$J$3:$J$805,MATCH(B123,'5-订单总表'!$B$3:$B$805,0)),IFERROR(INDEX('1-产品总表'!$C$3:$C$494,MATCH("PPS"&amp;MID(G123,2,99),'1-产品总表'!$A$3:$A$494,0)),"樱桃木 窄柜120*40/48*190【单价3000")),"樱桃木 窄柜120*40/48*190【单价3000")</f>
        <v/>
      </c>
      <c r="I123">
        <f>IFERROR(INDEX('5-订单总表'!$K$3:$K$805,MATCH(B123,'5-订单总表'!$B$3:$B$805,0)),"")</f>
        <v/>
      </c>
      <c r="J123" s="15" t="n">
        <v>1</v>
      </c>
      <c r="K123">
        <f>IFERROR(SUMPRODUCT(('2-定价总表'!$A$3:$A$493="PPS"&amp;MID(G123,2,99))*('2-定价总表'!$C$3:$C$493=I123)*('2-定价总表'!$T$3:$T$493)),"")</f>
        <v/>
      </c>
      <c r="L123" s="49" t="n">
        <v>3000</v>
      </c>
      <c r="M123">
        <f>IFERROR(K123*J123,"")</f>
        <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f>IFERROR(INDEX('5-订单总表'!$I$3:$I$805,MATCH(B124,'5-订单总表'!$B$3:$B$805,0)),"")</f>
        <v/>
      </c>
      <c r="H124" s="15">
        <f>IFERROR(IF(INDEX('5-订单总表'!$J$3:$J$805,MATCH(B124,'5-订单总表'!$B$3:$B$805,0))&lt;&gt;"",INDEX('5-订单总表'!$J$3:$J$805,MATCH(B124,'5-订单总表'!$B$3:$B$805,0)),IFERROR(INDEX('1-产品总表'!$C$3:$C$494,MATCH("PPS"&amp;MID(G124,2,99),'1-产品总表'!$A$3:$A$494,0)),"榉木 岩板桌140*85【25年现货发】")),"榉木 岩板桌140*85【25年现货发】")</f>
        <v/>
      </c>
      <c r="I124">
        <f>IFERROR(INDEX('5-订单总表'!$K$3:$K$805,MATCH(B124,'5-订单总表'!$B$3:$B$805,0)),"")</f>
        <v/>
      </c>
      <c r="J124" s="15" t="n">
        <v>1</v>
      </c>
      <c r="K124">
        <f>IFERROR(SUMPRODUCT(('2-定价总表'!$A$3:$A$493="PPS"&amp;MID(G124,2,99))*('2-定价总表'!$C$3:$C$493=I124)*('2-定价总表'!$T$3:$T$493)),"")</f>
        <v/>
      </c>
      <c r="L124" s="49" t="n">
        <v>0</v>
      </c>
      <c r="M124">
        <f>IFERROR(K124*J124,"")</f>
        <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f>IFERROR(INDEX('5-订单总表'!$I$3:$I$805,MATCH(B125,'5-订单总表'!$B$3:$B$805,0)),"")</f>
        <v/>
      </c>
      <c r="H125" s="15">
        <f>IFERROR(IF(INDEX('5-订单总表'!$J$3:$J$805,MATCH(B125,'5-订单总表'!$B$3:$B$805,0))&lt;&gt;"",INDEX('5-订单总表'!$J$3:$J$805,MATCH(B125,'5-订单总表'!$B$3:$B$805,0)),IFERROR(INDEX('1-产品总表'!$C$3:$C$494,MATCH("PPS"&amp;MID(G125,2,99),'1-产品总表'!$A$3:$A$494,0)),"黑胡桃 餐边柜180*40/48*195")),"黑胡桃 餐边柜180*40/48*195")</f>
        <v/>
      </c>
      <c r="I125">
        <f>IFERROR(INDEX('5-订单总表'!$K$3:$K$805,MATCH(B125,'5-订单总表'!$B$3:$B$805,0)),"")</f>
        <v/>
      </c>
      <c r="J125" s="15" t="n">
        <v>1</v>
      </c>
      <c r="K125">
        <f>IFERROR(SUMPRODUCT(('2-定价总表'!$A$3:$A$493="PPS"&amp;MID(G125,2,99))*('2-定价总表'!$C$3:$C$493=I125)*('2-定价总表'!$T$3:$T$493)),"")</f>
        <v/>
      </c>
      <c r="L125" s="49" t="n">
        <v>8200</v>
      </c>
      <c r="M125">
        <f>IFERROR(K125*J125,"")</f>
        <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2026-06-02T05:02:34Z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