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er\Downloads\Forage\"/>
    </mc:Choice>
  </mc:AlternateContent>
  <xr:revisionPtr revIDLastSave="0" documentId="13_ncr:1_{ECC947DE-64FB-45DF-A4A6-5602C06A4119}" xr6:coauthVersionLast="47" xr6:coauthVersionMax="47" xr10:uidLastSave="{00000000-0000-0000-0000-000000000000}"/>
  <bookViews>
    <workbookView xWindow="-108" yWindow="-108" windowWidth="23256" windowHeight="12456" activeTab="3" xr2:uid="{951194C4-9D61-46BE-B0AE-7170A8ED2BCE}"/>
  </bookViews>
  <sheets>
    <sheet name="Glossary" sheetId="2" r:id="rId1"/>
    <sheet name="Forecast Assumptions" sheetId="1" r:id="rId2"/>
    <sheet name="P&amp;L Forecast" sheetId="3" r:id="rId3"/>
    <sheet name="Cash Flow Forecast" sheetId="4" r:id="rId4"/>
  </sheets>
  <definedNames>
    <definedName name="_xlnm.Print_Area" localSheetId="3">'Cash Flow Forecast'!$A$1:$J$26</definedName>
    <definedName name="_xlnm.Print_Area" localSheetId="1">'Forecast Assumptions'!$A$1:$J$48</definedName>
    <definedName name="_xlnm.Print_Area" localSheetId="0">Glossary!$A$1:$D$18</definedName>
    <definedName name="_xlnm.Print_Area" localSheetId="2">'P&amp;L Forecast'!$A$1:$J$40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 i="4" l="1"/>
  <c r="E28" i="3"/>
  <c r="F23" i="4"/>
  <c r="G23" i="4"/>
  <c r="H23" i="4"/>
  <c r="I23" i="4"/>
  <c r="I21" i="4"/>
  <c r="H21" i="4"/>
  <c r="G21" i="4"/>
  <c r="F21" i="4"/>
  <c r="E23" i="4"/>
  <c r="E21" i="4"/>
  <c r="E15" i="4"/>
  <c r="I10" i="4"/>
  <c r="H10" i="4"/>
  <c r="G10" i="4"/>
  <c r="F10" i="4"/>
  <c r="E10" i="4"/>
  <c r="I8" i="4"/>
  <c r="H8" i="4"/>
  <c r="G8" i="4"/>
  <c r="F8" i="4"/>
  <c r="E8" i="4"/>
  <c r="E5" i="4" a="1"/>
  <c r="E5" i="4" s="1"/>
  <c r="F24" i="3"/>
  <c r="G24" i="3"/>
  <c r="H24" i="3"/>
  <c r="I24" i="3"/>
  <c r="E24" i="3"/>
  <c r="G33" i="1"/>
  <c r="H33" i="1" s="1"/>
  <c r="I33" i="1" s="1"/>
  <c r="F33" i="1"/>
  <c r="E3" i="4" l="1"/>
  <c r="F3" i="4" s="1"/>
  <c r="G3" i="4" s="1"/>
  <c r="H3" i="4" s="1"/>
  <c r="I3" i="4" s="1"/>
  <c r="F36" i="3" l="1"/>
  <c r="G36" i="3"/>
  <c r="H36" i="3"/>
  <c r="I36" i="3"/>
  <c r="E36" i="3"/>
  <c r="F17" i="3" l="1"/>
  <c r="G17" i="3"/>
  <c r="H17" i="3"/>
  <c r="I17" i="3"/>
  <c r="F18" i="3"/>
  <c r="G18" i="3"/>
  <c r="H18" i="3"/>
  <c r="I18" i="3"/>
  <c r="F19" i="3"/>
  <c r="G19" i="3"/>
  <c r="H19" i="3"/>
  <c r="I19" i="3"/>
  <c r="F20" i="3"/>
  <c r="G20" i="3"/>
  <c r="H20" i="3"/>
  <c r="I20" i="3"/>
  <c r="E18" i="3"/>
  <c r="E19" i="3"/>
  <c r="E20" i="3"/>
  <c r="E17" i="3"/>
  <c r="F12" i="3"/>
  <c r="G12" i="3"/>
  <c r="H12" i="3"/>
  <c r="I12" i="3"/>
  <c r="F13" i="3"/>
  <c r="G13" i="3"/>
  <c r="H13" i="3"/>
  <c r="I13" i="3"/>
  <c r="E13" i="3"/>
  <c r="E12" i="3"/>
  <c r="F11" i="3"/>
  <c r="G11" i="3"/>
  <c r="H11" i="3"/>
  <c r="I11" i="3"/>
  <c r="E11" i="3"/>
  <c r="F5" i="3"/>
  <c r="G5" i="3"/>
  <c r="H5" i="3"/>
  <c r="I5" i="3"/>
  <c r="F6" i="3"/>
  <c r="G6" i="3"/>
  <c r="H6" i="3"/>
  <c r="I6" i="3"/>
  <c r="F7" i="3"/>
  <c r="G7" i="3"/>
  <c r="H7" i="3"/>
  <c r="I7" i="3"/>
  <c r="E7" i="3"/>
  <c r="E6" i="3"/>
  <c r="E5" i="3"/>
  <c r="E3" i="3" l="1"/>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I37" i="1"/>
  <c r="F30" i="1"/>
  <c r="G30" i="1" s="1"/>
  <c r="H30" i="1" s="1"/>
  <c r="I30" i="1" s="1"/>
  <c r="F29" i="1"/>
  <c r="G29" i="1" s="1"/>
  <c r="H29" i="1" s="1"/>
  <c r="I29" i="1" s="1"/>
  <c r="F28" i="1"/>
  <c r="G28" i="1" s="1"/>
  <c r="H28" i="1" s="1"/>
  <c r="I28" i="1" s="1"/>
  <c r="F27" i="1"/>
  <c r="G27" i="1" s="1"/>
  <c r="H27" i="1" s="1"/>
  <c r="I27" i="1" s="1"/>
  <c r="H37" i="1" l="1"/>
  <c r="G37" i="1"/>
  <c r="F37" i="1"/>
  <c r="E3" i="1"/>
  <c r="F3" i="1" l="1"/>
  <c r="G3" i="1" l="1"/>
  <c r="H3" i="1" l="1"/>
  <c r="I3" i="1" l="1"/>
  <c r="E8" i="3" l="1"/>
  <c r="E14" i="3" l="1"/>
  <c r="G8" i="3" l="1"/>
  <c r="E21" i="3"/>
  <c r="E15" i="3"/>
  <c r="G14" i="3" l="1"/>
  <c r="E25" i="3"/>
  <c r="E22" i="3"/>
  <c r="F8" i="3"/>
  <c r="G9" i="3" l="1"/>
  <c r="H8" i="3"/>
  <c r="E26" i="3"/>
  <c r="E29" i="3"/>
  <c r="E32" i="3" s="1"/>
  <c r="I8" i="3"/>
  <c r="F14" i="3"/>
  <c r="F9" i="3"/>
  <c r="G21" i="3"/>
  <c r="G15" i="3"/>
  <c r="H14" i="3" l="1"/>
  <c r="H15" i="3" s="1"/>
  <c r="H9" i="3"/>
  <c r="F21" i="3"/>
  <c r="F15" i="3"/>
  <c r="I14" i="3"/>
  <c r="I9" i="3"/>
  <c r="G25" i="3"/>
  <c r="G22" i="3"/>
  <c r="E30" i="3"/>
  <c r="H21" i="3" l="1"/>
  <c r="H22" i="3" s="1"/>
  <c r="G26" i="3"/>
  <c r="I15" i="3"/>
  <c r="I21" i="3"/>
  <c r="F25" i="3"/>
  <c r="F22" i="3"/>
  <c r="H25" i="3" l="1"/>
  <c r="F26" i="3"/>
  <c r="I22" i="3"/>
  <c r="I25" i="3"/>
  <c r="H26" i="3"/>
  <c r="I26" i="3" l="1"/>
  <c r="E33" i="3" l="1"/>
  <c r="E37" i="3" l="1"/>
  <c r="E7" i="4" s="1"/>
  <c r="E34" i="3"/>
  <c r="G16" i="4"/>
  <c r="G13" i="4"/>
  <c r="G7" i="4"/>
  <c r="G37" i="3"/>
  <c r="I7" i="4"/>
  <c r="I37" i="3"/>
  <c r="E12" i="4"/>
  <c r="H7" i="4"/>
  <c r="H37" i="3"/>
  <c r="F12" i="4"/>
  <c r="E6" i="4"/>
  <c r="F34" i="3"/>
  <c r="G30" i="3"/>
  <c r="G32" i="3"/>
  <c r="I17" i="4"/>
  <c r="I16" i="4"/>
  <c r="I13" i="4"/>
  <c r="F11" i="4"/>
  <c r="F13" i="4"/>
  <c r="F16" i="4"/>
  <c r="I11" i="4"/>
  <c r="I12" i="4"/>
  <c r="F33" i="3"/>
  <c r="F37" i="3"/>
  <c r="F7" i="4"/>
  <c r="H12" i="4"/>
  <c r="H30" i="3"/>
  <c r="H32" i="3"/>
  <c r="H9" i="4"/>
  <c r="H28" i="3"/>
  <c r="H29" i="3"/>
  <c r="H33" i="3"/>
  <c r="H34" i="3"/>
  <c r="F30" i="3"/>
  <c r="I32" i="3"/>
  <c r="I30" i="3"/>
  <c r="G11" i="4"/>
  <c r="G12" i="4"/>
  <c r="G9" i="4"/>
  <c r="G28" i="3"/>
  <c r="G29" i="3"/>
  <c r="G33" i="3"/>
  <c r="G34" i="3"/>
  <c r="F17" i="4"/>
  <c r="G15" i="4"/>
  <c r="G17" i="4"/>
  <c r="H15" i="4"/>
  <c r="H17" i="4"/>
  <c r="I15" i="4"/>
  <c r="I9" i="4"/>
  <c r="I28" i="3"/>
  <c r="I29" i="3"/>
  <c r="I33" i="3"/>
  <c r="I34" i="3"/>
  <c r="E11" i="4"/>
  <c r="E13" i="4"/>
  <c r="E16" i="4"/>
  <c r="E17" i="4"/>
  <c r="F15" i="4"/>
  <c r="F9" i="4"/>
  <c r="F28" i="3"/>
  <c r="F29" i="3"/>
  <c r="F32" i="3"/>
  <c r="E6" i="4" a="1"/>
  <c r="H11" i="4"/>
  <c r="H13" i="4"/>
  <c r="H16"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<sst xmlns="http://schemas.openxmlformats.org/spreadsheetml/2006/main" count="184" uniqueCount="92">
  <si>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</si>
  <si>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</si>
  <si>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</si>
  <si>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</si>
  <si>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</si>
  <si>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</si>
  <si>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</si>
  <si>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</si>
  <si>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</si>
  <si>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</si>
  <si>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</si>
  <si>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</si>
  <si>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</si>
  <si>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</si>
  <si>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</si>
  <si>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</si>
  <si>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</si>
  <si>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</si>
  <si>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</si>
  <si>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</si>
  <si>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</si>
  <si>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</si>
  <si>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</si>
  <si>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</si>
  <si>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</si>
  <si>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</si>
  <si>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</si>
  <si>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</si>
  <si>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</si>
  <si>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</si>
  <si>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</si>
  <si>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</si>
  <si>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</si>
  <si>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</si>
  <si>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</si>
  <si>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</si>
  <si>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</si>
  <si>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</si>
  <si>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</si>
  <si>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</si>
  <si>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</si>
  <si>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</si>
  <si>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</si>
  <si>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</si>
  <si>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</si>
  <si>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</si>
  <si>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</si>
  <si>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</si>
  <si>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</si>
  <si>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</si>
  <si>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</si>
  <si>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</si>
  <si>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</si>
  <si>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</si>
  <si>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</si>
  <si>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Cash Flow</t>
  </si>
  <si>
    <t>Other</t>
  </si>
  <si>
    <t>P&amp;L Forecast</t>
  </si>
  <si>
    <t>Cupcakes Revenue</t>
  </si>
  <si>
    <t>Ice Cream Revenue</t>
  </si>
  <si>
    <t>Drinks Revenue</t>
  </si>
  <si>
    <t>Total Revenue</t>
  </si>
  <si>
    <t>Growth</t>
  </si>
  <si>
    <t>Cupcakes COGS</t>
  </si>
  <si>
    <t>Ice Cream COGS</t>
  </si>
  <si>
    <t>Drinks COGS</t>
  </si>
  <si>
    <t>Gross Profit</t>
  </si>
  <si>
    <t>Margin</t>
  </si>
  <si>
    <t>D&amp;A</t>
  </si>
  <si>
    <t>EBIT (Operating Income)</t>
  </si>
  <si>
    <t>Net Interest</t>
  </si>
  <si>
    <t>Profit Before Tax (PBT)</t>
  </si>
  <si>
    <t>Tax Expense</t>
  </si>
  <si>
    <t>Net Profit After Tax (NPAT)</t>
  </si>
  <si>
    <t>Gross Dividends</t>
  </si>
  <si>
    <t>Cash Flow Forecast</t>
  </si>
  <si>
    <t>Net Cash Flow</t>
  </si>
  <si>
    <t>Supporting Debt Schedule</t>
  </si>
  <si>
    <t>Opening Debt</t>
  </si>
  <si>
    <t>Opening Cash</t>
  </si>
  <si>
    <t>Closing Cash</t>
  </si>
  <si>
    <t>Debt Repayment</t>
  </si>
  <si>
    <t>Net Capital Expenditure (Capex)</t>
  </si>
  <si>
    <t>Cash to Balance Sheet</t>
  </si>
  <si>
    <t>Closing Debt</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</si>
  <si>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</si>
  <si>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</si>
  <si>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</si>
  <si>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Tax</t>
  </si>
  <si>
    <t>Dividends</t>
  </si>
  <si>
    <t>Change in NWC</t>
  </si>
  <si>
    <t>Net CAPEX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</si>
</sst>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1"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
      <b/>
      <sz val="10"/>
      <name val="Arial"/>
      <family val="2"/>
    </font>
  </fonts>
  <fills count="7">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BDD7EE"/>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9" fontId="3" fillId="5" borderId="0" xfId="0" applyNumberFormat="1" applyFont="1" applyFill="1" applyAlignment="1">
      <alignment horizontal="right"/>
    </xf>
    <xf numFmtId="164" fontId="10" fillId="0" borderId="3" xfId="0" applyNumberFormat="1" applyFont="1" applyBorder="1"/>
    <xf numFmtId="164" fontId="4" fillId="0" borderId="3" xfId="0" applyNumberFormat="1" applyFont="1" applyBorder="1"/>
    <xf numFmtId="164" fontId="4" fillId="5" borderId="3" xfId="0" applyNumberFormat="1" applyFont="1" applyFill="1" applyBorder="1"/>
    <xf numFmtId="167" fontId="6" fillId="6" borderId="2" xfId="0" applyNumberFormat="1" applyFont="1" applyFill="1" applyBorder="1" applyAlignment="1">
      <alignment horizontal="right"/>
    </xf>
    <xf numFmtId="164" fontId="4" fillId="6" borderId="3" xfId="0" applyNumberFormat="1" applyFont="1" applyFill="1" applyBorder="1" applyAlignment="1">
      <alignment horizontal="right"/>
    </xf>
    <xf numFmtId="164" fontId="3" fillId="6" borderId="0" xfId="0" applyNumberFormat="1" applyFont="1" applyFill="1" applyAlignment="1">
      <alignment horizontal="right"/>
    </xf>
    <xf numFmtId="164" fontId="3" fillId="5" borderId="0" xfId="0" applyNumberFormat="1" applyFont="1" applyFill="1"/>
    <xf numFmtId="0" fontId="4" fillId="4" borderId="0" xfId="0" applyFont="1" applyFill="1" applyAlignment="1">
      <alignment vertical="center"/>
    </xf>
    <xf numFmtId="0" fontId="3" fillId="0" borderId="0" xfId="0" applyFont="1" applyAlignment="1">
      <alignment horizontal="left" vertical="center" wrapText="1"/>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10</xdr:col>
      <xdr:colOff>258535</xdr:colOff>
      <xdr:row>26</xdr:row>
      <xdr:rowOff>108858</xdr:rowOff>
    </xdr:from>
    <xdr:to>
      <xdr:col>17</xdr:col>
      <xdr:colOff>1325337</xdr:colOff>
      <xdr:row>29</xdr:row>
      <xdr:rowOff>0</xdr:rowOff>
    </xdr:to>
    <xdr:sp macro="" textlink="">
      <xdr:nvSpPr>
        <xdr:cNvPr id="2" name="Rectangle: Rounded Corners 1">
          <a:extLst>
            <a:ext uri="{FF2B5EF4-FFF2-40B4-BE49-F238E27FC236}">
              <a16:creationId xmlns:a16="http://schemas.microsoft.com/office/drawing/2014/main" id="{756441E5-7713-49B3-B9DE-ABEB43F8EFEA}"/>
            </a:ext>
          </a:extLst>
        </xdr:cNvPr>
        <xdr:cNvSpPr/>
      </xdr:nvSpPr>
      <xdr:spPr>
        <a:xfrm>
          <a:off x="12246428" y="5306787"/>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Interest: </a:t>
          </a:r>
          <a:r>
            <a:rPr lang="en-GB" sz="1100" b="0" u="none">
              <a:latin typeface="Arial" panose="020B0604020202020204" pitchFamily="34" charset="0"/>
              <a:cs typeface="Arial" panose="020B0604020202020204" pitchFamily="34" charset="0"/>
            </a:rPr>
            <a:t>Once the Cash</a:t>
          </a:r>
          <a:r>
            <a:rPr lang="en-GB" sz="1100" b="0" u="none" baseline="0">
              <a:latin typeface="Arial" panose="020B0604020202020204" pitchFamily="34" charset="0"/>
              <a:cs typeface="Arial" panose="020B0604020202020204" pitchFamily="34" charset="0"/>
            </a:rPr>
            <a:t> Flow Forecast tab is complete, link up Net Interest for each year to the calculated figures from the Cash Flow tab.</a:t>
          </a:r>
          <a:endParaRPr lang="en-GB" sz="1100" b="0" u="none">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95250</xdr:colOff>
      <xdr:row>3</xdr:row>
      <xdr:rowOff>122464</xdr:rowOff>
    </xdr:from>
    <xdr:to>
      <xdr:col>17</xdr:col>
      <xdr:colOff>1162052</xdr:colOff>
      <xdr:row>9</xdr:row>
      <xdr:rowOff>176892</xdr:rowOff>
    </xdr:to>
    <xdr:sp macro="" textlink="">
      <xdr:nvSpPr>
        <xdr:cNvPr id="2" name="Rectangle: Rounded Corners 1">
          <a:extLst>
            <a:ext uri="{FF2B5EF4-FFF2-40B4-BE49-F238E27FC236}">
              <a16:creationId xmlns:a16="http://schemas.microsoft.com/office/drawing/2014/main" id="{588FCA84-FCC8-488C-ACA9-DB0C8F3A5FE3}"/>
            </a:ext>
          </a:extLst>
        </xdr:cNvPr>
        <xdr:cNvSpPr/>
      </xdr:nvSpPr>
      <xdr:spPr>
        <a:xfrm>
          <a:off x="13634357" y="938893"/>
          <a:ext cx="10782302" cy="11974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Cash Flow: </a:t>
          </a:r>
          <a:r>
            <a:rPr lang="en-GB" sz="1100" b="0" u="none">
              <a:latin typeface="Arial" panose="020B0604020202020204" pitchFamily="34" charset="0"/>
              <a:cs typeface="Arial" panose="020B0604020202020204" pitchFamily="34" charset="0"/>
            </a:rPr>
            <a:t>Link up EBITDA</a:t>
          </a:r>
          <a:r>
            <a:rPr lang="en-GB" sz="1100" b="0" u="none" baseline="0">
              <a:latin typeface="Arial" panose="020B0604020202020204" pitchFamily="34" charset="0"/>
              <a:cs typeface="Arial" panose="020B0604020202020204" pitchFamily="34" charset="0"/>
            </a:rPr>
            <a:t>, Taxes and Dividends from the P&amp;L (ensure the right sign for dividends given it takes cash away from the business). For Change in NWC, use the % of revenue assumption to calculate the figure for each year. For Net Interest, calculate Interest Expense (opening debt x debt interest rate --&gt; should be negative) and Interest Income (opening cash x cash interest rate), and sum them together. For Net Capex, use the % of revenue assumption to calculate the figure for each year.</a:t>
          </a:r>
          <a:br>
            <a:rPr lang="en-GB" sz="1100" b="0" u="none" baseline="0">
              <a:latin typeface="Arial" panose="020B0604020202020204" pitchFamily="34" charset="0"/>
              <a:cs typeface="Arial" panose="020B0604020202020204" pitchFamily="34" charset="0"/>
            </a:rPr>
          </a:br>
          <a:br>
            <a:rPr lang="en-GB" sz="1100" b="0" u="none" baseline="0">
              <a:latin typeface="Arial" panose="020B0604020202020204" pitchFamily="34" charset="0"/>
              <a:cs typeface="Arial" panose="020B0604020202020204" pitchFamily="34" charset="0"/>
            </a:rPr>
          </a:br>
          <a:r>
            <a:rPr lang="en-GB" sz="1100" b="0" u="none" baseline="0">
              <a:latin typeface="Arial" panose="020B0604020202020204" pitchFamily="34" charset="0"/>
              <a:cs typeface="Arial" panose="020B0604020202020204" pitchFamily="34" charset="0"/>
            </a:rPr>
            <a:t>Thereafter, sum all of the aforementioned line items to calculate Net Cash Flow.</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95250</xdr:colOff>
      <xdr:row>10</xdr:row>
      <xdr:rowOff>68036</xdr:rowOff>
    </xdr:from>
    <xdr:to>
      <xdr:col>17</xdr:col>
      <xdr:colOff>1162052</xdr:colOff>
      <xdr:row>12</xdr:row>
      <xdr:rowOff>149678</xdr:rowOff>
    </xdr:to>
    <xdr:sp macro="" textlink="">
      <xdr:nvSpPr>
        <xdr:cNvPr id="5" name="Rectangle: Rounded Corners 4">
          <a:extLst>
            <a:ext uri="{FF2B5EF4-FFF2-40B4-BE49-F238E27FC236}">
              <a16:creationId xmlns:a16="http://schemas.microsoft.com/office/drawing/2014/main" id="{7585B840-8F01-4223-A933-960F11E94C67}"/>
            </a:ext>
          </a:extLst>
        </xdr:cNvPr>
        <xdr:cNvSpPr/>
      </xdr:nvSpPr>
      <xdr:spPr>
        <a:xfrm>
          <a:off x="13634357" y="2217965"/>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Debt</a:t>
          </a:r>
          <a:r>
            <a:rPr lang="en-GB" sz="1100" b="1" u="none" baseline="0">
              <a:latin typeface="Arial" panose="020B0604020202020204" pitchFamily="34" charset="0"/>
              <a:cs typeface="Arial" panose="020B0604020202020204" pitchFamily="34" charset="0"/>
            </a:rPr>
            <a:t> Paydown</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Come up with a formula that takes into account</a:t>
          </a:r>
          <a:r>
            <a:rPr lang="en-GB" sz="1100" b="0" u="none" baseline="0">
              <a:latin typeface="Arial" panose="020B0604020202020204" pitchFamily="34" charset="0"/>
              <a:cs typeface="Arial" panose="020B0604020202020204" pitchFamily="34" charset="0"/>
            </a:rPr>
            <a:t> the client's wishes to use all excess net cash flow to pay down debt. HINT: Use a formula that ensures that the company pays down the entirety of its debt if it has the excess net cash flow to do so, or in the alternative, pays down whatever it can with that net cash flow.</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95250</xdr:colOff>
      <xdr:row>14</xdr:row>
      <xdr:rowOff>1</xdr:rowOff>
    </xdr:from>
    <xdr:to>
      <xdr:col>17</xdr:col>
      <xdr:colOff>1162052</xdr:colOff>
      <xdr:row>16</xdr:row>
      <xdr:rowOff>81643</xdr:rowOff>
    </xdr:to>
    <xdr:sp macro="" textlink="">
      <xdr:nvSpPr>
        <xdr:cNvPr id="6" name="Rectangle: Rounded Corners 5">
          <a:extLst>
            <a:ext uri="{FF2B5EF4-FFF2-40B4-BE49-F238E27FC236}">
              <a16:creationId xmlns:a16="http://schemas.microsoft.com/office/drawing/2014/main" id="{CD6045E0-4AD1-4C80-BF57-22E9CF060DDD}"/>
            </a:ext>
          </a:extLst>
        </xdr:cNvPr>
        <xdr:cNvSpPr/>
      </xdr:nvSpPr>
      <xdr:spPr>
        <a:xfrm>
          <a:off x="13634357" y="2911930"/>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Cash: </a:t>
          </a:r>
          <a:r>
            <a:rPr lang="en-GB" sz="1100" b="0" u="none">
              <a:latin typeface="Arial" panose="020B0604020202020204" pitchFamily="34" charset="0"/>
              <a:cs typeface="Arial" panose="020B0604020202020204" pitchFamily="34" charset="0"/>
            </a:rPr>
            <a:t>Ensure closing cash in one period is the opening balance in the next period. Additionally, link up cash to balance sheet</a:t>
          </a:r>
          <a:r>
            <a:rPr lang="en-GB" sz="1100" b="0" u="none" baseline="0">
              <a:latin typeface="Arial" panose="020B0604020202020204" pitchFamily="34" charset="0"/>
              <a:cs typeface="Arial" panose="020B0604020202020204" pitchFamily="34" charset="0"/>
            </a:rPr>
            <a:t> from the schedule above. Lastly, calculate closing cash for each period.</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95250</xdr:colOff>
      <xdr:row>20</xdr:row>
      <xdr:rowOff>27215</xdr:rowOff>
    </xdr:from>
    <xdr:to>
      <xdr:col>17</xdr:col>
      <xdr:colOff>1162052</xdr:colOff>
      <xdr:row>22</xdr:row>
      <xdr:rowOff>108857</xdr:rowOff>
    </xdr:to>
    <xdr:sp macro="" textlink="">
      <xdr:nvSpPr>
        <xdr:cNvPr id="7" name="Rectangle: Rounded Corners 6">
          <a:extLst>
            <a:ext uri="{FF2B5EF4-FFF2-40B4-BE49-F238E27FC236}">
              <a16:creationId xmlns:a16="http://schemas.microsoft.com/office/drawing/2014/main" id="{FB61BEF9-EF76-45E7-B835-F98131A96AB4}"/>
            </a:ext>
          </a:extLst>
        </xdr:cNvPr>
        <xdr:cNvSpPr/>
      </xdr:nvSpPr>
      <xdr:spPr>
        <a:xfrm>
          <a:off x="13634357" y="4082144"/>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Debt: </a:t>
          </a:r>
          <a:r>
            <a:rPr lang="en-GB" sz="1100" b="0" u="none">
              <a:latin typeface="Arial" panose="020B0604020202020204" pitchFamily="34" charset="0"/>
              <a:cs typeface="Arial" panose="020B0604020202020204" pitchFamily="34" charset="0"/>
            </a:rPr>
            <a:t>Ensure closing debt in one period is the opening balance in the next period. Additionally, link up debt repayment </a:t>
          </a:r>
          <a:r>
            <a:rPr lang="en-GB" sz="1100" b="0" u="none" baseline="0">
              <a:latin typeface="Arial" panose="020B0604020202020204" pitchFamily="34" charset="0"/>
              <a:cs typeface="Arial" panose="020B0604020202020204" pitchFamily="34" charset="0"/>
            </a:rPr>
            <a:t>from the schedule above. Lastly, calculate closing debt for each period.</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topLeftCell="A6" zoomScaleNormal="100" zoomScaleSheetLayoutView="85" workbookViewId="0"/>
  </sheetViews>
  <sheetFormatPr defaultColWidth="20.6640625" defaultRowHeight="15" customHeight="1" x14ac:dyDescent="0.25"/>
  <cols>
    <col min="1" max="1" width="2.6640625" style="4" customWidth="1"/>
    <col min="2" max="3" width="50.6640625" style="4" customWidth="1"/>
    <col min="4" max="4" width="1.6640625" style="4" customWidth="1"/>
    <col min="5" max="16384" width="20.6640625" style="4"/>
  </cols>
  <sheetData>
    <row r="1" spans="2:3" s="1" customFormat="1" ht="35.25" customHeight="1" x14ac:dyDescent="0.3">
      <c r="B1" s="6" t="s">
        <v>28</v>
      </c>
    </row>
    <row r="3" spans="2:3" ht="40.049999999999997" customHeight="1" x14ac:dyDescent="0.25">
      <c r="B3" s="11" t="s">
        <v>29</v>
      </c>
      <c r="C3" s="12" t="s">
        <v>30</v>
      </c>
    </row>
    <row r="4" spans="2:3" ht="26.4" x14ac:dyDescent="0.25">
      <c r="B4" s="42" t="s">
        <v>32</v>
      </c>
      <c r="C4" s="43" t="s">
        <v>47</v>
      </c>
    </row>
    <row r="5" spans="2:3" ht="26.4" x14ac:dyDescent="0.25">
      <c r="B5" s="42" t="s">
        <v>34</v>
      </c>
      <c r="C5" s="43" t="s">
        <v>46</v>
      </c>
    </row>
    <row r="6" spans="2:3" ht="52.8" x14ac:dyDescent="0.25">
      <c r="B6" s="42" t="s">
        <v>13</v>
      </c>
      <c r="C6" s="43" t="s">
        <v>85</v>
      </c>
    </row>
    <row r="7" spans="2:3" ht="26.4" x14ac:dyDescent="0.25">
      <c r="B7" s="42" t="s">
        <v>31</v>
      </c>
      <c r="C7" s="43" t="s">
        <v>48</v>
      </c>
    </row>
    <row r="8" spans="2:3" ht="66" x14ac:dyDescent="0.25">
      <c r="B8" s="42" t="s">
        <v>38</v>
      </c>
      <c r="C8" s="43" t="s">
        <v>40</v>
      </c>
    </row>
    <row r="9" spans="2:3" ht="105.6" x14ac:dyDescent="0.25">
      <c r="B9" s="42" t="s">
        <v>4</v>
      </c>
      <c r="C9" s="43" t="s">
        <v>50</v>
      </c>
    </row>
    <row r="10" spans="2:3" ht="52.8" x14ac:dyDescent="0.25">
      <c r="B10" s="42" t="s">
        <v>5</v>
      </c>
      <c r="C10" s="43" t="s">
        <v>49</v>
      </c>
    </row>
    <row r="11" spans="2:3" ht="52.8" x14ac:dyDescent="0.25">
      <c r="B11" s="42" t="s">
        <v>86</v>
      </c>
      <c r="C11" s="43" t="s">
        <v>41</v>
      </c>
    </row>
    <row r="12" spans="2:3" ht="39.6" x14ac:dyDescent="0.25">
      <c r="B12" s="42" t="s">
        <v>26</v>
      </c>
      <c r="C12" s="43" t="s">
        <v>42</v>
      </c>
    </row>
    <row r="13" spans="2:3" ht="211.2" x14ac:dyDescent="0.25">
      <c r="B13" s="42" t="s">
        <v>35</v>
      </c>
      <c r="C13" s="43" t="s">
        <v>45</v>
      </c>
    </row>
    <row r="14" spans="2:3" ht="52.8" x14ac:dyDescent="0.25">
      <c r="B14" s="42" t="s">
        <v>21</v>
      </c>
      <c r="C14" s="43" t="s">
        <v>87</v>
      </c>
    </row>
    <row r="15" spans="2:3" ht="52.8" x14ac:dyDescent="0.25">
      <c r="B15" s="42" t="s">
        <v>25</v>
      </c>
      <c r="C15" s="43" t="s">
        <v>43</v>
      </c>
    </row>
    <row r="16" spans="2:3" ht="52.8" x14ac:dyDescent="0.25">
      <c r="B16" s="42" t="s">
        <v>39</v>
      </c>
      <c r="C16" s="43" t="s">
        <v>44</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zoomScaleNormal="100" zoomScaleSheetLayoutView="70" workbookViewId="0">
      <pane xSplit="3" ySplit="3" topLeftCell="E31" activePane="bottomRight" state="frozenSplit"/>
      <selection pane="topRight" activeCell="C1" sqref="C1"/>
      <selection pane="bottomLeft" activeCell="A3" sqref="A3"/>
      <selection pane="bottomRight" activeCell="E4" sqref="E4"/>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1:9" s="1" customFormat="1" ht="35.25" customHeight="1" x14ac:dyDescent="0.3">
      <c r="B1" s="6" t="s">
        <v>51</v>
      </c>
      <c r="C1" s="2"/>
      <c r="D1" s="2"/>
      <c r="E1" s="2"/>
    </row>
    <row r="3" spans="1: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25">
      <c r="D4" s="17"/>
      <c r="E4" s="17"/>
      <c r="F4" s="17"/>
      <c r="G4" s="17"/>
      <c r="H4" s="17"/>
      <c r="I4" s="17"/>
    </row>
    <row r="5" spans="1:9" s="8" customFormat="1" ht="15" customHeight="1" x14ac:dyDescent="0.25">
      <c r="A5" s="7" t="s">
        <v>0</v>
      </c>
      <c r="B5" s="7" t="s">
        <v>52</v>
      </c>
      <c r="D5" s="18"/>
      <c r="E5" s="18"/>
      <c r="F5" s="18"/>
      <c r="G5" s="18"/>
      <c r="H5" s="18"/>
      <c r="I5" s="18"/>
    </row>
    <row r="6" spans="1:9" ht="15" customHeight="1" x14ac:dyDescent="0.25">
      <c r="D6" s="17"/>
      <c r="E6" s="17"/>
      <c r="F6" s="17"/>
      <c r="G6" s="17"/>
      <c r="H6" s="17"/>
      <c r="I6" s="17"/>
    </row>
    <row r="7" spans="1:9" ht="15" customHeight="1" x14ac:dyDescent="0.25">
      <c r="B7" s="5" t="s">
        <v>7</v>
      </c>
      <c r="D7" s="17"/>
      <c r="E7" s="17"/>
      <c r="F7" s="17"/>
      <c r="G7" s="17"/>
      <c r="H7" s="17"/>
      <c r="I7" s="17"/>
    </row>
    <row r="8" spans="1:9" ht="15" customHeight="1" x14ac:dyDescent="0.25">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25">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25">
      <c r="D10" s="17"/>
      <c r="E10" s="17"/>
      <c r="F10" s="17"/>
      <c r="G10" s="17"/>
      <c r="H10" s="17"/>
      <c r="I10" s="17"/>
    </row>
    <row r="11" spans="1:9" ht="15" customHeight="1" x14ac:dyDescent="0.25">
      <c r="B11" s="5" t="s">
        <v>8</v>
      </c>
      <c r="D11" s="17"/>
      <c r="E11" s="17"/>
      <c r="F11" s="17"/>
      <c r="G11" s="17"/>
      <c r="H11" s="17"/>
      <c r="I11" s="17"/>
    </row>
    <row r="12" spans="1:9" ht="15" customHeight="1" x14ac:dyDescent="0.25">
      <c r="B12" s="4" t="s">
        <v>12</v>
      </c>
      <c r="C12" s="15" t="s">
        <v>3</v>
      </c>
      <c r="D12" s="19"/>
      <c r="E12" s="21">
        <v>60000</v>
      </c>
      <c r="F12" s="21">
        <f>E12*1.1</f>
        <v>66000</v>
      </c>
      <c r="G12" s="21">
        <f>F12*1.09</f>
        <v>71940</v>
      </c>
      <c r="H12" s="21">
        <f>G12*1.08</f>
        <v>77695.200000000012</v>
      </c>
      <c r="I12" s="21">
        <f>H12*1.07</f>
        <v>83133.864000000016</v>
      </c>
    </row>
    <row r="13" spans="1:9" ht="15" customHeight="1" x14ac:dyDescent="0.25">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25">
      <c r="D14" s="17"/>
      <c r="E14" s="17"/>
      <c r="F14" s="17"/>
      <c r="G14" s="17"/>
      <c r="H14" s="17"/>
      <c r="I14" s="17"/>
    </row>
    <row r="15" spans="1:9" ht="15" customHeight="1" x14ac:dyDescent="0.25">
      <c r="B15" s="5" t="s">
        <v>6</v>
      </c>
      <c r="D15" s="17"/>
      <c r="E15" s="17"/>
      <c r="F15" s="17"/>
      <c r="G15" s="17"/>
      <c r="H15" s="17"/>
      <c r="I15" s="17"/>
    </row>
    <row r="16" spans="1:9" ht="15" customHeight="1" x14ac:dyDescent="0.25">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25">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25">
      <c r="D18" s="17"/>
      <c r="E18" s="17"/>
      <c r="F18" s="17"/>
      <c r="G18" s="17"/>
      <c r="H18" s="17"/>
      <c r="I18" s="17"/>
    </row>
    <row r="19" spans="1:9" s="8" customFormat="1" ht="15" customHeight="1" x14ac:dyDescent="0.25">
      <c r="A19" s="7" t="s">
        <v>0</v>
      </c>
      <c r="B19" s="7" t="s">
        <v>53</v>
      </c>
      <c r="D19" s="18"/>
      <c r="E19" s="18"/>
      <c r="F19" s="18"/>
      <c r="G19" s="18"/>
      <c r="H19" s="18"/>
      <c r="I19" s="18"/>
    </row>
    <row r="20" spans="1:9" ht="15" customHeight="1" x14ac:dyDescent="0.25">
      <c r="D20" s="17"/>
      <c r="E20" s="17"/>
      <c r="F20" s="17"/>
      <c r="G20" s="17"/>
      <c r="H20" s="17"/>
      <c r="I20" s="17"/>
    </row>
    <row r="21" spans="1:9" ht="15" customHeight="1" x14ac:dyDescent="0.25">
      <c r="B21" s="5" t="s">
        <v>13</v>
      </c>
      <c r="D21" s="17"/>
      <c r="E21" s="17"/>
      <c r="F21" s="17"/>
      <c r="G21" s="17"/>
      <c r="H21" s="17"/>
      <c r="I21" s="17"/>
    </row>
    <row r="22" spans="1:9" ht="15" customHeight="1" x14ac:dyDescent="0.25">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25">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25">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5">
      <c r="D25" s="17"/>
      <c r="E25" s="17"/>
      <c r="F25" s="17"/>
      <c r="G25" s="17"/>
      <c r="H25" s="17"/>
      <c r="I25" s="17"/>
    </row>
    <row r="26" spans="1:9" ht="15" customHeight="1" x14ac:dyDescent="0.25">
      <c r="B26" s="5" t="s">
        <v>21</v>
      </c>
      <c r="D26" s="17"/>
      <c r="E26" s="17"/>
      <c r="F26" s="17"/>
      <c r="G26" s="17"/>
      <c r="H26" s="17"/>
      <c r="I26" s="17"/>
    </row>
    <row r="27" spans="1:9" ht="15" customHeight="1" x14ac:dyDescent="0.25">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25">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25">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25">
      <c r="B30" s="4" t="s">
        <v>20</v>
      </c>
      <c r="C30" s="15" t="s">
        <v>11</v>
      </c>
      <c r="D30" s="19"/>
      <c r="E30" s="21">
        <v>5000</v>
      </c>
      <c r="F30" s="21">
        <f>E30*1.05</f>
        <v>5250</v>
      </c>
      <c r="G30" s="21">
        <f t="shared" si="8"/>
        <v>5512.5</v>
      </c>
      <c r="H30" s="21">
        <f t="shared" si="8"/>
        <v>5788.125</v>
      </c>
      <c r="I30" s="21">
        <f t="shared" si="8"/>
        <v>6077.53125</v>
      </c>
    </row>
    <row r="31" spans="1:9" ht="15" customHeight="1" x14ac:dyDescent="0.25">
      <c r="D31" s="17"/>
      <c r="E31" s="17"/>
      <c r="F31" s="17"/>
      <c r="G31" s="17"/>
      <c r="H31" s="17"/>
      <c r="I31" s="17"/>
    </row>
    <row r="32" spans="1:9" ht="15" customHeight="1" x14ac:dyDescent="0.25">
      <c r="B32" s="5" t="s">
        <v>33</v>
      </c>
      <c r="D32" s="17"/>
      <c r="E32" s="17"/>
      <c r="F32" s="17"/>
      <c r="G32" s="17"/>
      <c r="H32" s="17"/>
      <c r="I32" s="17"/>
    </row>
    <row r="33" spans="1:9" ht="15" customHeight="1" x14ac:dyDescent="0.25">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5">
      <c r="D34" s="17"/>
      <c r="E34" s="17"/>
      <c r="F34" s="17"/>
      <c r="G34" s="17"/>
      <c r="H34" s="17"/>
      <c r="I34" s="17"/>
    </row>
    <row r="35" spans="1:9" s="8" customFormat="1" ht="15" customHeight="1" x14ac:dyDescent="0.25">
      <c r="A35" s="7" t="s">
        <v>0</v>
      </c>
      <c r="B35" s="7" t="s">
        <v>55</v>
      </c>
      <c r="D35" s="18"/>
      <c r="E35" s="18"/>
      <c r="F35" s="18"/>
      <c r="G35" s="18"/>
      <c r="H35" s="18"/>
      <c r="I35" s="18"/>
    </row>
    <row r="36" spans="1:9" ht="15" customHeight="1" x14ac:dyDescent="0.25">
      <c r="D36" s="17"/>
      <c r="E36" s="17"/>
      <c r="F36" s="17"/>
      <c r="G36" s="17"/>
      <c r="H36" s="17"/>
      <c r="I36" s="17"/>
    </row>
    <row r="37" spans="1:9" ht="15" customHeight="1" x14ac:dyDescent="0.25">
      <c r="B37" s="4" t="s">
        <v>82</v>
      </c>
      <c r="C37" s="15" t="s">
        <v>23</v>
      </c>
      <c r="D37" s="19"/>
      <c r="E37" s="38">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25">
      <c r="B38" s="4" t="s">
        <v>54</v>
      </c>
      <c r="C38" s="15" t="s">
        <v>23</v>
      </c>
      <c r="D38" s="19"/>
      <c r="E38" s="38">
        <v>-0.01</v>
      </c>
      <c r="F38" s="23">
        <v>-0.01</v>
      </c>
      <c r="G38" s="23">
        <v>-0.01</v>
      </c>
      <c r="H38" s="23">
        <v>-0.01</v>
      </c>
      <c r="I38" s="23">
        <v>-0.01</v>
      </c>
    </row>
    <row r="39" spans="1:9" ht="15" customHeight="1" x14ac:dyDescent="0.25">
      <c r="B39" s="4" t="s">
        <v>38</v>
      </c>
      <c r="C39" s="15" t="s">
        <v>1</v>
      </c>
      <c r="D39" s="19"/>
      <c r="E39" s="23">
        <v>0.6</v>
      </c>
      <c r="F39" s="23">
        <v>0.6</v>
      </c>
      <c r="G39" s="23">
        <v>0.6</v>
      </c>
      <c r="H39" s="23">
        <v>0.6</v>
      </c>
      <c r="I39" s="23">
        <v>0.6</v>
      </c>
    </row>
    <row r="40" spans="1:9" ht="15" customHeight="1" x14ac:dyDescent="0.25">
      <c r="D40" s="17"/>
      <c r="E40" s="17"/>
      <c r="F40" s="17"/>
      <c r="G40" s="17"/>
      <c r="H40" s="17"/>
      <c r="I40" s="17"/>
    </row>
    <row r="41" spans="1:9" s="8" customFormat="1" ht="15" customHeight="1" x14ac:dyDescent="0.25">
      <c r="A41" s="7" t="s">
        <v>0</v>
      </c>
      <c r="B41" s="7" t="s">
        <v>56</v>
      </c>
      <c r="D41" s="18"/>
      <c r="E41" s="18"/>
      <c r="F41" s="18"/>
      <c r="G41" s="18"/>
      <c r="H41" s="18"/>
      <c r="I41" s="18"/>
    </row>
    <row r="42" spans="1:9" ht="15" customHeight="1" x14ac:dyDescent="0.25">
      <c r="D42" s="17"/>
      <c r="E42" s="17"/>
      <c r="F42" s="17"/>
      <c r="G42" s="17"/>
      <c r="H42" s="17"/>
      <c r="I42" s="17"/>
    </row>
    <row r="43" spans="1:9" ht="15" customHeight="1" x14ac:dyDescent="0.25">
      <c r="B43" s="4" t="s">
        <v>2</v>
      </c>
      <c r="C43" s="15" t="s">
        <v>1</v>
      </c>
      <c r="D43" s="19"/>
      <c r="E43" s="23">
        <v>0.21</v>
      </c>
      <c r="F43" s="23">
        <v>0.21</v>
      </c>
      <c r="G43" s="23">
        <v>0.21</v>
      </c>
      <c r="H43" s="23">
        <v>0.21</v>
      </c>
      <c r="I43" s="23">
        <v>0.21</v>
      </c>
    </row>
    <row r="44" spans="1:9" ht="15" customHeight="1" x14ac:dyDescent="0.25">
      <c r="B44" s="4" t="s">
        <v>24</v>
      </c>
      <c r="C44" s="15" t="s">
        <v>1</v>
      </c>
      <c r="D44" s="19"/>
      <c r="E44" s="23">
        <v>0.04</v>
      </c>
      <c r="F44" s="23">
        <v>0.04</v>
      </c>
      <c r="G44" s="23">
        <v>0.04</v>
      </c>
      <c r="H44" s="23">
        <v>0.04</v>
      </c>
      <c r="I44" s="23">
        <v>0.04</v>
      </c>
    </row>
    <row r="45" spans="1:9" ht="15" customHeight="1" x14ac:dyDescent="0.25">
      <c r="B45" s="4" t="s">
        <v>27</v>
      </c>
      <c r="C45" s="15" t="s">
        <v>1</v>
      </c>
      <c r="D45" s="19"/>
      <c r="E45" s="23">
        <v>0.01</v>
      </c>
      <c r="F45" s="23">
        <v>0.01</v>
      </c>
      <c r="G45" s="23">
        <v>0.01</v>
      </c>
      <c r="H45" s="23">
        <v>0.01</v>
      </c>
      <c r="I45" s="23">
        <v>0.01</v>
      </c>
    </row>
    <row r="46" spans="1:9" ht="15" customHeight="1" x14ac:dyDescent="0.25">
      <c r="D46" s="17"/>
      <c r="E46" s="17"/>
      <c r="F46" s="17"/>
      <c r="G46" s="17"/>
      <c r="H46" s="17"/>
      <c r="I46" s="17"/>
    </row>
    <row r="47" spans="1:9" s="3" customFormat="1" ht="15" customHeight="1" x14ac:dyDescent="0.25">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zoomScaleNormal="100" zoomScaleSheetLayoutView="70" workbookViewId="0">
      <pane xSplit="3" ySplit="3" topLeftCell="E24" activePane="bottomRight" state="frozenSplit"/>
      <selection pane="topRight" activeCell="C1" sqref="C1"/>
      <selection pane="bottomLeft" activeCell="A3" sqref="A3"/>
      <selection pane="bottomRight" activeCell="I29" sqref="I29"/>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2:9" s="1" customFormat="1" ht="35.25" customHeight="1" x14ac:dyDescent="0.3">
      <c r="B1" s="6" t="s">
        <v>57</v>
      </c>
      <c r="C1" s="2"/>
      <c r="D1" s="2"/>
      <c r="E1" s="2"/>
    </row>
    <row r="3" spans="2: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2" t="s">
        <v>58</v>
      </c>
      <c r="C5" s="33" t="s">
        <v>11</v>
      </c>
      <c r="E5" s="30">
        <f>'Forecast Assumptions'!E8*'Forecast Assumptions'!E9</f>
        <v>400000</v>
      </c>
      <c r="F5" s="30">
        <f>'Forecast Assumptions'!F8*'Forecast Assumptions'!F9</f>
        <v>457600.00000000006</v>
      </c>
      <c r="G5" s="30">
        <f>'Forecast Assumptions'!G8*'Forecast Assumptions'!G9</f>
        <v>518735.36000000016</v>
      </c>
      <c r="H5" s="30">
        <f>'Forecast Assumptions'!H8*'Forecast Assumptions'!H9</f>
        <v>582643.55635200022</v>
      </c>
      <c r="I5" s="30">
        <f>'Forecast Assumptions'!I8*'Forecast Assumptions'!I9</f>
        <v>648365.74950850604</v>
      </c>
    </row>
    <row r="6" spans="2:9" ht="15" customHeight="1" x14ac:dyDescent="0.25">
      <c r="B6" s="32" t="s">
        <v>59</v>
      </c>
      <c r="C6" s="33" t="s">
        <v>11</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25">
      <c r="B7" s="32" t="s">
        <v>60</v>
      </c>
      <c r="C7" s="33"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25">
      <c r="B8" s="24" t="s">
        <v>61</v>
      </c>
      <c r="C8" s="25" t="s">
        <v>11</v>
      </c>
      <c r="D8" s="26"/>
      <c r="E8" s="39">
        <f t="shared" ref="E8:I8" si="1">SUM(E5:E7)</f>
        <v>705000</v>
      </c>
      <c r="F8" s="31">
        <f t="shared" si="1"/>
        <v>806520</v>
      </c>
      <c r="G8" s="31">
        <f t="shared" si="1"/>
        <v>914271.07200000016</v>
      </c>
      <c r="H8" s="31">
        <f t="shared" si="1"/>
        <v>1026909.2680704003</v>
      </c>
      <c r="I8" s="31">
        <f t="shared" si="1"/>
        <v>1142744.6335087419</v>
      </c>
    </row>
    <row r="9" spans="2:9" ht="15" customHeight="1" x14ac:dyDescent="0.25">
      <c r="B9" s="27" t="s">
        <v>62</v>
      </c>
      <c r="C9" s="15" t="s">
        <v>1</v>
      </c>
      <c r="E9" s="28"/>
      <c r="F9" s="29">
        <f t="shared" ref="F9:I9" si="2">F8/E8-1</f>
        <v>0.14399999999999991</v>
      </c>
      <c r="G9" s="29">
        <f t="shared" si="2"/>
        <v>0.13360000000000016</v>
      </c>
      <c r="H9" s="29">
        <f t="shared" si="2"/>
        <v>0.1232000000000002</v>
      </c>
      <c r="I9" s="29">
        <f t="shared" si="2"/>
        <v>0.11280000000000023</v>
      </c>
    </row>
    <row r="11" spans="2:9" ht="15" customHeight="1" x14ac:dyDescent="0.25">
      <c r="B11" s="32" t="s">
        <v>63</v>
      </c>
      <c r="C11" s="33" t="s">
        <v>11</v>
      </c>
      <c r="E11" s="30">
        <f>-'Forecast Assumptions'!E8*'Forecast Assumptions'!E22</f>
        <v>-150000</v>
      </c>
      <c r="F11" s="30">
        <f>-'Forecast Assumptions'!F8*'Forecast Assumptions'!F22</f>
        <v>-168300.00000000003</v>
      </c>
      <c r="G11" s="30">
        <f>-'Forecast Assumptions'!G8*'Forecast Assumptions'!G22</f>
        <v>-187115.94000000003</v>
      </c>
      <c r="H11" s="30">
        <f>-'Forecast Assumptions'!H8*'Forecast Assumptions'!H22</f>
        <v>-206126.91950400008</v>
      </c>
      <c r="I11" s="30">
        <f>-'Forecast Assumptions'!I8*'Forecast Assumptions'!I22</f>
        <v>-224966.9199466657</v>
      </c>
    </row>
    <row r="12" spans="2:9" ht="15" customHeight="1" x14ac:dyDescent="0.25">
      <c r="B12" s="32" t="s">
        <v>64</v>
      </c>
      <c r="C12" s="33" t="s">
        <v>11</v>
      </c>
      <c r="E12" s="30">
        <f>-'Forecast Assumptions'!E12*'Forecast Assumptions'!E23</f>
        <v>-48000</v>
      </c>
      <c r="F12" s="30">
        <f>-'Forecast Assumptions'!F12*'Forecast Assumptions'!F23</f>
        <v>-53856.000000000007</v>
      </c>
      <c r="G12" s="30">
        <f>-'Forecast Assumptions'!G12*'Forecast Assumptions'!G23</f>
        <v>-59877.100800000007</v>
      </c>
      <c r="H12" s="30">
        <f>-'Forecast Assumptions'!H12*'Forecast Assumptions'!H23</f>
        <v>-65960.614241280025</v>
      </c>
      <c r="I12" s="30">
        <f>-'Forecast Assumptions'!I12*'Forecast Assumptions'!I23</f>
        <v>-71989.414382933013</v>
      </c>
    </row>
    <row r="13" spans="2:9" ht="15" customHeight="1" x14ac:dyDescent="0.25">
      <c r="B13" s="32" t="s">
        <v>65</v>
      </c>
      <c r="C13" s="33" t="s">
        <v>11</v>
      </c>
      <c r="E13" s="30">
        <f>-'Forecast Assumptions'!E16*'Forecast Assumptions'!E24</f>
        <v>-55000.000000000007</v>
      </c>
      <c r="F13" s="30">
        <f>-'Forecast Assumptions'!F16*'Forecast Assumptions'!F24</f>
        <v>-61710.000000000015</v>
      </c>
      <c r="G13" s="30">
        <f>-'Forecast Assumptions'!G16*'Forecast Assumptions'!G24</f>
        <v>-68609.178000000029</v>
      </c>
      <c r="H13" s="30">
        <f>-'Forecast Assumptions'!H16*'Forecast Assumptions'!H24</f>
        <v>-75579.870484800034</v>
      </c>
      <c r="I13" s="30">
        <f>-'Forecast Assumptions'!I16*'Forecast Assumptions'!I24</f>
        <v>-82487.870647110773</v>
      </c>
    </row>
    <row r="14" spans="2:9" ht="15" customHeight="1" x14ac:dyDescent="0.25">
      <c r="B14" s="24" t="s">
        <v>66</v>
      </c>
      <c r="C14" s="25" t="s">
        <v>11</v>
      </c>
      <c r="D14" s="26"/>
      <c r="E14" s="31">
        <f>SUM(E8,E11:E13)</f>
        <v>452000</v>
      </c>
      <c r="F14" s="31">
        <f t="shared" ref="F14:I14" si="3">SUM(F8,F11:F13)</f>
        <v>522654</v>
      </c>
      <c r="G14" s="31">
        <f t="shared" si="3"/>
        <v>598668.85320000001</v>
      </c>
      <c r="H14" s="31">
        <f t="shared" si="3"/>
        <v>679241.86384032015</v>
      </c>
      <c r="I14" s="31">
        <f t="shared" si="3"/>
        <v>763300.42853203241</v>
      </c>
    </row>
    <row r="15" spans="2:9" ht="15" customHeight="1" x14ac:dyDescent="0.25">
      <c r="B15" s="27" t="s">
        <v>67</v>
      </c>
      <c r="C15" s="15" t="s">
        <v>1</v>
      </c>
      <c r="E15" s="29">
        <f>E14/E$8</f>
        <v>0.64113475177304968</v>
      </c>
      <c r="F15" s="29">
        <f t="shared" ref="F15:I15" si="4">F14/F$8</f>
        <v>0.64803600654664484</v>
      </c>
      <c r="G15" s="29">
        <f t="shared" si="4"/>
        <v>0.65480454488228623</v>
      </c>
      <c r="H15" s="29">
        <f t="shared" si="4"/>
        <v>0.6614429190191653</v>
      </c>
      <c r="I15" s="29">
        <f t="shared" si="4"/>
        <v>0.66795363211495073</v>
      </c>
    </row>
    <row r="17" spans="2:10" ht="15" customHeight="1" x14ac:dyDescent="0.25">
      <c r="B17" s="32" t="s">
        <v>17</v>
      </c>
      <c r="C17" s="33" t="s">
        <v>11</v>
      </c>
      <c r="E17" s="30">
        <f>-'Forecast Assumptions'!E27</f>
        <v>-150000</v>
      </c>
      <c r="F17" s="30">
        <f>-'Forecast Assumptions'!F27</f>
        <v>-157500</v>
      </c>
      <c r="G17" s="30">
        <f>-'Forecast Assumptions'!G27</f>
        <v>-165375</v>
      </c>
      <c r="H17" s="30">
        <f>-'Forecast Assumptions'!H27</f>
        <v>-173643.75</v>
      </c>
      <c r="I17" s="30">
        <f>-'Forecast Assumptions'!I27</f>
        <v>-182325.9375</v>
      </c>
    </row>
    <row r="18" spans="2:10" ht="15" customHeight="1" x14ac:dyDescent="0.25">
      <c r="B18" s="32" t="s">
        <v>19</v>
      </c>
      <c r="C18" s="33" t="s">
        <v>11</v>
      </c>
      <c r="E18" s="30">
        <f>-'Forecast Assumptions'!E28</f>
        <v>-60000</v>
      </c>
      <c r="F18" s="30">
        <f>-'Forecast Assumptions'!F28</f>
        <v>-61800</v>
      </c>
      <c r="G18" s="30">
        <f>-'Forecast Assumptions'!G28</f>
        <v>-63654</v>
      </c>
      <c r="H18" s="30">
        <f>-'Forecast Assumptions'!H28</f>
        <v>-65563.62</v>
      </c>
      <c r="I18" s="30">
        <f>-'Forecast Assumptions'!I28</f>
        <v>-67530.528599999991</v>
      </c>
    </row>
    <row r="19" spans="2:10" ht="15" customHeight="1" x14ac:dyDescent="0.25">
      <c r="B19" s="32" t="s">
        <v>18</v>
      </c>
      <c r="C19" s="33" t="s">
        <v>11</v>
      </c>
      <c r="E19" s="30">
        <f>-'Forecast Assumptions'!E29</f>
        <v>-10000</v>
      </c>
      <c r="F19" s="30">
        <f>-'Forecast Assumptions'!F29</f>
        <v>-10500</v>
      </c>
      <c r="G19" s="30">
        <f>-'Forecast Assumptions'!G29</f>
        <v>-11025</v>
      </c>
      <c r="H19" s="30">
        <f>-'Forecast Assumptions'!H29</f>
        <v>-11576.25</v>
      </c>
      <c r="I19" s="30">
        <f>-'Forecast Assumptions'!I29</f>
        <v>-12155.0625</v>
      </c>
    </row>
    <row r="20" spans="2:10" ht="15" customHeight="1" x14ac:dyDescent="0.25">
      <c r="B20" s="32" t="s">
        <v>20</v>
      </c>
      <c r="C20" s="33" t="s">
        <v>11</v>
      </c>
      <c r="E20" s="30">
        <f>-'Forecast Assumptions'!E30</f>
        <v>-5000</v>
      </c>
      <c r="F20" s="30">
        <f>-'Forecast Assumptions'!F30</f>
        <v>-5250</v>
      </c>
      <c r="G20" s="30">
        <f>-'Forecast Assumptions'!G30</f>
        <v>-5512.5</v>
      </c>
      <c r="H20" s="30">
        <f>-'Forecast Assumptions'!H30</f>
        <v>-5788.125</v>
      </c>
      <c r="I20" s="30">
        <f>-'Forecast Assumptions'!I30</f>
        <v>-6077.53125</v>
      </c>
    </row>
    <row r="21" spans="2:10" ht="15" customHeight="1" x14ac:dyDescent="0.25">
      <c r="B21" s="24" t="s">
        <v>4</v>
      </c>
      <c r="C21" s="25" t="s">
        <v>11</v>
      </c>
      <c r="D21" s="26"/>
      <c r="E21" s="31">
        <f t="shared" ref="E21:I21" si="5">SUM(E14,E17:E20)</f>
        <v>227000</v>
      </c>
      <c r="F21" s="31">
        <f t="shared" si="5"/>
        <v>287604</v>
      </c>
      <c r="G21" s="31">
        <f>SUM(G14,G17:G20)</f>
        <v>353102.35320000001</v>
      </c>
      <c r="H21" s="31">
        <f t="shared" si="5"/>
        <v>422670.11884032015</v>
      </c>
      <c r="I21" s="31">
        <f t="shared" si="5"/>
        <v>495211.36868203245</v>
      </c>
    </row>
    <row r="22" spans="2:10" ht="15" customHeight="1" x14ac:dyDescent="0.25">
      <c r="B22" s="27" t="s">
        <v>67</v>
      </c>
      <c r="C22" s="15" t="s">
        <v>1</v>
      </c>
      <c r="E22" s="29">
        <f>E21/E$8</f>
        <v>0.3219858156028369</v>
      </c>
      <c r="F22" s="29">
        <f t="shared" ref="F22:I22" si="6">F21/F$8</f>
        <v>0.35659872042850765</v>
      </c>
      <c r="G22" s="29">
        <f t="shared" si="6"/>
        <v>0.38621188399582213</v>
      </c>
      <c r="H22" s="29">
        <f t="shared" si="6"/>
        <v>0.41159441440676897</v>
      </c>
      <c r="I22" s="29">
        <f t="shared" si="6"/>
        <v>0.43335260928901498</v>
      </c>
    </row>
    <row r="24" spans="2:10" ht="15" customHeight="1" x14ac:dyDescent="0.25">
      <c r="B24" s="32" t="s">
        <v>68</v>
      </c>
      <c r="C24" s="33" t="s">
        <v>11</v>
      </c>
      <c r="E24" s="30">
        <f>'Forecast Assumptions'!E33*E8</f>
        <v>-35250</v>
      </c>
      <c r="F24" s="30">
        <f>'Forecast Assumptions'!F33*F8</f>
        <v>-38309.699999999997</v>
      </c>
      <c r="G24" s="30">
        <f>'Forecast Assumptions'!G33*G8</f>
        <v>-41142.198240000005</v>
      </c>
      <c r="H24" s="30">
        <f>'Forecast Assumptions'!H33*H8</f>
        <v>-43643.643892992011</v>
      </c>
      <c r="I24" s="30">
        <f>'Forecast Assumptions'!I33*I8</f>
        <v>-45709.78534034967</v>
      </c>
      <c r="J24" s="32"/>
    </row>
    <row r="25" spans="2:10" ht="15" customHeight="1" x14ac:dyDescent="0.25">
      <c r="B25" s="24" t="s">
        <v>69</v>
      </c>
      <c r="C25" s="25" t="s">
        <v>11</v>
      </c>
      <c r="D25" s="26"/>
      <c r="E25" s="31">
        <f t="shared" ref="E25:I25" si="7">SUM(E21,E24)</f>
        <v>191750</v>
      </c>
      <c r="F25" s="31">
        <f>SUM(F21,F24)</f>
        <v>249294.3</v>
      </c>
      <c r="G25" s="31">
        <f t="shared" si="7"/>
        <v>311960.15496000001</v>
      </c>
      <c r="H25" s="31">
        <f t="shared" si="7"/>
        <v>379026.47494732816</v>
      </c>
      <c r="I25" s="31">
        <f t="shared" si="7"/>
        <v>449501.5833416828</v>
      </c>
      <c r="J25" s="32"/>
    </row>
    <row r="26" spans="2:10" ht="15" customHeight="1" x14ac:dyDescent="0.25">
      <c r="B26" s="27" t="s">
        <v>67</v>
      </c>
      <c r="C26" s="15" t="s">
        <v>1</v>
      </c>
      <c r="E26" s="29">
        <f>E25/E$8</f>
        <v>0.27198581560283686</v>
      </c>
      <c r="F26" s="29">
        <f t="shared" ref="F26:I26" si="8">F25/F$8</f>
        <v>0.30909872042850767</v>
      </c>
      <c r="G26" s="29">
        <f t="shared" si="8"/>
        <v>0.34121188399582214</v>
      </c>
      <c r="H26" s="29">
        <f t="shared" si="8"/>
        <v>0.36909441440676899</v>
      </c>
      <c r="I26" s="29">
        <f t="shared" si="8"/>
        <v>0.393352609289015</v>
      </c>
      <c r="J26" s="32"/>
    </row>
    <row r="28" spans="2:10" ht="15" customHeight="1" x14ac:dyDescent="0.25">
      <c r="B28" s="4" t="s">
        <v>70</v>
      </c>
      <c r="C28" s="15" t="s">
        <v>11</v>
      </c>
      <c r="E28" s="30">
        <f>'Cash Flow Forecast'!E9</f>
        <v>-15850</v>
      </c>
      <c r="F28" s="30">
        <f ca="1">'Cash Flow Forecast'!F9</f>
        <v>0</v>
      </c>
      <c r="G28" s="30">
        <f ca="1">'Cash Flow Forecast'!G9</f>
        <v>0</v>
      </c>
      <c r="H28" s="30">
        <f ca="1">'Cash Flow Forecast'!H9</f>
        <v>0</v>
      </c>
      <c r="I28" s="30">
        <f ca="1">'Cash Flow Forecast'!I9</f>
        <v>0</v>
      </c>
    </row>
    <row r="29" spans="2:10" ht="15" customHeight="1" x14ac:dyDescent="0.25">
      <c r="B29" s="24" t="s">
        <v>71</v>
      </c>
      <c r="C29" s="25" t="s">
        <v>11</v>
      </c>
      <c r="D29" s="26"/>
      <c r="E29" s="26">
        <f t="shared" ref="E29" si="9">SUM(E25,E28)</f>
        <v>175900</v>
      </c>
      <c r="F29" s="26">
        <f ca="1">SUM(F25,F28)</f>
        <v>249294.3</v>
      </c>
      <c r="G29" s="26">
        <f t="shared" ref="G29:I29" ca="1" si="10">SUM(G25,G28)</f>
        <v>311960.15496000001</v>
      </c>
      <c r="H29" s="26">
        <f t="shared" ca="1" si="10"/>
        <v>379026.47494732816</v>
      </c>
      <c r="I29" s="26">
        <f t="shared" ca="1" si="10"/>
        <v>449501.5833416828</v>
      </c>
    </row>
    <row r="30" spans="2:10" ht="15" customHeight="1" x14ac:dyDescent="0.25">
      <c r="B30" s="27" t="s">
        <v>67</v>
      </c>
      <c r="C30" s="15" t="s">
        <v>1</v>
      </c>
      <c r="E30" s="28">
        <f>E29/E$8</f>
        <v>0.24950354609929079</v>
      </c>
      <c r="F30" s="28">
        <f t="shared" ref="F30:I30" ca="1" si="11">F29/F$8</f>
        <v>0.30909872042850767</v>
      </c>
      <c r="G30" s="28">
        <f t="shared" ca="1" si="11"/>
        <v>0.34121188399582214</v>
      </c>
      <c r="H30" s="28">
        <f t="shared" ca="1" si="11"/>
        <v>0.36909441440676899</v>
      </c>
      <c r="I30" s="28">
        <f t="shared" ca="1" si="11"/>
        <v>0.393352609289015</v>
      </c>
    </row>
    <row r="32" spans="2:10" ht="15" customHeight="1" x14ac:dyDescent="0.25">
      <c r="B32" s="32" t="s">
        <v>72</v>
      </c>
      <c r="C32" s="33" t="s">
        <v>11</v>
      </c>
      <c r="E32" s="30">
        <f>-'Forecast Assumptions'!E43*'P&amp;L Forecast'!E29</f>
        <v>-36939</v>
      </c>
      <c r="F32" s="30">
        <f ca="1">-'Forecast Assumptions'!F43*'P&amp;L Forecast'!F29</f>
        <v>-52351.802999999993</v>
      </c>
      <c r="G32" s="30">
        <f ca="1">-'Forecast Assumptions'!G43*'P&amp;L Forecast'!G29</f>
        <v>-65511.632541600004</v>
      </c>
      <c r="H32" s="30">
        <f ca="1">-'Forecast Assumptions'!H43*'P&amp;L Forecast'!H29</f>
        <v>-79595.559738938915</v>
      </c>
      <c r="I32" s="30">
        <f ca="1">-'Forecast Assumptions'!I43*'P&amp;L Forecast'!I29</f>
        <v>-94395.332501753379</v>
      </c>
    </row>
    <row r="33" spans="1:9" ht="15" customHeight="1" x14ac:dyDescent="0.25">
      <c r="B33" s="24" t="s">
        <v>73</v>
      </c>
      <c r="C33" s="25" t="s">
        <v>11</v>
      </c>
      <c r="D33" s="26"/>
      <c r="E33" s="31">
        <f t="shared" ref="E33" si="12">SUM(E29,E32)</f>
        <v>138961</v>
      </c>
      <c r="F33" s="31">
        <f ca="1">SUM(F29,F32)</f>
        <v>196942.497</v>
      </c>
      <c r="G33" s="31">
        <f t="shared" ref="G33:I33" ca="1" si="13">SUM(G29,G32)</f>
        <v>246448.52241840001</v>
      </c>
      <c r="H33" s="31">
        <f t="shared" ca="1" si="13"/>
        <v>299430.91520838923</v>
      </c>
      <c r="I33" s="31">
        <f t="shared" ca="1" si="13"/>
        <v>355106.25083992945</v>
      </c>
    </row>
    <row r="34" spans="1:9" ht="15" customHeight="1" x14ac:dyDescent="0.25">
      <c r="B34" s="27" t="s">
        <v>67</v>
      </c>
      <c r="C34" s="15" t="s">
        <v>1</v>
      </c>
      <c r="E34" s="29">
        <f>E33/E$8</f>
        <v>0.19710780141843973</v>
      </c>
      <c r="F34" s="29">
        <f t="shared" ref="F34:I34" ca="1" si="14">F33/F$8</f>
        <v>0.24418798913852105</v>
      </c>
      <c r="G34" s="29">
        <f t="shared" ca="1" si="14"/>
        <v>0.26955738835669951</v>
      </c>
      <c r="H34" s="29">
        <f t="shared" ca="1" si="14"/>
        <v>0.29158458738134746</v>
      </c>
      <c r="I34" s="29">
        <f t="shared" ca="1" si="14"/>
        <v>0.3107485613383219</v>
      </c>
    </row>
    <row r="36" spans="1:9" ht="15" customHeight="1" x14ac:dyDescent="0.25">
      <c r="B36" s="32" t="s">
        <v>38</v>
      </c>
      <c r="C36" s="33" t="s">
        <v>1</v>
      </c>
      <c r="E36" s="34">
        <f>'Forecast Assumptions'!E39</f>
        <v>0.6</v>
      </c>
      <c r="F36" s="34">
        <f>'Forecast Assumptions'!F39</f>
        <v>0.6</v>
      </c>
      <c r="G36" s="34">
        <f>'Forecast Assumptions'!G39</f>
        <v>0.6</v>
      </c>
      <c r="H36" s="34">
        <f>'Forecast Assumptions'!H39</f>
        <v>0.6</v>
      </c>
      <c r="I36" s="34">
        <f>'Forecast Assumptions'!I39</f>
        <v>0.6</v>
      </c>
    </row>
    <row r="37" spans="1:9" ht="15" customHeight="1" x14ac:dyDescent="0.25">
      <c r="B37" s="24" t="s">
        <v>74</v>
      </c>
      <c r="C37" s="25" t="s">
        <v>11</v>
      </c>
      <c r="D37" s="26"/>
      <c r="E37" s="31">
        <f t="shared" ref="E37:I37" si="15">E33*E36</f>
        <v>83376.599999999991</v>
      </c>
      <c r="F37" s="31">
        <f t="shared" ca="1" si="15"/>
        <v>118165.4982</v>
      </c>
      <c r="G37" s="31">
        <f t="shared" ca="1" si="15"/>
        <v>147869.11345104</v>
      </c>
      <c r="H37" s="31">
        <f t="shared" ca="1" si="15"/>
        <v>179658.54912503352</v>
      </c>
      <c r="I37" s="31">
        <f t="shared" ca="1" si="15"/>
        <v>213063.75050395765</v>
      </c>
    </row>
    <row r="38" spans="1:9" ht="15" customHeight="1" x14ac:dyDescent="0.25">
      <c r="D38" s="17"/>
      <c r="E38" s="17"/>
      <c r="F38" s="17"/>
      <c r="G38" s="17"/>
      <c r="H38" s="17"/>
      <c r="I38" s="17"/>
    </row>
    <row r="39" spans="1:9" s="3" customFormat="1" ht="15" customHeight="1" x14ac:dyDescent="0.25">
      <c r="A39" s="2" t="s">
        <v>0</v>
      </c>
      <c r="B39" s="2" t="s">
        <v>37</v>
      </c>
    </row>
  </sheetData>
  <pageMargins left="0.7" right="0.7" top="0.75" bottom="0.75" header="0.3" footer="0.3"/>
  <pageSetup paperSize="9" scale="18" orientation="portrait" horizontalDpi="4294967293"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F0793-C004-4F13-B500-3BCA275926A4}">
  <dimension ref="A1:I25"/>
  <sheetViews>
    <sheetView showGridLines="0" tabSelected="1" zoomScaleNormal="100" zoomScaleSheetLayoutView="70" workbookViewId="0">
      <pane xSplit="3" ySplit="3" topLeftCell="D8" activePane="bottomRight" state="frozenSplit"/>
      <selection pane="topRight" activeCell="C1" sqref="C1"/>
      <selection pane="bottomLeft" activeCell="A3" sqref="A3"/>
      <selection pane="bottomRight" activeCell="E10" sqref="E10"/>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customWidth="1" outlineLevel="1"/>
    <col min="5" max="9" width="23.33203125" style="4" bestFit="1" customWidth="1"/>
    <col min="10" max="10" width="1.6640625" style="4" customWidth="1"/>
    <col min="11" max="16384" width="20.6640625" style="4"/>
  </cols>
  <sheetData>
    <row r="1" spans="2:9" s="1" customFormat="1" ht="35.25" customHeight="1" x14ac:dyDescent="0.3">
      <c r="B1" s="6" t="s">
        <v>75</v>
      </c>
      <c r="C1" s="2"/>
      <c r="D1" s="2"/>
      <c r="E1" s="2"/>
    </row>
    <row r="3" spans="2: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2" t="s">
        <v>4</v>
      </c>
      <c r="C5" s="33" t="s">
        <v>11</v>
      </c>
      <c r="E5" s="30" cm="1">
        <f t="array" ref="E5:I5">'P&amp;L Forecast'!E21:I21</f>
        <v>227000</v>
      </c>
      <c r="F5" s="30">
        <v>287604</v>
      </c>
      <c r="G5" s="30">
        <v>353102.35320000001</v>
      </c>
      <c r="H5" s="30">
        <v>422670.11884032015</v>
      </c>
      <c r="I5" s="30">
        <v>495211.36868203245</v>
      </c>
    </row>
    <row r="6" spans="2:9" ht="15" customHeight="1" x14ac:dyDescent="0.25">
      <c r="B6" s="32" t="s">
        <v>88</v>
      </c>
      <c r="C6" s="33" t="s">
        <v>11</v>
      </c>
      <c r="E6" s="30" cm="1">
        <f t="array" aca="1" ref="E6:I6" ca="1">'P&amp;L Forecast'!E32:I32</f>
        <v>-36939</v>
      </c>
      <c r="F6" s="30">
        <f ca="1"/>
        <v>-52351.802999999993</v>
      </c>
      <c r="G6" s="30">
        <f ca="1"/>
        <v>-65511.632541600004</v>
      </c>
      <c r="H6" s="30">
        <f ca="1"/>
        <v>-79595.559738938915</v>
      </c>
      <c r="I6" s="30">
        <f ca="1"/>
        <v>-94395.332501753379</v>
      </c>
    </row>
    <row r="7" spans="2:9" ht="15" customHeight="1" x14ac:dyDescent="0.25">
      <c r="B7" s="32" t="s">
        <v>89</v>
      </c>
      <c r="C7" s="33" t="s">
        <v>11</v>
      </c>
      <c r="E7" s="40">
        <f>'P&amp;L Forecast'!E37*-1</f>
        <v>-83376.599999999991</v>
      </c>
      <c r="F7" s="40">
        <f ca="1">'P&amp;L Forecast'!F37*-1</f>
        <v>-118165.4982</v>
      </c>
      <c r="G7" s="40">
        <f ca="1">'P&amp;L Forecast'!G37*-1</f>
        <v>-147869.11345104</v>
      </c>
      <c r="H7" s="40">
        <f ca="1">'P&amp;L Forecast'!H37*-1</f>
        <v>-179658.54912503352</v>
      </c>
      <c r="I7" s="40">
        <f ca="1">'P&amp;L Forecast'!I37*-1</f>
        <v>-213063.75050395765</v>
      </c>
    </row>
    <row r="8" spans="2:9" ht="15" customHeight="1" x14ac:dyDescent="0.25">
      <c r="B8" s="32" t="s">
        <v>90</v>
      </c>
      <c r="C8" s="33" t="s">
        <v>11</v>
      </c>
      <c r="E8" s="30">
        <f>'Forecast Assumptions'!E38*'P&amp;L Forecast'!E8</f>
        <v>-7050</v>
      </c>
      <c r="F8" s="30">
        <f>'Forecast Assumptions'!F38*'P&amp;L Forecast'!F8</f>
        <v>-8065.2</v>
      </c>
      <c r="G8" s="30">
        <f>'Forecast Assumptions'!G38*'P&amp;L Forecast'!G8</f>
        <v>-9142.7107200000009</v>
      </c>
      <c r="H8" s="30">
        <f>'Forecast Assumptions'!E38*'P&amp;L Forecast'!H8</f>
        <v>-10269.092680704003</v>
      </c>
      <c r="I8" s="30">
        <f>'Forecast Assumptions'!F38*'P&amp;L Forecast'!I8</f>
        <v>-11427.446335087419</v>
      </c>
    </row>
    <row r="9" spans="2:9" ht="15" customHeight="1" x14ac:dyDescent="0.25">
      <c r="B9" s="32" t="s">
        <v>70</v>
      </c>
      <c r="C9" s="33" t="s">
        <v>11</v>
      </c>
      <c r="E9" s="40">
        <f>(E15*'Forecast Assumptions'!E45)-('Forecast Assumptions'!E44*'Cash Flow Forecast'!D23)</f>
        <v>-15850</v>
      </c>
      <c r="F9" s="40">
        <f ca="1">(F15*'Forecast Assumptions'!F45)-('Forecast Assumptions'!F44*'Cash Flow Forecast'!E23)</f>
        <v>-15850</v>
      </c>
      <c r="G9" s="40">
        <f ca="1">(G15*'Forecast Assumptions'!G45)-('Forecast Assumptions'!G44*'Cash Flow Forecast'!F23)</f>
        <v>-15850</v>
      </c>
      <c r="H9" s="40">
        <f ca="1">(H15*'Forecast Assumptions'!H45)-('Forecast Assumptions'!H44*'Cash Flow Forecast'!G23)</f>
        <v>-15850</v>
      </c>
      <c r="I9" s="40">
        <f ca="1">(I15*'Forecast Assumptions'!I45)-('Forecast Assumptions'!I44*'Cash Flow Forecast'!H23)</f>
        <v>-15850</v>
      </c>
    </row>
    <row r="10" spans="2:9" ht="15" customHeight="1" x14ac:dyDescent="0.25">
      <c r="B10" s="32" t="s">
        <v>91</v>
      </c>
      <c r="C10" s="33" t="s">
        <v>11</v>
      </c>
      <c r="E10" s="30">
        <f>'Forecast Assumptions'!E37*'P&amp;L Forecast'!E8</f>
        <v>-35250</v>
      </c>
      <c r="F10" s="30">
        <f>'Forecast Assumptions'!F33*'P&amp;L Forecast'!F8</f>
        <v>-38309.699999999997</v>
      </c>
      <c r="G10" s="30">
        <f>'Forecast Assumptions'!G33*'P&amp;L Forecast'!G8</f>
        <v>-41142.198240000005</v>
      </c>
      <c r="H10" s="30">
        <f>'Forecast Assumptions'!H33*'P&amp;L Forecast'!H8</f>
        <v>-43643.643892992011</v>
      </c>
      <c r="I10" s="30">
        <f>'Forecast Assumptions'!I37*'P&amp;L Forecast'!I8</f>
        <v>-45709.78534034967</v>
      </c>
    </row>
    <row r="11" spans="2:9" ht="15" customHeight="1" x14ac:dyDescent="0.25">
      <c r="B11" s="24" t="s">
        <v>76</v>
      </c>
      <c r="C11" s="25" t="s">
        <v>11</v>
      </c>
      <c r="D11" s="24"/>
      <c r="E11" s="37">
        <f ca="1">SUM(E5:E10)</f>
        <v>48534.400000000009</v>
      </c>
      <c r="F11" s="37">
        <f ca="1">SUM(F5:F10)</f>
        <v>54861.798800000019</v>
      </c>
      <c r="G11" s="37">
        <f ca="1">SUM(G5:G10)</f>
        <v>73586.698247359978</v>
      </c>
      <c r="H11" s="37">
        <f ca="1">SUM(H5:H10)</f>
        <v>93653.273402651699</v>
      </c>
      <c r="I11" s="37">
        <f ca="1">SUM(I5:I10)</f>
        <v>114765.05400088437</v>
      </c>
    </row>
    <row r="12" spans="2:9" ht="15" customHeight="1" x14ac:dyDescent="0.25">
      <c r="B12" s="4" t="s">
        <v>81</v>
      </c>
      <c r="C12" s="15" t="s">
        <v>11</v>
      </c>
      <c r="D12" s="11"/>
      <c r="E12" s="41">
        <f ca="1">IF(E21&gt;E11,-E11,-E21)</f>
        <v>-48534.400000000009</v>
      </c>
      <c r="F12" s="41">
        <f ca="1">IF(F21&gt;F11,-F11,-F21)</f>
        <v>-54861.798800000019</v>
      </c>
      <c r="G12" s="41">
        <f ca="1">IF(G21&gt;G11,-G11,-G21)</f>
        <v>-73586.698247359978</v>
      </c>
      <c r="H12" s="41">
        <f ca="1">IF(H21&gt;H11,-H11,-H21)</f>
        <v>-93653.273402651699</v>
      </c>
      <c r="I12" s="41">
        <f ca="1">IF(I21&gt;I11,-I11,-I21)</f>
        <v>-114765.05400088437</v>
      </c>
    </row>
    <row r="13" spans="2:9" ht="15" customHeight="1" x14ac:dyDescent="0.25">
      <c r="B13" s="24" t="s">
        <v>83</v>
      </c>
      <c r="C13" s="25" t="s">
        <v>11</v>
      </c>
      <c r="D13" s="24"/>
      <c r="E13" s="36">
        <f ca="1">SUM(E11:E12)</f>
        <v>0</v>
      </c>
      <c r="F13" s="36">
        <f t="shared" ref="F13:I13" ca="1" si="1">SUM(F11:F12)</f>
        <v>0</v>
      </c>
      <c r="G13" s="36">
        <f t="shared" ca="1" si="1"/>
        <v>0</v>
      </c>
      <c r="H13" s="36">
        <f t="shared" ca="1" si="1"/>
        <v>0</v>
      </c>
      <c r="I13" s="36">
        <f t="shared" ca="1" si="1"/>
        <v>0</v>
      </c>
    </row>
    <row r="15" spans="2:9" ht="15" customHeight="1" x14ac:dyDescent="0.25">
      <c r="B15" s="4" t="s">
        <v>79</v>
      </c>
      <c r="C15" s="15" t="s">
        <v>11</v>
      </c>
      <c r="E15" s="41">
        <f>D17</f>
        <v>15000</v>
      </c>
      <c r="F15" s="41">
        <f ca="1">E17</f>
        <v>15000</v>
      </c>
      <c r="G15" s="41">
        <f ca="1">F17</f>
        <v>15000</v>
      </c>
      <c r="H15" s="41">
        <f ca="1">G17</f>
        <v>15000</v>
      </c>
      <c r="I15" s="41">
        <f ca="1">H17</f>
        <v>15000</v>
      </c>
    </row>
    <row r="16" spans="2:9" ht="15" customHeight="1" x14ac:dyDescent="0.25">
      <c r="B16" s="4" t="s">
        <v>83</v>
      </c>
      <c r="C16" s="15" t="s">
        <v>11</v>
      </c>
      <c r="E16" s="41">
        <f ca="1">E13</f>
        <v>0</v>
      </c>
      <c r="F16" s="41">
        <f ca="1">F13</f>
        <v>0</v>
      </c>
      <c r="G16" s="41">
        <f ca="1">G13</f>
        <v>0</v>
      </c>
      <c r="H16" s="41">
        <f ca="1">H13</f>
        <v>0</v>
      </c>
      <c r="I16" s="41">
        <f ca="1">I13</f>
        <v>0</v>
      </c>
    </row>
    <row r="17" spans="1:9" ht="15" customHeight="1" x14ac:dyDescent="0.25">
      <c r="B17" s="24" t="s">
        <v>80</v>
      </c>
      <c r="C17" s="25" t="s">
        <v>11</v>
      </c>
      <c r="D17" s="35">
        <v>15000</v>
      </c>
      <c r="E17" s="37">
        <f ca="1">SUM(E15,E16)</f>
        <v>15000</v>
      </c>
      <c r="F17" s="37">
        <f ca="1">SUM(F15:F16)</f>
        <v>15000</v>
      </c>
      <c r="G17" s="37">
        <f ca="1">SUM(G15:G16)</f>
        <v>15000</v>
      </c>
      <c r="H17" s="37">
        <f ca="1">H15+H16</f>
        <v>15000</v>
      </c>
      <c r="I17" s="37">
        <f ca="1">SUM(I15:I16)</f>
        <v>15000</v>
      </c>
    </row>
    <row r="18" spans="1:9" ht="15" customHeight="1" x14ac:dyDescent="0.25">
      <c r="D18" s="17"/>
      <c r="E18" s="17"/>
      <c r="F18" s="17"/>
      <c r="G18" s="17"/>
      <c r="H18" s="17"/>
      <c r="I18" s="17"/>
    </row>
    <row r="19" spans="1:9" s="8" customFormat="1" ht="15" customHeight="1" x14ac:dyDescent="0.25">
      <c r="A19" s="7" t="s">
        <v>0</v>
      </c>
      <c r="B19" s="7" t="s">
        <v>77</v>
      </c>
      <c r="D19" s="18"/>
      <c r="E19" s="18"/>
      <c r="F19" s="18"/>
      <c r="G19" s="18"/>
      <c r="H19" s="18"/>
      <c r="I19" s="18"/>
    </row>
    <row r="20" spans="1:9" ht="15" customHeight="1" x14ac:dyDescent="0.25">
      <c r="D20" s="17"/>
      <c r="E20" s="17"/>
      <c r="F20" s="17"/>
      <c r="G20" s="17"/>
      <c r="H20" s="17"/>
      <c r="I20" s="17"/>
    </row>
    <row r="21" spans="1:9" ht="15" customHeight="1" x14ac:dyDescent="0.25">
      <c r="B21" s="4" t="s">
        <v>78</v>
      </c>
      <c r="C21" s="15" t="s">
        <v>11</v>
      </c>
      <c r="E21" s="41">
        <f>D23</f>
        <v>400000</v>
      </c>
      <c r="F21" s="41">
        <f>E23</f>
        <v>400000</v>
      </c>
      <c r="G21" s="41">
        <f>F21</f>
        <v>400000</v>
      </c>
      <c r="H21" s="41">
        <f>E23</f>
        <v>400000</v>
      </c>
      <c r="I21" s="41">
        <f>E21</f>
        <v>400000</v>
      </c>
    </row>
    <row r="22" spans="1:9" ht="15" customHeight="1" x14ac:dyDescent="0.25">
      <c r="B22" s="4" t="s">
        <v>81</v>
      </c>
      <c r="C22" s="15" t="s">
        <v>11</v>
      </c>
      <c r="E22" s="41"/>
      <c r="F22" s="41"/>
      <c r="G22" s="41"/>
      <c r="H22" s="41"/>
      <c r="I22" s="41"/>
    </row>
    <row r="23" spans="1:9" ht="15" customHeight="1" x14ac:dyDescent="0.25">
      <c r="B23" s="24" t="s">
        <v>84</v>
      </c>
      <c r="C23" s="25" t="s">
        <v>11</v>
      </c>
      <c r="D23" s="35">
        <v>400000</v>
      </c>
      <c r="E23" s="37">
        <f>SUM(E22,E21)</f>
        <v>400000</v>
      </c>
      <c r="F23" s="37">
        <f t="shared" ref="F23:I23" si="2">SUM(F22,F21)</f>
        <v>400000</v>
      </c>
      <c r="G23" s="37">
        <f t="shared" si="2"/>
        <v>400000</v>
      </c>
      <c r="H23" s="37">
        <f t="shared" si="2"/>
        <v>400000</v>
      </c>
      <c r="I23" s="37">
        <f t="shared" si="2"/>
        <v>400000</v>
      </c>
    </row>
    <row r="24" spans="1:9" ht="15" customHeight="1" x14ac:dyDescent="0.25">
      <c r="D24" s="17"/>
      <c r="E24" s="17"/>
      <c r="F24" s="17"/>
      <c r="G24" s="17"/>
      <c r="H24" s="17"/>
      <c r="I24" s="17"/>
    </row>
    <row r="25" spans="1:9" s="3" customFormat="1" ht="15" customHeight="1" x14ac:dyDescent="0.25">
      <c r="A25" s="2" t="s">
        <v>0</v>
      </c>
      <c r="B25" s="2" t="s">
        <v>37</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Glossary</vt:lpstr>
      <vt:lpstr>Forecast Assumptions</vt:lpstr>
      <vt:lpstr>P&amp;L Forecast</vt:lpstr>
      <vt:lpstr>Cash Flow Forecast</vt:lpstr>
      <vt:lpstr>'Cash Flow Forecast'!Print_Area</vt:lpstr>
      <vt:lpstr>'Forecast Assumptions'!Print_Area</vt:lpstr>
      <vt:lpstr>Glossary!Print_Area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Emmanuel Ajimati</cp:lastModifiedBy>
  <dcterms:created xsi:type="dcterms:W3CDTF">2020-07-20T11:12:49Z</dcterms:created>
  <dcterms:modified xsi:type="dcterms:W3CDTF">2024-05-08T20:58:34Z</dcterms:modified>
</cp:coreProperties>
</file>